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1B6ED89B-3802-4D26-A143-3D646593DA07}" xr6:coauthVersionLast="47" xr6:coauthVersionMax="47" xr10:uidLastSave="{00000000-0000-0000-0000-000000000000}"/>
  <bookViews>
    <workbookView xWindow="19090" yWindow="-110" windowWidth="19420" windowHeight="1030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Y84" i="24" l="1"/>
  <c r="CD83" i="24"/>
  <c r="D28" i="33"/>
  <c r="D154" i="33"/>
  <c r="D112" i="33"/>
  <c r="D90" i="33"/>
  <c r="D85" i="33"/>
  <c r="D76" i="33"/>
  <c r="D71" i="33"/>
  <c r="D180" i="33"/>
  <c r="D48" i="15"/>
  <c r="D161" i="24"/>
  <c r="AO59" i="24"/>
  <c r="L612" i="34"/>
  <c r="D612" i="34"/>
  <c r="D420" i="34"/>
  <c r="F420" i="34" s="1"/>
  <c r="D415" i="34"/>
  <c r="D416" i="34" s="1"/>
  <c r="E414" i="34"/>
  <c r="D383" i="34"/>
  <c r="D381" i="34"/>
  <c r="E380" i="34"/>
  <c r="C363" i="34"/>
  <c r="D360" i="34"/>
  <c r="D341" i="34"/>
  <c r="D340" i="34"/>
  <c r="D339" i="34"/>
  <c r="D329" i="34"/>
  <c r="D324" i="34"/>
  <c r="D306" i="34"/>
  <c r="D299" i="34"/>
  <c r="D293" i="34"/>
  <c r="D308" i="34" s="1"/>
  <c r="D291" i="34"/>
  <c r="D281" i="34"/>
  <c r="D276" i="34"/>
  <c r="D256" i="34"/>
  <c r="C365" i="34" s="1"/>
  <c r="D252" i="34"/>
  <c r="D245" i="34"/>
  <c r="D237" i="34"/>
  <c r="D233" i="34"/>
  <c r="C233" i="34"/>
  <c r="B233" i="34"/>
  <c r="E232" i="34"/>
  <c r="E231" i="34"/>
  <c r="E230" i="34"/>
  <c r="E229" i="34"/>
  <c r="E228" i="34"/>
  <c r="E233" i="34" s="1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D155" i="34"/>
  <c r="E154" i="34"/>
  <c r="E143" i="34"/>
  <c r="CE94" i="34"/>
  <c r="CF93" i="34"/>
  <c r="CE93" i="34"/>
  <c r="J612" i="34" s="1"/>
  <c r="CE92" i="34"/>
  <c r="I612" i="34" s="1"/>
  <c r="AZ91" i="34"/>
  <c r="CE91" i="34" s="1"/>
  <c r="CF91" i="34" s="1"/>
  <c r="CF90" i="34"/>
  <c r="CD52" i="34" s="1"/>
  <c r="CE90" i="34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9" i="34" s="1"/>
  <c r="K612" i="34" s="1"/>
  <c r="CE88" i="34"/>
  <c r="CE87" i="34"/>
  <c r="CE84" i="34"/>
  <c r="N84" i="34"/>
  <c r="BE83" i="34"/>
  <c r="AE83" i="34"/>
  <c r="AE69" i="34" s="1"/>
  <c r="N83" i="34"/>
  <c r="CE82" i="34"/>
  <c r="CE81" i="34"/>
  <c r="CE80" i="34"/>
  <c r="CE79" i="34"/>
  <c r="CE78" i="34"/>
  <c r="CE77" i="34"/>
  <c r="Y77" i="34"/>
  <c r="Y83" i="34" s="1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R62" i="34"/>
  <c r="CE61" i="34"/>
  <c r="CE60" i="34"/>
  <c r="H612" i="34" s="1"/>
  <c r="B53" i="34"/>
  <c r="BR52" i="34"/>
  <c r="BR67" i="34" s="1"/>
  <c r="BN52" i="34"/>
  <c r="BN67" i="34" s="1"/>
  <c r="BJ52" i="34"/>
  <c r="BJ67" i="34" s="1"/>
  <c r="AX52" i="34"/>
  <c r="AX67" i="34" s="1"/>
  <c r="AS52" i="34"/>
  <c r="AS67" i="34" s="1"/>
  <c r="AP52" i="34"/>
  <c r="AP67" i="34" s="1"/>
  <c r="AC52" i="34"/>
  <c r="AC67" i="34" s="1"/>
  <c r="V52" i="34"/>
  <c r="V67" i="34" s="1"/>
  <c r="U52" i="34"/>
  <c r="U67" i="34" s="1"/>
  <c r="F52" i="34"/>
  <c r="F67" i="34" s="1"/>
  <c r="CE51" i="34"/>
  <c r="B49" i="34"/>
  <c r="BY48" i="34"/>
  <c r="BY62" i="34" s="1"/>
  <c r="BU48" i="34"/>
  <c r="BU62" i="34" s="1"/>
  <c r="BT48" i="34"/>
  <c r="BT62" i="34" s="1"/>
  <c r="BQ48" i="34"/>
  <c r="BQ62" i="34" s="1"/>
  <c r="BM48" i="34"/>
  <c r="BM62" i="34" s="1"/>
  <c r="BL48" i="34"/>
  <c r="BL62" i="34" s="1"/>
  <c r="BD48" i="34"/>
  <c r="BD62" i="34" s="1"/>
  <c r="BA48" i="34"/>
  <c r="BA62" i="34" s="1"/>
  <c r="AW48" i="34"/>
  <c r="AW62" i="34" s="1"/>
  <c r="AV48" i="34"/>
  <c r="AV62" i="34" s="1"/>
  <c r="AS48" i="34"/>
  <c r="AS62" i="34" s="1"/>
  <c r="AO48" i="34"/>
  <c r="AO62" i="34" s="1"/>
  <c r="AJ48" i="34"/>
  <c r="AJ62" i="34" s="1"/>
  <c r="AH48" i="34"/>
  <c r="AH62" i="34" s="1"/>
  <c r="AG48" i="34"/>
  <c r="AG62" i="34" s="1"/>
  <c r="AF48" i="34"/>
  <c r="AF62" i="34" s="1"/>
  <c r="AC48" i="34"/>
  <c r="AC62" i="34" s="1"/>
  <c r="AB48" i="34"/>
  <c r="AB62" i="34" s="1"/>
  <c r="X48" i="34"/>
  <c r="X62" i="34" s="1"/>
  <c r="U48" i="34"/>
  <c r="U62" i="34" s="1"/>
  <c r="T48" i="34"/>
  <c r="T62" i="34" s="1"/>
  <c r="R48" i="34"/>
  <c r="Q48" i="34"/>
  <c r="Q62" i="34" s="1"/>
  <c r="P48" i="34"/>
  <c r="P62" i="34" s="1"/>
  <c r="J48" i="34"/>
  <c r="J62" i="34" s="1"/>
  <c r="I48" i="34"/>
  <c r="I62" i="34" s="1"/>
  <c r="H48" i="34"/>
  <c r="H62" i="34" s="1"/>
  <c r="E48" i="34"/>
  <c r="E62" i="34" s="1"/>
  <c r="D48" i="34"/>
  <c r="D62" i="34" s="1"/>
  <c r="CE47" i="34"/>
  <c r="AO85" i="34" l="1"/>
  <c r="C706" i="34" s="1"/>
  <c r="Q85" i="34"/>
  <c r="C682" i="34" s="1"/>
  <c r="AH85" i="34"/>
  <c r="C699" i="34" s="1"/>
  <c r="AV85" i="34"/>
  <c r="C713" i="34" s="1"/>
  <c r="E52" i="34"/>
  <c r="E67" i="34" s="1"/>
  <c r="E85" i="34" s="1"/>
  <c r="C670" i="34" s="1"/>
  <c r="Z52" i="34"/>
  <c r="Z67" i="34" s="1"/>
  <c r="AT52" i="34"/>
  <c r="AT67" i="34" s="1"/>
  <c r="BQ52" i="34"/>
  <c r="BQ67" i="34" s="1"/>
  <c r="BQ85" i="34" s="1"/>
  <c r="C623" i="34" s="1"/>
  <c r="CA48" i="34"/>
  <c r="CA62" i="34" s="1"/>
  <c r="BS48" i="34"/>
  <c r="BS62" i="34" s="1"/>
  <c r="BK48" i="34"/>
  <c r="BK62" i="34" s="1"/>
  <c r="BK85" i="34" s="1"/>
  <c r="C635" i="34" s="1"/>
  <c r="BC48" i="34"/>
  <c r="BC62" i="34" s="1"/>
  <c r="AU48" i="34"/>
  <c r="AU62" i="34" s="1"/>
  <c r="AM48" i="34"/>
  <c r="AM62" i="34" s="1"/>
  <c r="AE48" i="34"/>
  <c r="AE62" i="34" s="1"/>
  <c r="AE85" i="34" s="1"/>
  <c r="C696" i="34" s="1"/>
  <c r="W48" i="34"/>
  <c r="W62" i="34" s="1"/>
  <c r="O48" i="34"/>
  <c r="O62" i="34" s="1"/>
  <c r="G48" i="34"/>
  <c r="G62" i="34" s="1"/>
  <c r="BJ48" i="34"/>
  <c r="BJ62" i="34" s="1"/>
  <c r="BJ85" i="34" s="1"/>
  <c r="C617" i="34" s="1"/>
  <c r="AT48" i="34"/>
  <c r="AT62" i="34" s="1"/>
  <c r="AD48" i="34"/>
  <c r="AD62" i="34" s="1"/>
  <c r="N48" i="34"/>
  <c r="N62" i="34" s="1"/>
  <c r="BZ48" i="34"/>
  <c r="BZ62" i="34" s="1"/>
  <c r="BR48" i="34"/>
  <c r="BR62" i="34" s="1"/>
  <c r="BR85" i="34" s="1"/>
  <c r="C626" i="34" s="1"/>
  <c r="BB48" i="34"/>
  <c r="BB62" i="34" s="1"/>
  <c r="AL48" i="34"/>
  <c r="AL62" i="34" s="1"/>
  <c r="V48" i="34"/>
  <c r="V62" i="34" s="1"/>
  <c r="V85" i="34" s="1"/>
  <c r="C687" i="34" s="1"/>
  <c r="F48" i="34"/>
  <c r="F62" i="34" s="1"/>
  <c r="F85" i="34" s="1"/>
  <c r="C671" i="34" s="1"/>
  <c r="BX48" i="34"/>
  <c r="BX62" i="34" s="1"/>
  <c r="BP48" i="34"/>
  <c r="BP62" i="34" s="1"/>
  <c r="BH48" i="34"/>
  <c r="BH62" i="34" s="1"/>
  <c r="BH85" i="34" s="1"/>
  <c r="C636" i="34" s="1"/>
  <c r="AZ48" i="34"/>
  <c r="AZ62" i="34" s="1"/>
  <c r="AZ85" i="34" s="1"/>
  <c r="C628" i="34" s="1"/>
  <c r="AR48" i="34"/>
  <c r="AR62" i="34" s="1"/>
  <c r="BW48" i="34"/>
  <c r="BW62" i="34" s="1"/>
  <c r="BO48" i="34"/>
  <c r="BO62" i="34" s="1"/>
  <c r="BG48" i="34"/>
  <c r="BG62" i="34" s="1"/>
  <c r="AY48" i="34"/>
  <c r="AY62" i="34" s="1"/>
  <c r="AQ48" i="34"/>
  <c r="AQ62" i="34" s="1"/>
  <c r="AI48" i="34"/>
  <c r="AI62" i="34" s="1"/>
  <c r="AA48" i="34"/>
  <c r="AA62" i="34" s="1"/>
  <c r="AA85" i="34" s="1"/>
  <c r="C692" i="34" s="1"/>
  <c r="S48" i="34"/>
  <c r="S62" i="34" s="1"/>
  <c r="K48" i="34"/>
  <c r="K62" i="34" s="1"/>
  <c r="C48" i="34"/>
  <c r="CD48" i="34"/>
  <c r="BN48" i="34"/>
  <c r="BN62" i="34" s="1"/>
  <c r="BN85" i="34" s="1"/>
  <c r="C619" i="34" s="1"/>
  <c r="AX48" i="34"/>
  <c r="AX62" i="34" s="1"/>
  <c r="AX85" i="34" s="1"/>
  <c r="C616" i="34" s="1"/>
  <c r="BV48" i="34"/>
  <c r="BV62" i="34" s="1"/>
  <c r="BV85" i="34" s="1"/>
  <c r="C642" i="34" s="1"/>
  <c r="BF48" i="34"/>
  <c r="BF62" i="34" s="1"/>
  <c r="BF85" i="34" s="1"/>
  <c r="C629" i="34" s="1"/>
  <c r="AP48" i="34"/>
  <c r="AP62" i="34" s="1"/>
  <c r="AP85" i="34" s="1"/>
  <c r="C707" i="34" s="1"/>
  <c r="CE83" i="34"/>
  <c r="AS85" i="34"/>
  <c r="C710" i="34" s="1"/>
  <c r="F309" i="34"/>
  <c r="D352" i="34"/>
  <c r="CE69" i="34"/>
  <c r="U85" i="34"/>
  <c r="C686" i="34" s="1"/>
  <c r="J52" i="34"/>
  <c r="J67" i="34" s="1"/>
  <c r="J85" i="34" s="1"/>
  <c r="C675" i="34" s="1"/>
  <c r="AD52" i="34"/>
  <c r="AD67" i="34" s="1"/>
  <c r="BA52" i="34"/>
  <c r="BA67" i="34" s="1"/>
  <c r="BA85" i="34" s="1"/>
  <c r="C630" i="34" s="1"/>
  <c r="BV52" i="34"/>
  <c r="BV67" i="34" s="1"/>
  <c r="AJ85" i="34"/>
  <c r="C701" i="34" s="1"/>
  <c r="M52" i="34"/>
  <c r="M67" i="34" s="1"/>
  <c r="BB52" i="34"/>
  <c r="BB67" i="34" s="1"/>
  <c r="L48" i="34"/>
  <c r="L62" i="34" s="1"/>
  <c r="AK48" i="34"/>
  <c r="AK62" i="34" s="1"/>
  <c r="AK85" i="34" s="1"/>
  <c r="C702" i="34" s="1"/>
  <c r="CB48" i="34"/>
  <c r="CB62" i="34" s="1"/>
  <c r="CB85" i="34" s="1"/>
  <c r="C622" i="34" s="1"/>
  <c r="BZ52" i="34"/>
  <c r="BZ67" i="34" s="1"/>
  <c r="D350" i="34"/>
  <c r="AC85" i="34"/>
  <c r="C694" i="34" s="1"/>
  <c r="X85" i="34"/>
  <c r="C689" i="34" s="1"/>
  <c r="AH52" i="34"/>
  <c r="AH67" i="34" s="1"/>
  <c r="BY52" i="34"/>
  <c r="BY67" i="34" s="1"/>
  <c r="BY85" i="34" s="1"/>
  <c r="C645" i="34" s="1"/>
  <c r="Y48" i="34"/>
  <c r="Y62" i="34" s="1"/>
  <c r="BE48" i="34"/>
  <c r="BE62" i="34" s="1"/>
  <c r="BE85" i="34" s="1"/>
  <c r="C614" i="34" s="1"/>
  <c r="N52" i="34"/>
  <c r="N67" i="34" s="1"/>
  <c r="AK52" i="34"/>
  <c r="AK67" i="34" s="1"/>
  <c r="BF52" i="34"/>
  <c r="BF67" i="34" s="1"/>
  <c r="M48" i="34"/>
  <c r="M62" i="34" s="1"/>
  <c r="Z48" i="34"/>
  <c r="Z62" i="34" s="1"/>
  <c r="Z85" i="34" s="1"/>
  <c r="C691" i="34" s="1"/>
  <c r="AN48" i="34"/>
  <c r="AN62" i="34" s="1"/>
  <c r="BI48" i="34"/>
  <c r="BI62" i="34" s="1"/>
  <c r="BI85" i="34" s="1"/>
  <c r="C634" i="34" s="1"/>
  <c r="CC48" i="34"/>
  <c r="CC62" i="34" s="1"/>
  <c r="CC85" i="34" s="1"/>
  <c r="C620" i="34" s="1"/>
  <c r="R52" i="34"/>
  <c r="R67" i="34" s="1"/>
  <c r="AL52" i="34"/>
  <c r="AL67" i="34" s="1"/>
  <c r="BI52" i="34"/>
  <c r="BI67" i="34" s="1"/>
  <c r="R85" i="34"/>
  <c r="C683" i="34" s="1"/>
  <c r="BX52" i="34"/>
  <c r="BX67" i="34" s="1"/>
  <c r="BP52" i="34"/>
  <c r="BP67" i="34" s="1"/>
  <c r="BH52" i="34"/>
  <c r="BH67" i="34" s="1"/>
  <c r="AZ52" i="34"/>
  <c r="AZ67" i="34" s="1"/>
  <c r="AR52" i="34"/>
  <c r="AR67" i="34" s="1"/>
  <c r="AJ52" i="34"/>
  <c r="AJ67" i="34" s="1"/>
  <c r="AB52" i="34"/>
  <c r="AB67" i="34" s="1"/>
  <c r="AB85" i="34" s="1"/>
  <c r="C693" i="34" s="1"/>
  <c r="T52" i="34"/>
  <c r="T67" i="34" s="1"/>
  <c r="T85" i="34" s="1"/>
  <c r="C685" i="34" s="1"/>
  <c r="L52" i="34"/>
  <c r="L67" i="34" s="1"/>
  <c r="D52" i="34"/>
  <c r="D67" i="34" s="1"/>
  <c r="D85" i="34" s="1"/>
  <c r="C669" i="34" s="1"/>
  <c r="BW52" i="34"/>
  <c r="BW67" i="34" s="1"/>
  <c r="BO52" i="34"/>
  <c r="BO67" i="34" s="1"/>
  <c r="BG52" i="34"/>
  <c r="BG67" i="34" s="1"/>
  <c r="AY52" i="34"/>
  <c r="AY67" i="34" s="1"/>
  <c r="AQ52" i="34"/>
  <c r="AQ67" i="34" s="1"/>
  <c r="AI52" i="34"/>
  <c r="AI67" i="34" s="1"/>
  <c r="AA52" i="34"/>
  <c r="AA67" i="34" s="1"/>
  <c r="S52" i="34"/>
  <c r="S67" i="34" s="1"/>
  <c r="K52" i="34"/>
  <c r="K67" i="34" s="1"/>
  <c r="C52" i="34"/>
  <c r="CC52" i="34"/>
  <c r="CC67" i="34" s="1"/>
  <c r="BU52" i="34"/>
  <c r="BU67" i="34" s="1"/>
  <c r="BU85" i="34" s="1"/>
  <c r="C641" i="34" s="1"/>
  <c r="BM52" i="34"/>
  <c r="BM67" i="34" s="1"/>
  <c r="BM85" i="34" s="1"/>
  <c r="C638" i="34" s="1"/>
  <c r="BE52" i="34"/>
  <c r="BE67" i="34" s="1"/>
  <c r="AW52" i="34"/>
  <c r="AW67" i="34" s="1"/>
  <c r="AW85" i="34" s="1"/>
  <c r="C631" i="34" s="1"/>
  <c r="AO52" i="34"/>
  <c r="AO67" i="34" s="1"/>
  <c r="AG52" i="34"/>
  <c r="AG67" i="34" s="1"/>
  <c r="AG85" i="34" s="1"/>
  <c r="C698" i="34" s="1"/>
  <c r="Y52" i="34"/>
  <c r="Y67" i="34" s="1"/>
  <c r="Q52" i="34"/>
  <c r="Q67" i="34" s="1"/>
  <c r="I52" i="34"/>
  <c r="I67" i="34" s="1"/>
  <c r="I85" i="34" s="1"/>
  <c r="C674" i="34" s="1"/>
  <c r="CB52" i="34"/>
  <c r="CB67" i="34" s="1"/>
  <c r="BT52" i="34"/>
  <c r="BT67" i="34" s="1"/>
  <c r="BT85" i="34" s="1"/>
  <c r="C640" i="34" s="1"/>
  <c r="BL52" i="34"/>
  <c r="BL67" i="34" s="1"/>
  <c r="BL85" i="34" s="1"/>
  <c r="C637" i="34" s="1"/>
  <c r="BD52" i="34"/>
  <c r="BD67" i="34" s="1"/>
  <c r="BD85" i="34" s="1"/>
  <c r="C624" i="34" s="1"/>
  <c r="AV52" i="34"/>
  <c r="AV67" i="34" s="1"/>
  <c r="AN52" i="34"/>
  <c r="AN67" i="34" s="1"/>
  <c r="AF52" i="34"/>
  <c r="AF67" i="34" s="1"/>
  <c r="AF85" i="34" s="1"/>
  <c r="C697" i="34" s="1"/>
  <c r="X52" i="34"/>
  <c r="X67" i="34" s="1"/>
  <c r="P52" i="34"/>
  <c r="P67" i="34" s="1"/>
  <c r="P85" i="34" s="1"/>
  <c r="C681" i="34" s="1"/>
  <c r="H52" i="34"/>
  <c r="H67" i="34" s="1"/>
  <c r="H85" i="34" s="1"/>
  <c r="C673" i="34" s="1"/>
  <c r="BS52" i="34"/>
  <c r="BS67" i="34" s="1"/>
  <c r="AE52" i="34"/>
  <c r="AE67" i="34" s="1"/>
  <c r="O52" i="34"/>
  <c r="O67" i="34" s="1"/>
  <c r="CA52" i="34"/>
  <c r="CA67" i="34" s="1"/>
  <c r="BK52" i="34"/>
  <c r="BK67" i="34" s="1"/>
  <c r="BC52" i="34"/>
  <c r="BC67" i="34" s="1"/>
  <c r="AU52" i="34"/>
  <c r="AU67" i="34" s="1"/>
  <c r="AM52" i="34"/>
  <c r="AM67" i="34" s="1"/>
  <c r="W52" i="34"/>
  <c r="W67" i="34" s="1"/>
  <c r="G52" i="34"/>
  <c r="G67" i="34" s="1"/>
  <c r="G612" i="34"/>
  <c r="C615" i="34"/>
  <c r="CD85" i="34"/>
  <c r="E220" i="34"/>
  <c r="F234" i="34" s="1"/>
  <c r="D258" i="34"/>
  <c r="D366" i="34"/>
  <c r="D367" i="34" s="1"/>
  <c r="D384" i="34" s="1"/>
  <c r="D417" i="34" s="1"/>
  <c r="D421" i="34" s="1"/>
  <c r="D424" i="34" s="1"/>
  <c r="D615" i="34" l="1"/>
  <c r="Y85" i="34"/>
  <c r="C690" i="34" s="1"/>
  <c r="AI85" i="34"/>
  <c r="C700" i="34" s="1"/>
  <c r="BZ85" i="34"/>
  <c r="C646" i="34" s="1"/>
  <c r="AN85" i="34"/>
  <c r="C705" i="34" s="1"/>
  <c r="AQ85" i="34"/>
  <c r="C708" i="34" s="1"/>
  <c r="BP85" i="34"/>
  <c r="C621" i="34" s="1"/>
  <c r="C648" i="34" s="1"/>
  <c r="M716" i="34" s="1"/>
  <c r="N85" i="34"/>
  <c r="C679" i="34" s="1"/>
  <c r="AM85" i="34"/>
  <c r="C704" i="34" s="1"/>
  <c r="L85" i="34"/>
  <c r="C677" i="34" s="1"/>
  <c r="AY85" i="34"/>
  <c r="C625" i="34" s="1"/>
  <c r="BX85" i="34"/>
  <c r="C644" i="34" s="1"/>
  <c r="AD85" i="34"/>
  <c r="C695" i="34" s="1"/>
  <c r="AU85" i="34"/>
  <c r="C712" i="34" s="1"/>
  <c r="M85" i="34"/>
  <c r="C678" i="34" s="1"/>
  <c r="BG85" i="34"/>
  <c r="C618" i="34" s="1"/>
  <c r="AT85" i="34"/>
  <c r="C711" i="34" s="1"/>
  <c r="BC85" i="34"/>
  <c r="C633" i="34" s="1"/>
  <c r="C67" i="34"/>
  <c r="CE67" i="34" s="1"/>
  <c r="CE52" i="34"/>
  <c r="BO85" i="34"/>
  <c r="C627" i="34" s="1"/>
  <c r="K85" i="34"/>
  <c r="C676" i="34" s="1"/>
  <c r="BW85" i="34"/>
  <c r="C643" i="34" s="1"/>
  <c r="AL85" i="34"/>
  <c r="C703" i="34" s="1"/>
  <c r="G85" i="34"/>
  <c r="C672" i="34" s="1"/>
  <c r="BS85" i="34"/>
  <c r="C639" i="34" s="1"/>
  <c r="W85" i="34"/>
  <c r="C688" i="34" s="1"/>
  <c r="CE48" i="34"/>
  <c r="C62" i="34"/>
  <c r="S85" i="34"/>
  <c r="C684" i="34" s="1"/>
  <c r="AR85" i="34"/>
  <c r="C709" i="34" s="1"/>
  <c r="BB85" i="34"/>
  <c r="C632" i="34" s="1"/>
  <c r="O85" i="34"/>
  <c r="C680" i="34" s="1"/>
  <c r="CA85" i="34"/>
  <c r="C647" i="34" s="1"/>
  <c r="CE62" i="34" l="1"/>
  <c r="C85" i="34"/>
  <c r="D710" i="34"/>
  <c r="D702" i="34"/>
  <c r="D694" i="34"/>
  <c r="D686" i="34"/>
  <c r="D678" i="34"/>
  <c r="D670" i="34"/>
  <c r="D647" i="34"/>
  <c r="D646" i="34"/>
  <c r="D645" i="34"/>
  <c r="D708" i="34"/>
  <c r="D700" i="34"/>
  <c r="D713" i="34"/>
  <c r="D705" i="34"/>
  <c r="D712" i="34"/>
  <c r="D711" i="34"/>
  <c r="D690" i="34"/>
  <c r="D685" i="34"/>
  <c r="D680" i="34"/>
  <c r="D675" i="34"/>
  <c r="D642" i="34"/>
  <c r="D634" i="34"/>
  <c r="D625" i="34"/>
  <c r="D643" i="34"/>
  <c r="D635" i="34"/>
  <c r="D628" i="34"/>
  <c r="D622" i="34"/>
  <c r="D618" i="34"/>
  <c r="D716" i="34"/>
  <c r="D698" i="34"/>
  <c r="D697" i="34"/>
  <c r="D696" i="34"/>
  <c r="D688" i="34"/>
  <c r="D683" i="34"/>
  <c r="D637" i="34"/>
  <c r="D629" i="34"/>
  <c r="D626" i="34"/>
  <c r="D621" i="34"/>
  <c r="D617" i="34"/>
  <c r="D701" i="34"/>
  <c r="D695" i="34"/>
  <c r="D693" i="34"/>
  <c r="D673" i="34"/>
  <c r="D668" i="34"/>
  <c r="D638" i="34"/>
  <c r="D630" i="34"/>
  <c r="D624" i="34"/>
  <c r="D709" i="34"/>
  <c r="D692" i="34"/>
  <c r="D687" i="34"/>
  <c r="D682" i="34"/>
  <c r="D677" i="34"/>
  <c r="D672" i="34"/>
  <c r="D639" i="34"/>
  <c r="D631" i="34"/>
  <c r="D620" i="34"/>
  <c r="D616" i="34"/>
  <c r="D679" i="34"/>
  <c r="D636" i="34"/>
  <c r="D633" i="34"/>
  <c r="D619" i="34"/>
  <c r="D706" i="34"/>
  <c r="D703" i="34"/>
  <c r="D681" i="34"/>
  <c r="D674" i="34"/>
  <c r="D632" i="34"/>
  <c r="D699" i="34"/>
  <c r="D676" i="34"/>
  <c r="D644" i="34"/>
  <c r="D641" i="34"/>
  <c r="D691" i="34"/>
  <c r="D689" i="34"/>
  <c r="D669" i="34"/>
  <c r="D671" i="34"/>
  <c r="D640" i="34"/>
  <c r="D623" i="34"/>
  <c r="D707" i="34"/>
  <c r="D704" i="34"/>
  <c r="D684" i="34"/>
  <c r="D627" i="34"/>
  <c r="D715" i="34" l="1"/>
  <c r="E623" i="34"/>
  <c r="C668" i="34"/>
  <c r="C715" i="34" s="1"/>
  <c r="CE85" i="34"/>
  <c r="C716" i="34" s="1"/>
  <c r="E612" i="34" l="1"/>
  <c r="E716" i="34"/>
  <c r="E707" i="34"/>
  <c r="E699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713" i="34"/>
  <c r="E705" i="34"/>
  <c r="E697" i="34"/>
  <c r="E710" i="34"/>
  <c r="E702" i="34"/>
  <c r="E670" i="34"/>
  <c r="E628" i="34"/>
  <c r="E706" i="34"/>
  <c r="E689" i="34"/>
  <c r="E684" i="34"/>
  <c r="E679" i="34"/>
  <c r="E674" i="34"/>
  <c r="E669" i="34"/>
  <c r="E701" i="34"/>
  <c r="E700" i="34"/>
  <c r="E695" i="34"/>
  <c r="E694" i="34"/>
  <c r="E693" i="34"/>
  <c r="E678" i="34"/>
  <c r="E673" i="34"/>
  <c r="E668" i="34"/>
  <c r="E646" i="34"/>
  <c r="E624" i="34"/>
  <c r="E709" i="34"/>
  <c r="E708" i="34"/>
  <c r="E692" i="34"/>
  <c r="E687" i="34"/>
  <c r="E682" i="34"/>
  <c r="E677" i="34"/>
  <c r="E672" i="34"/>
  <c r="E647" i="34"/>
  <c r="E627" i="34"/>
  <c r="E703" i="34"/>
  <c r="E690" i="34"/>
  <c r="E681" i="34"/>
  <c r="E645" i="34"/>
  <c r="E626" i="34"/>
  <c r="E712" i="34"/>
  <c r="E685" i="34"/>
  <c r="E676" i="34"/>
  <c r="E629" i="34"/>
  <c r="E625" i="34"/>
  <c r="E711" i="34"/>
  <c r="E696" i="34"/>
  <c r="E680" i="34"/>
  <c r="E671" i="34"/>
  <c r="E704" i="34"/>
  <c r="E698" i="34"/>
  <c r="E686" i="34"/>
  <c r="E688" i="34"/>
  <c r="E715" i="34" l="1"/>
  <c r="F624" i="34"/>
  <c r="F712" i="34" l="1"/>
  <c r="F704" i="34"/>
  <c r="F696" i="34"/>
  <c r="F688" i="34"/>
  <c r="F680" i="34"/>
  <c r="F672" i="34"/>
  <c r="F710" i="34"/>
  <c r="F702" i="34"/>
  <c r="F694" i="34"/>
  <c r="F716" i="34"/>
  <c r="F707" i="34"/>
  <c r="F706" i="34"/>
  <c r="F705" i="34"/>
  <c r="F689" i="34"/>
  <c r="F684" i="34"/>
  <c r="F679" i="34"/>
  <c r="F674" i="34"/>
  <c r="F669" i="34"/>
  <c r="F643" i="34"/>
  <c r="F635" i="34"/>
  <c r="F713" i="34"/>
  <c r="F699" i="34"/>
  <c r="F698" i="34"/>
  <c r="F645" i="34"/>
  <c r="F644" i="34"/>
  <c r="F636" i="34"/>
  <c r="F629" i="34"/>
  <c r="F626" i="34"/>
  <c r="F709" i="34"/>
  <c r="F708" i="34"/>
  <c r="F692" i="34"/>
  <c r="F687" i="34"/>
  <c r="F682" i="34"/>
  <c r="F677" i="34"/>
  <c r="F647" i="34"/>
  <c r="F638" i="34"/>
  <c r="F630" i="34"/>
  <c r="F639" i="34"/>
  <c r="F631" i="34"/>
  <c r="F627" i="34"/>
  <c r="F703" i="34"/>
  <c r="F691" i="34"/>
  <c r="F686" i="34"/>
  <c r="F681" i="34"/>
  <c r="F676" i="34"/>
  <c r="F671" i="34"/>
  <c r="F640" i="34"/>
  <c r="F632" i="34"/>
  <c r="F700" i="34"/>
  <c r="F670" i="34"/>
  <c r="F642" i="34"/>
  <c r="F697" i="34"/>
  <c r="F685" i="34"/>
  <c r="F683" i="34"/>
  <c r="F625" i="34"/>
  <c r="F641" i="34"/>
  <c r="F711" i="34"/>
  <c r="F678" i="34"/>
  <c r="F628" i="34"/>
  <c r="F701" i="34"/>
  <c r="F693" i="34"/>
  <c r="F673" i="34"/>
  <c r="F646" i="34"/>
  <c r="F637" i="34"/>
  <c r="F634" i="34"/>
  <c r="F675" i="34"/>
  <c r="F690" i="34"/>
  <c r="F668" i="34"/>
  <c r="F695" i="34"/>
  <c r="F633" i="34"/>
  <c r="F715" i="34" l="1"/>
  <c r="G625" i="34"/>
  <c r="G709" i="34" l="1"/>
  <c r="G701" i="34"/>
  <c r="G693" i="34"/>
  <c r="G685" i="34"/>
  <c r="G677" i="34"/>
  <c r="G669" i="34"/>
  <c r="G716" i="34"/>
  <c r="G707" i="34"/>
  <c r="G699" i="34"/>
  <c r="G712" i="34"/>
  <c r="G704" i="34"/>
  <c r="G713" i="34"/>
  <c r="G698" i="34"/>
  <c r="G645" i="34"/>
  <c r="G644" i="34"/>
  <c r="G636" i="34"/>
  <c r="G629" i="34"/>
  <c r="G626" i="34"/>
  <c r="G700" i="34"/>
  <c r="G697" i="34"/>
  <c r="G696" i="34"/>
  <c r="G695" i="34"/>
  <c r="G688" i="34"/>
  <c r="G683" i="34"/>
  <c r="G678" i="34"/>
  <c r="G673" i="34"/>
  <c r="G668" i="34"/>
  <c r="G646" i="34"/>
  <c r="G637" i="34"/>
  <c r="G672" i="34"/>
  <c r="G639" i="34"/>
  <c r="G631" i="34"/>
  <c r="G627" i="34"/>
  <c r="G703" i="34"/>
  <c r="G702" i="34"/>
  <c r="G691" i="34"/>
  <c r="G686" i="34"/>
  <c r="G681" i="34"/>
  <c r="G676" i="34"/>
  <c r="G671" i="34"/>
  <c r="G640" i="34"/>
  <c r="G632" i="34"/>
  <c r="G711" i="34"/>
  <c r="G710" i="34"/>
  <c r="G690" i="34"/>
  <c r="G641" i="34"/>
  <c r="G633" i="34"/>
  <c r="G706" i="34"/>
  <c r="G692" i="34"/>
  <c r="G674" i="34"/>
  <c r="G694" i="34"/>
  <c r="G687" i="34"/>
  <c r="G647" i="34"/>
  <c r="G638" i="34"/>
  <c r="G635" i="34"/>
  <c r="G708" i="34"/>
  <c r="G705" i="34"/>
  <c r="G689" i="34"/>
  <c r="G680" i="34"/>
  <c r="G628" i="34"/>
  <c r="H628" i="34" s="1"/>
  <c r="G682" i="34"/>
  <c r="G634" i="34"/>
  <c r="G684" i="34"/>
  <c r="G675" i="34"/>
  <c r="G643" i="34"/>
  <c r="G630" i="34"/>
  <c r="G670" i="34"/>
  <c r="G642" i="34"/>
  <c r="G679" i="34"/>
  <c r="H706" i="34" l="1"/>
  <c r="H698" i="34"/>
  <c r="H690" i="34"/>
  <c r="H682" i="34"/>
  <c r="H674" i="34"/>
  <c r="H716" i="34"/>
  <c r="H712" i="34"/>
  <c r="H704" i="34"/>
  <c r="H696" i="34"/>
  <c r="H709" i="34"/>
  <c r="H701" i="34"/>
  <c r="H700" i="34"/>
  <c r="H699" i="34"/>
  <c r="H697" i="34"/>
  <c r="H695" i="34"/>
  <c r="H688" i="34"/>
  <c r="H683" i="34"/>
  <c r="H678" i="34"/>
  <c r="H673" i="34"/>
  <c r="H668" i="34"/>
  <c r="H646" i="34"/>
  <c r="H637" i="34"/>
  <c r="H708" i="34"/>
  <c r="H707" i="34"/>
  <c r="H694" i="34"/>
  <c r="H693" i="34"/>
  <c r="H692" i="34"/>
  <c r="H687" i="34"/>
  <c r="H647" i="34"/>
  <c r="H638" i="34"/>
  <c r="H630" i="34"/>
  <c r="H703" i="34"/>
  <c r="H702" i="34"/>
  <c r="H691" i="34"/>
  <c r="H686" i="34"/>
  <c r="H681" i="34"/>
  <c r="H676" i="34"/>
  <c r="H671" i="34"/>
  <c r="H640" i="34"/>
  <c r="H632" i="34"/>
  <c r="H711" i="34"/>
  <c r="H710" i="34"/>
  <c r="H641" i="34"/>
  <c r="H633" i="34"/>
  <c r="H685" i="34"/>
  <c r="H680" i="34"/>
  <c r="H675" i="34"/>
  <c r="H670" i="34"/>
  <c r="H642" i="34"/>
  <c r="H634" i="34"/>
  <c r="H672" i="34"/>
  <c r="H635" i="34"/>
  <c r="H629" i="34"/>
  <c r="H705" i="34"/>
  <c r="H689" i="34"/>
  <c r="H644" i="34"/>
  <c r="H669" i="34"/>
  <c r="H684" i="34"/>
  <c r="H643" i="34"/>
  <c r="H631" i="34"/>
  <c r="H713" i="34"/>
  <c r="H679" i="34"/>
  <c r="H677" i="34"/>
  <c r="H645" i="34"/>
  <c r="H639" i="34"/>
  <c r="H636" i="34"/>
  <c r="G715" i="34"/>
  <c r="H715" i="34" l="1"/>
  <c r="I629" i="34"/>
  <c r="I711" i="34" l="1"/>
  <c r="I703" i="34"/>
  <c r="I695" i="34"/>
  <c r="I687" i="34"/>
  <c r="I679" i="34"/>
  <c r="I671" i="34"/>
  <c r="I709" i="34"/>
  <c r="I701" i="34"/>
  <c r="I693" i="34"/>
  <c r="I706" i="34"/>
  <c r="I708" i="34"/>
  <c r="I707" i="34"/>
  <c r="I696" i="34"/>
  <c r="I694" i="34"/>
  <c r="I692" i="34"/>
  <c r="I647" i="34"/>
  <c r="I638" i="34"/>
  <c r="I630" i="34"/>
  <c r="I682" i="34"/>
  <c r="I677" i="34"/>
  <c r="I672" i="34"/>
  <c r="I639" i="34"/>
  <c r="I631" i="34"/>
  <c r="I710" i="34"/>
  <c r="I641" i="34"/>
  <c r="I633" i="34"/>
  <c r="I690" i="34"/>
  <c r="I685" i="34"/>
  <c r="I680" i="34"/>
  <c r="I675" i="34"/>
  <c r="I670" i="34"/>
  <c r="I642" i="34"/>
  <c r="I634" i="34"/>
  <c r="I705" i="34"/>
  <c r="I704" i="34"/>
  <c r="I689" i="34"/>
  <c r="I684" i="34"/>
  <c r="I643" i="34"/>
  <c r="I635" i="34"/>
  <c r="I712" i="34"/>
  <c r="I697" i="34"/>
  <c r="I683" i="34"/>
  <c r="I674" i="34"/>
  <c r="I716" i="34"/>
  <c r="I676" i="34"/>
  <c r="I644" i="34"/>
  <c r="I632" i="34"/>
  <c r="I702" i="34"/>
  <c r="I699" i="34"/>
  <c r="I678" i="34"/>
  <c r="I669" i="34"/>
  <c r="I691" i="34"/>
  <c r="I673" i="34"/>
  <c r="I646" i="34"/>
  <c r="I640" i="34"/>
  <c r="I637" i="34"/>
  <c r="I713" i="34"/>
  <c r="I698" i="34"/>
  <c r="I686" i="34"/>
  <c r="I688" i="34"/>
  <c r="I668" i="34"/>
  <c r="I645" i="34"/>
  <c r="I636" i="34"/>
  <c r="I700" i="34"/>
  <c r="I681" i="34"/>
  <c r="I715" i="34" l="1"/>
  <c r="J630" i="34"/>
  <c r="J708" i="34" l="1"/>
  <c r="J700" i="34"/>
  <c r="J692" i="34"/>
  <c r="J684" i="34"/>
  <c r="J676" i="34"/>
  <c r="J668" i="34"/>
  <c r="J706" i="34"/>
  <c r="J698" i="34"/>
  <c r="J711" i="34"/>
  <c r="J703" i="34"/>
  <c r="J693" i="34"/>
  <c r="J687" i="34"/>
  <c r="J682" i="34"/>
  <c r="J677" i="34"/>
  <c r="J672" i="34"/>
  <c r="J639" i="34"/>
  <c r="J631" i="34"/>
  <c r="J715" i="34" s="1"/>
  <c r="J716" i="34"/>
  <c r="J702" i="34"/>
  <c r="J701" i="34"/>
  <c r="J691" i="34"/>
  <c r="J686" i="34"/>
  <c r="J681" i="34"/>
  <c r="J640" i="34"/>
  <c r="J632" i="34"/>
  <c r="J690" i="34"/>
  <c r="J685" i="34"/>
  <c r="J680" i="34"/>
  <c r="J675" i="34"/>
  <c r="J670" i="34"/>
  <c r="J642" i="34"/>
  <c r="J634" i="34"/>
  <c r="J705" i="34"/>
  <c r="J704" i="34"/>
  <c r="J689" i="34"/>
  <c r="J643" i="34"/>
  <c r="J635" i="34"/>
  <c r="J713" i="34"/>
  <c r="J712" i="34"/>
  <c r="J679" i="34"/>
  <c r="J674" i="34"/>
  <c r="J669" i="34"/>
  <c r="J645" i="34"/>
  <c r="J644" i="34"/>
  <c r="J636" i="34"/>
  <c r="J709" i="34"/>
  <c r="J699" i="34"/>
  <c r="J694" i="34"/>
  <c r="J678" i="34"/>
  <c r="J647" i="34"/>
  <c r="J641" i="34"/>
  <c r="J638" i="34"/>
  <c r="J696" i="34"/>
  <c r="J673" i="34"/>
  <c r="J671" i="34"/>
  <c r="J646" i="34"/>
  <c r="J637" i="34"/>
  <c r="J710" i="34"/>
  <c r="J707" i="34"/>
  <c r="J688" i="34"/>
  <c r="J695" i="34"/>
  <c r="J633" i="34"/>
  <c r="J683" i="34"/>
  <c r="J697" i="34"/>
  <c r="K644" i="34" l="1"/>
  <c r="L647" i="34"/>
  <c r="K713" i="34" l="1"/>
  <c r="K705" i="34"/>
  <c r="K697" i="34"/>
  <c r="K689" i="34"/>
  <c r="K681" i="34"/>
  <c r="K673" i="34"/>
  <c r="K711" i="34"/>
  <c r="K703" i="34"/>
  <c r="K695" i="34"/>
  <c r="K708" i="34"/>
  <c r="K700" i="34"/>
  <c r="K716" i="34"/>
  <c r="K702" i="34"/>
  <c r="K701" i="34"/>
  <c r="K691" i="34"/>
  <c r="K686" i="34"/>
  <c r="K710" i="34"/>
  <c r="K709" i="34"/>
  <c r="K676" i="34"/>
  <c r="K671" i="34"/>
  <c r="K704" i="34"/>
  <c r="K712" i="34"/>
  <c r="K684" i="34"/>
  <c r="K679" i="34"/>
  <c r="K674" i="34"/>
  <c r="K669" i="34"/>
  <c r="K699" i="34"/>
  <c r="K688" i="34"/>
  <c r="K683" i="34"/>
  <c r="K678" i="34"/>
  <c r="K694" i="34"/>
  <c r="K685" i="34"/>
  <c r="K687" i="34"/>
  <c r="K696" i="34"/>
  <c r="K680" i="34"/>
  <c r="K682" i="34"/>
  <c r="K707" i="34"/>
  <c r="K698" i="34"/>
  <c r="K693" i="34"/>
  <c r="K675" i="34"/>
  <c r="K677" i="34"/>
  <c r="K668" i="34"/>
  <c r="K690" i="34"/>
  <c r="K670" i="34"/>
  <c r="K672" i="34"/>
  <c r="K706" i="34"/>
  <c r="K692" i="34"/>
  <c r="L710" i="34"/>
  <c r="M710" i="34" s="1"/>
  <c r="L702" i="34"/>
  <c r="L694" i="34"/>
  <c r="M694" i="34" s="1"/>
  <c r="L686" i="34"/>
  <c r="L678" i="34"/>
  <c r="M678" i="34" s="1"/>
  <c r="L670" i="34"/>
  <c r="M670" i="34" s="1"/>
  <c r="L708" i="34"/>
  <c r="M708" i="34" s="1"/>
  <c r="L700" i="34"/>
  <c r="M700" i="34" s="1"/>
  <c r="L692" i="34"/>
  <c r="M692" i="34" s="1"/>
  <c r="L713" i="34"/>
  <c r="M713" i="34" s="1"/>
  <c r="L705" i="34"/>
  <c r="M705" i="34" s="1"/>
  <c r="L709" i="34"/>
  <c r="M709" i="34" s="1"/>
  <c r="L681" i="34"/>
  <c r="L676" i="34"/>
  <c r="M676" i="34" s="1"/>
  <c r="L671" i="34"/>
  <c r="L690" i="34"/>
  <c r="M690" i="34" s="1"/>
  <c r="L685" i="34"/>
  <c r="M685" i="34" s="1"/>
  <c r="L680" i="34"/>
  <c r="M680" i="34" s="1"/>
  <c r="L675" i="34"/>
  <c r="L712" i="34"/>
  <c r="M712" i="34" s="1"/>
  <c r="L711" i="34"/>
  <c r="M711" i="34" s="1"/>
  <c r="L689" i="34"/>
  <c r="M689" i="34" s="1"/>
  <c r="L684" i="34"/>
  <c r="M684" i="34" s="1"/>
  <c r="L679" i="34"/>
  <c r="L674" i="34"/>
  <c r="M674" i="34" s="1"/>
  <c r="L669" i="34"/>
  <c r="M669" i="34" s="1"/>
  <c r="L699" i="34"/>
  <c r="M699" i="34" s="1"/>
  <c r="L688" i="34"/>
  <c r="L683" i="34"/>
  <c r="L707" i="34"/>
  <c r="M707" i="34" s="1"/>
  <c r="L706" i="34"/>
  <c r="M706" i="34" s="1"/>
  <c r="L698" i="34"/>
  <c r="M698" i="34" s="1"/>
  <c r="L697" i="34"/>
  <c r="M697" i="34" s="1"/>
  <c r="L696" i="34"/>
  <c r="M696" i="34" s="1"/>
  <c r="L673" i="34"/>
  <c r="M673" i="34" s="1"/>
  <c r="L668" i="34"/>
  <c r="L716" i="34"/>
  <c r="L687" i="34"/>
  <c r="M687" i="34" s="1"/>
  <c r="L691" i="34"/>
  <c r="M691" i="34" s="1"/>
  <c r="L682" i="34"/>
  <c r="M682" i="34" s="1"/>
  <c r="L693" i="34"/>
  <c r="M693" i="34" s="1"/>
  <c r="L704" i="34"/>
  <c r="L701" i="34"/>
  <c r="M701" i="34" s="1"/>
  <c r="L677" i="34"/>
  <c r="M677" i="34" s="1"/>
  <c r="L695" i="34"/>
  <c r="M695" i="34" s="1"/>
  <c r="L672" i="34"/>
  <c r="M672" i="34" s="1"/>
  <c r="L703" i="34"/>
  <c r="M679" i="34" l="1"/>
  <c r="M703" i="34"/>
  <c r="M671" i="34"/>
  <c r="M681" i="34"/>
  <c r="L715" i="34"/>
  <c r="M668" i="34"/>
  <c r="M688" i="34"/>
  <c r="M686" i="34"/>
  <c r="M683" i="34"/>
  <c r="K715" i="34"/>
  <c r="M675" i="34"/>
  <c r="M704" i="34"/>
  <c r="M702" i="34"/>
  <c r="M715" i="34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Y2" i="30"/>
  <c r="W2" i="30"/>
  <c r="U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G2" i="29"/>
  <c r="F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3" i="8"/>
  <c r="C31" i="8"/>
  <c r="C29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31" i="33"/>
  <c r="D11" i="33"/>
  <c r="I94" i="15"/>
  <c r="I93" i="15"/>
  <c r="I92" i="15"/>
  <c r="I91" i="15"/>
  <c r="I90" i="15"/>
  <c r="I89" i="15"/>
  <c r="B89" i="15"/>
  <c r="I88" i="15"/>
  <c r="I87" i="15"/>
  <c r="I86" i="15"/>
  <c r="I85" i="15"/>
  <c r="I84" i="15"/>
  <c r="I83" i="15"/>
  <c r="I82" i="15"/>
  <c r="B82" i="15"/>
  <c r="I81" i="15"/>
  <c r="B81" i="15"/>
  <c r="I80" i="15"/>
  <c r="B80" i="15"/>
  <c r="I79" i="15"/>
  <c r="I78" i="15"/>
  <c r="I77" i="15"/>
  <c r="I76" i="15"/>
  <c r="I75" i="15"/>
  <c r="I74" i="15"/>
  <c r="B74" i="15"/>
  <c r="I73" i="15"/>
  <c r="B73" i="15"/>
  <c r="I72" i="15"/>
  <c r="I71" i="15"/>
  <c r="I70" i="15"/>
  <c r="E69" i="15"/>
  <c r="D69" i="15"/>
  <c r="I68" i="15"/>
  <c r="I67" i="15"/>
  <c r="I66" i="15"/>
  <c r="B66" i="15"/>
  <c r="B65" i="15"/>
  <c r="E64" i="15"/>
  <c r="D64" i="15"/>
  <c r="E63" i="15"/>
  <c r="D63" i="15"/>
  <c r="I62" i="15"/>
  <c r="I61" i="15"/>
  <c r="I60" i="15"/>
  <c r="E59" i="15"/>
  <c r="D59" i="15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E54" i="15"/>
  <c r="D54" i="15"/>
  <c r="E53" i="15"/>
  <c r="D53" i="15"/>
  <c r="E52" i="15"/>
  <c r="D52" i="15"/>
  <c r="E51" i="15"/>
  <c r="D51" i="15"/>
  <c r="E50" i="15"/>
  <c r="D50" i="15"/>
  <c r="B50" i="15"/>
  <c r="H50" i="15" s="1"/>
  <c r="I50" i="15" s="1"/>
  <c r="E49" i="15"/>
  <c r="D49" i="15"/>
  <c r="B49" i="15"/>
  <c r="E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B42" i="15"/>
  <c r="H42" i="15" s="1"/>
  <c r="I42" i="15" s="1"/>
  <c r="E41" i="15"/>
  <c r="D41" i="15"/>
  <c r="B41" i="15"/>
  <c r="H41" i="15" s="1"/>
  <c r="I41" i="15" s="1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B33" i="15"/>
  <c r="I32" i="15"/>
  <c r="B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B25" i="15"/>
  <c r="H25" i="15" s="1"/>
  <c r="I25" i="15" s="1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B18" i="15"/>
  <c r="H18" i="15" s="1"/>
  <c r="I18" i="15" s="1"/>
  <c r="E17" i="15"/>
  <c r="D17" i="15"/>
  <c r="B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D360" i="24"/>
  <c r="D340" i="24"/>
  <c r="C86" i="8" s="1"/>
  <c r="D339" i="24"/>
  <c r="D329" i="24"/>
  <c r="C74" i="8" s="1"/>
  <c r="D306" i="24"/>
  <c r="C49" i="8" s="1"/>
  <c r="D299" i="24"/>
  <c r="C42" i="8" s="1"/>
  <c r="D281" i="24"/>
  <c r="C22" i="8" s="1"/>
  <c r="D276" i="24"/>
  <c r="D256" i="24"/>
  <c r="C365" i="24" s="1"/>
  <c r="D252" i="24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E218" i="24"/>
  <c r="F14" i="6" s="1"/>
  <c r="E217" i="24"/>
  <c r="F13" i="6" s="1"/>
  <c r="E216" i="24"/>
  <c r="E215" i="24"/>
  <c r="F11" i="6" s="1"/>
  <c r="E214" i="24"/>
  <c r="E213" i="24"/>
  <c r="E212" i="24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E160" i="24"/>
  <c r="E158" i="24"/>
  <c r="F10" i="4" s="1"/>
  <c r="E157" i="24"/>
  <c r="E10" i="4" s="1"/>
  <c r="E156" i="24"/>
  <c r="D10" i="4" s="1"/>
  <c r="E155" i="24"/>
  <c r="E154" i="24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9" i="24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 s="1"/>
  <c r="I371" i="32" s="1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2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B10" i="4" l="1"/>
  <c r="C127" i="24"/>
  <c r="C10" i="4"/>
  <c r="D127" i="24"/>
  <c r="B19" i="4"/>
  <c r="C128" i="24"/>
  <c r="F7" i="6"/>
  <c r="C283" i="24"/>
  <c r="F8" i="6"/>
  <c r="C284" i="24"/>
  <c r="F9" i="6"/>
  <c r="C285" i="24"/>
  <c r="F10" i="6"/>
  <c r="C286" i="24"/>
  <c r="F12" i="6"/>
  <c r="C288" i="24"/>
  <c r="F15" i="6"/>
  <c r="C290" i="24"/>
  <c r="C19" i="4"/>
  <c r="D128" i="24"/>
  <c r="AO85" i="24"/>
  <c r="BU85" i="24"/>
  <c r="BQ2" i="30"/>
  <c r="D383" i="24"/>
  <c r="C137" i="8" s="1"/>
  <c r="D13" i="7"/>
  <c r="C363" i="24"/>
  <c r="D85" i="24"/>
  <c r="L85" i="24"/>
  <c r="Q85" i="24"/>
  <c r="Y85" i="24"/>
  <c r="AG85" i="24"/>
  <c r="BE85" i="24"/>
  <c r="BM85" i="24"/>
  <c r="BX85" i="24"/>
  <c r="B24" i="15"/>
  <c r="F24" i="15" s="1"/>
  <c r="B40" i="15"/>
  <c r="B88" i="15"/>
  <c r="B48" i="15"/>
  <c r="B72" i="15"/>
  <c r="B16" i="15"/>
  <c r="H16" i="15" s="1"/>
  <c r="I16" i="15" s="1"/>
  <c r="B23" i="15"/>
  <c r="F23" i="15" s="1"/>
  <c r="B31" i="15"/>
  <c r="B39" i="15"/>
  <c r="H39" i="15" s="1"/>
  <c r="I39" i="15" s="1"/>
  <c r="B47" i="15"/>
  <c r="B55" i="15"/>
  <c r="H55" i="15" s="1"/>
  <c r="I55" i="15" s="1"/>
  <c r="B63" i="15"/>
  <c r="B71" i="15"/>
  <c r="B79" i="15"/>
  <c r="B87" i="15"/>
  <c r="B26" i="15"/>
  <c r="B34" i="15"/>
  <c r="F34" i="15" s="1"/>
  <c r="B90" i="15"/>
  <c r="B60" i="15"/>
  <c r="B92" i="15"/>
  <c r="F33" i="15"/>
  <c r="F48" i="15"/>
  <c r="F56" i="15"/>
  <c r="F17" i="15"/>
  <c r="F41" i="15"/>
  <c r="F25" i="15"/>
  <c r="F49" i="15"/>
  <c r="F57" i="15"/>
  <c r="H7" i="31"/>
  <c r="H12" i="32"/>
  <c r="H85" i="24"/>
  <c r="H23" i="31"/>
  <c r="C108" i="32"/>
  <c r="X85" i="24"/>
  <c r="H39" i="31"/>
  <c r="E172" i="32"/>
  <c r="AN85" i="24"/>
  <c r="H55" i="31"/>
  <c r="G236" i="32"/>
  <c r="BD85" i="24"/>
  <c r="H71" i="31"/>
  <c r="I300" i="32"/>
  <c r="BT85" i="24"/>
  <c r="M77" i="31"/>
  <c r="H337" i="32"/>
  <c r="D117" i="32"/>
  <c r="C690" i="24"/>
  <c r="C37" i="15"/>
  <c r="G37" i="15" s="1"/>
  <c r="M6" i="31"/>
  <c r="G17" i="32"/>
  <c r="M22" i="31"/>
  <c r="I81" i="32"/>
  <c r="M46" i="31"/>
  <c r="E209" i="32"/>
  <c r="M78" i="31"/>
  <c r="I337" i="32"/>
  <c r="H17" i="31"/>
  <c r="D76" i="32"/>
  <c r="R85" i="24"/>
  <c r="H33" i="31"/>
  <c r="F140" i="32"/>
  <c r="AH85" i="24"/>
  <c r="H57" i="31"/>
  <c r="I236" i="32"/>
  <c r="BF85" i="24"/>
  <c r="H73" i="31"/>
  <c r="D332" i="32"/>
  <c r="BV85" i="24"/>
  <c r="M15" i="31"/>
  <c r="I49" i="32"/>
  <c r="M31" i="31"/>
  <c r="D145" i="32"/>
  <c r="M47" i="31"/>
  <c r="F209" i="32"/>
  <c r="M63" i="31"/>
  <c r="H273" i="32"/>
  <c r="M71" i="31"/>
  <c r="I305" i="32"/>
  <c r="H2" i="31"/>
  <c r="C12" i="32"/>
  <c r="CE62" i="24"/>
  <c r="I364" i="32" s="1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42" i="31"/>
  <c r="H172" i="32"/>
  <c r="AQ85" i="24"/>
  <c r="H50" i="31"/>
  <c r="I204" i="32"/>
  <c r="AY85" i="24"/>
  <c r="H58" i="31"/>
  <c r="C268" i="32"/>
  <c r="BG85" i="24"/>
  <c r="H66" i="31"/>
  <c r="D300" i="32"/>
  <c r="BO85" i="24"/>
  <c r="H74" i="31"/>
  <c r="E332" i="32"/>
  <c r="BW85" i="24"/>
  <c r="E53" i="32"/>
  <c r="C24" i="15"/>
  <c r="C677" i="24"/>
  <c r="E149" i="32"/>
  <c r="C45" i="15"/>
  <c r="G45" i="15" s="1"/>
  <c r="C698" i="24"/>
  <c r="F341" i="32"/>
  <c r="C88" i="15"/>
  <c r="G88" i="15" s="1"/>
  <c r="C644" i="24"/>
  <c r="M61" i="31"/>
  <c r="F273" i="32"/>
  <c r="M33" i="31"/>
  <c r="F145" i="32"/>
  <c r="M41" i="31"/>
  <c r="G177" i="32"/>
  <c r="M57" i="31"/>
  <c r="I241" i="32"/>
  <c r="M65" i="31"/>
  <c r="C305" i="32"/>
  <c r="H245" i="32"/>
  <c r="C69" i="15"/>
  <c r="G69" i="15" s="1"/>
  <c r="C614" i="24"/>
  <c r="M25" i="31"/>
  <c r="E113" i="32"/>
  <c r="H20" i="31"/>
  <c r="G76" i="32"/>
  <c r="U85" i="24"/>
  <c r="H44" i="31"/>
  <c r="C204" i="32"/>
  <c r="AS85" i="24"/>
  <c r="H60" i="31"/>
  <c r="E268" i="32"/>
  <c r="BI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C85" i="32"/>
  <c r="C682" i="24"/>
  <c r="C29" i="15"/>
  <c r="G29" i="15" s="1"/>
  <c r="M38" i="31"/>
  <c r="D177" i="32"/>
  <c r="H12" i="31"/>
  <c r="F44" i="32"/>
  <c r="M85" i="24"/>
  <c r="H28" i="31"/>
  <c r="H108" i="32"/>
  <c r="AC85" i="24"/>
  <c r="H52" i="31"/>
  <c r="D236" i="32"/>
  <c r="BA85" i="24"/>
  <c r="H68" i="31"/>
  <c r="F300" i="32"/>
  <c r="BQ85" i="24"/>
  <c r="H5" i="31"/>
  <c r="F12" i="32"/>
  <c r="F85" i="24"/>
  <c r="H21" i="31"/>
  <c r="H76" i="32"/>
  <c r="V85" i="24"/>
  <c r="H37" i="31"/>
  <c r="C172" i="32"/>
  <c r="AL85" i="24"/>
  <c r="H53" i="31"/>
  <c r="E236" i="32"/>
  <c r="BB85" i="24"/>
  <c r="H69" i="31"/>
  <c r="G300" i="32"/>
  <c r="BR85" i="24"/>
  <c r="M19" i="31"/>
  <c r="F81" i="32"/>
  <c r="M59" i="31"/>
  <c r="D273" i="32"/>
  <c r="H15" i="31"/>
  <c r="I44" i="32"/>
  <c r="P85" i="24"/>
  <c r="H31" i="31"/>
  <c r="D140" i="32"/>
  <c r="AF85" i="24"/>
  <c r="H47" i="31"/>
  <c r="F204" i="32"/>
  <c r="AV85" i="24"/>
  <c r="H63" i="31"/>
  <c r="H268" i="32"/>
  <c r="BL85" i="24"/>
  <c r="M13" i="31"/>
  <c r="G49" i="32"/>
  <c r="M37" i="31"/>
  <c r="C177" i="32"/>
  <c r="D21" i="32"/>
  <c r="C16" i="15"/>
  <c r="G16" i="15" s="1"/>
  <c r="C669" i="24"/>
  <c r="H80" i="31"/>
  <c r="D364" i="32"/>
  <c r="CC85" i="24"/>
  <c r="M14" i="31"/>
  <c r="H49" i="32"/>
  <c r="M30" i="31"/>
  <c r="C145" i="32"/>
  <c r="M62" i="31"/>
  <c r="G273" i="32"/>
  <c r="M70" i="31"/>
  <c r="H305" i="32"/>
  <c r="H9" i="31"/>
  <c r="C44" i="32"/>
  <c r="J85" i="24"/>
  <c r="H25" i="31"/>
  <c r="E108" i="32"/>
  <c r="Z85" i="24"/>
  <c r="H41" i="31"/>
  <c r="G172" i="32"/>
  <c r="AP85" i="24"/>
  <c r="H49" i="31"/>
  <c r="H204" i="32"/>
  <c r="AX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36" i="31"/>
  <c r="I140" i="32"/>
  <c r="AK85" i="24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W85" i="24"/>
  <c r="I277" i="32"/>
  <c r="C77" i="15"/>
  <c r="G77" i="15" s="1"/>
  <c r="C638" i="24"/>
  <c r="I378" i="32"/>
  <c r="K612" i="24"/>
  <c r="H19" i="31"/>
  <c r="F76" i="32"/>
  <c r="H67" i="31"/>
  <c r="E300" i="32"/>
  <c r="AE47" i="31"/>
  <c r="F218" i="32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Z85" i="24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M9" i="31"/>
  <c r="C49" i="32"/>
  <c r="M45" i="31"/>
  <c r="D209" i="32"/>
  <c r="O9" i="31"/>
  <c r="C51" i="32"/>
  <c r="O41" i="31"/>
  <c r="G179" i="32"/>
  <c r="E371" i="32"/>
  <c r="C615" i="24"/>
  <c r="T85" i="24"/>
  <c r="C85" i="15"/>
  <c r="G85" i="15" s="1"/>
  <c r="C341" i="32"/>
  <c r="AE31" i="31"/>
  <c r="D154" i="32"/>
  <c r="H76" i="31"/>
  <c r="G332" i="32"/>
  <c r="H78" i="31"/>
  <c r="I332" i="32"/>
  <c r="CA85" i="24"/>
  <c r="C67" i="24"/>
  <c r="C85" i="24" s="1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H14" i="31"/>
  <c r="H44" i="32"/>
  <c r="H54" i="31"/>
  <c r="F236" i="32"/>
  <c r="BC85" i="24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D27" i="7" s="1"/>
  <c r="CP2" i="30"/>
  <c r="D416" i="24"/>
  <c r="G211" i="32"/>
  <c r="C236" i="32"/>
  <c r="H75" i="31"/>
  <c r="F332" i="32"/>
  <c r="H30" i="31"/>
  <c r="C140" i="32"/>
  <c r="AE85" i="24"/>
  <c r="H62" i="31"/>
  <c r="G268" i="32"/>
  <c r="BK85" i="24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O85" i="24"/>
  <c r="BY85" i="24"/>
  <c r="E220" i="24"/>
  <c r="C83" i="32"/>
  <c r="M36" i="31"/>
  <c r="I145" i="32"/>
  <c r="O49" i="31"/>
  <c r="H211" i="32"/>
  <c r="H6" i="31"/>
  <c r="G12" i="32"/>
  <c r="H38" i="31"/>
  <c r="D172" i="32"/>
  <c r="AM85" i="24"/>
  <c r="H70" i="31"/>
  <c r="H300" i="32"/>
  <c r="BS85" i="24"/>
  <c r="M3" i="31"/>
  <c r="D17" i="32"/>
  <c r="M67" i="31"/>
  <c r="E305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56" i="31"/>
  <c r="H236" i="32"/>
  <c r="H72" i="31"/>
  <c r="C33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AJ85" i="24"/>
  <c r="BP85" i="24"/>
  <c r="C16" i="8"/>
  <c r="CE48" i="24"/>
  <c r="H27" i="31"/>
  <c r="G108" i="32"/>
  <c r="H59" i="31"/>
  <c r="D268" i="32"/>
  <c r="M27" i="31"/>
  <c r="G113" i="32"/>
  <c r="M54" i="31"/>
  <c r="F241" i="32"/>
  <c r="O17" i="31"/>
  <c r="D83" i="32"/>
  <c r="O33" i="31"/>
  <c r="F147" i="32"/>
  <c r="O73" i="31"/>
  <c r="D339" i="32"/>
  <c r="F181" i="32"/>
  <c r="C53" i="15"/>
  <c r="G53" i="15" s="1"/>
  <c r="C706" i="24"/>
  <c r="AE7" i="31"/>
  <c r="H26" i="32"/>
  <c r="AE15" i="31"/>
  <c r="I58" i="32"/>
  <c r="AE23" i="31"/>
  <c r="C122" i="32"/>
  <c r="AE39" i="31"/>
  <c r="E186" i="32"/>
  <c r="G28" i="4"/>
  <c r="E28" i="4"/>
  <c r="E233" i="24"/>
  <c r="H22" i="31"/>
  <c r="I76" i="32"/>
  <c r="H46" i="31"/>
  <c r="E204" i="32"/>
  <c r="AU85" i="24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H48" i="31"/>
  <c r="G204" i="32"/>
  <c r="H64" i="31"/>
  <c r="I268" i="32"/>
  <c r="M5" i="31"/>
  <c r="F17" i="32"/>
  <c r="I85" i="24"/>
  <c r="AW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AB85" i="24"/>
  <c r="BH8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C641" i="24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E380" i="24"/>
  <c r="F420" i="24"/>
  <c r="F18" i="15"/>
  <c r="F42" i="15"/>
  <c r="F50" i="15"/>
  <c r="F58" i="15"/>
  <c r="F47" i="15"/>
  <c r="F55" i="15"/>
  <c r="B64" i="15"/>
  <c r="B94" i="15"/>
  <c r="F32" i="6" l="1"/>
  <c r="C292" i="24"/>
  <c r="X2" i="30"/>
  <c r="C32" i="8"/>
  <c r="V2" i="30"/>
  <c r="C30" i="8"/>
  <c r="T2" i="30"/>
  <c r="C28" i="8"/>
  <c r="S2" i="30"/>
  <c r="C27" i="8"/>
  <c r="R2" i="30"/>
  <c r="C26" i="8"/>
  <c r="Q2" i="30"/>
  <c r="C25" i="8"/>
  <c r="D291" i="24"/>
  <c r="D293" i="24" s="1"/>
  <c r="E2" i="29"/>
  <c r="F24" i="3"/>
  <c r="H2" i="29"/>
  <c r="G23" i="3"/>
  <c r="D2" i="29"/>
  <c r="F23" i="3"/>
  <c r="I2" i="29"/>
  <c r="G24" i="3"/>
  <c r="BN2" i="30"/>
  <c r="C117" i="8"/>
  <c r="D366" i="24"/>
  <c r="G24" i="15"/>
  <c r="H24" i="15"/>
  <c r="I24" i="15" s="1"/>
  <c r="H23" i="15"/>
  <c r="I23" i="15" s="1"/>
  <c r="F26" i="15"/>
  <c r="F16" i="15"/>
  <c r="F63" i="15"/>
  <c r="B28" i="15"/>
  <c r="F39" i="15"/>
  <c r="H34" i="15"/>
  <c r="I34" i="15" s="1"/>
  <c r="C15" i="15"/>
  <c r="G15" i="15" s="1"/>
  <c r="C668" i="24"/>
  <c r="C21" i="32"/>
  <c r="CE85" i="24"/>
  <c r="B22" i="15"/>
  <c r="C68" i="8"/>
  <c r="D350" i="24"/>
  <c r="H277" i="32"/>
  <c r="C76" i="15"/>
  <c r="G76" i="15" s="1"/>
  <c r="C637" i="24"/>
  <c r="G309" i="32"/>
  <c r="C82" i="15"/>
  <c r="G82" i="15" s="1"/>
  <c r="C626" i="24"/>
  <c r="F53" i="32"/>
  <c r="C25" i="15"/>
  <c r="G25" i="15" s="1"/>
  <c r="C678" i="24"/>
  <c r="G21" i="32"/>
  <c r="C19" i="15"/>
  <c r="G19" i="15" s="1"/>
  <c r="C672" i="24"/>
  <c r="C167" i="8"/>
  <c r="D32" i="33"/>
  <c r="E414" i="24"/>
  <c r="I117" i="32"/>
  <c r="C42" i="15"/>
  <c r="G42" i="15" s="1"/>
  <c r="C695" i="24"/>
  <c r="I53" i="32"/>
  <c r="C28" i="15"/>
  <c r="G28" i="15" s="1"/>
  <c r="C681" i="24"/>
  <c r="H85" i="32"/>
  <c r="C34" i="15"/>
  <c r="G34" i="15" s="1"/>
  <c r="C687" i="24"/>
  <c r="C213" i="32"/>
  <c r="C57" i="15"/>
  <c r="G57" i="15" s="1"/>
  <c r="C710" i="24"/>
  <c r="D615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B37" i="15"/>
  <c r="B29" i="15"/>
  <c r="B78" i="15"/>
  <c r="B85" i="15"/>
  <c r="B21" i="15"/>
  <c r="B67" i="15"/>
  <c r="B70" i="15"/>
  <c r="H64" i="15"/>
  <c r="I64" i="15" s="1"/>
  <c r="F64" i="15"/>
  <c r="C149" i="32"/>
  <c r="C696" i="24"/>
  <c r="C43" i="15"/>
  <c r="G43" i="15" s="1"/>
  <c r="E21" i="32"/>
  <c r="C17" i="15"/>
  <c r="C670" i="24"/>
  <c r="H213" i="32"/>
  <c r="C62" i="15"/>
  <c r="C616" i="24"/>
  <c r="C65" i="15"/>
  <c r="D245" i="32"/>
  <c r="C630" i="24"/>
  <c r="D309" i="32"/>
  <c r="C79" i="15"/>
  <c r="G79" i="15" s="1"/>
  <c r="C627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74" i="15"/>
  <c r="G74" i="15" s="1"/>
  <c r="F277" i="32"/>
  <c r="C617" i="24"/>
  <c r="C53" i="32"/>
  <c r="C22" i="15"/>
  <c r="G22" i="15" s="1"/>
  <c r="C675" i="24"/>
  <c r="F213" i="32"/>
  <c r="C60" i="15"/>
  <c r="C713" i="24"/>
  <c r="E245" i="32"/>
  <c r="C66" i="15"/>
  <c r="G66" i="15" s="1"/>
  <c r="C632" i="24"/>
  <c r="H181" i="32"/>
  <c r="C55" i="15"/>
  <c r="G55" i="15" s="1"/>
  <c r="C708" i="24"/>
  <c r="I245" i="32"/>
  <c r="C70" i="15"/>
  <c r="G70" i="15" s="1"/>
  <c r="C629" i="24"/>
  <c r="B86" i="15"/>
  <c r="C373" i="32"/>
  <c r="C92" i="15"/>
  <c r="G92" i="15" s="1"/>
  <c r="C622" i="24"/>
  <c r="B75" i="15"/>
  <c r="B77" i="15"/>
  <c r="B59" i="15"/>
  <c r="B62" i="15"/>
  <c r="B54" i="15"/>
  <c r="G213" i="32"/>
  <c r="C61" i="15"/>
  <c r="C631" i="24"/>
  <c r="G341" i="32"/>
  <c r="C89" i="15"/>
  <c r="G89" i="15" s="1"/>
  <c r="C645" i="24"/>
  <c r="I181" i="32"/>
  <c r="C56" i="15"/>
  <c r="G56" i="15" s="1"/>
  <c r="C709" i="24"/>
  <c r="I341" i="32"/>
  <c r="C91" i="15"/>
  <c r="G91" i="15" s="1"/>
  <c r="C647" i="24"/>
  <c r="G53" i="32"/>
  <c r="C26" i="15"/>
  <c r="C679" i="24"/>
  <c r="F21" i="32"/>
  <c r="C18" i="15"/>
  <c r="G18" i="15" s="1"/>
  <c r="C671" i="24"/>
  <c r="G85" i="32"/>
  <c r="C33" i="15"/>
  <c r="C686" i="24"/>
  <c r="C31" i="15"/>
  <c r="G31" i="15" s="1"/>
  <c r="C684" i="24"/>
  <c r="E85" i="32"/>
  <c r="G245" i="32"/>
  <c r="C68" i="15"/>
  <c r="G68" i="15" s="1"/>
  <c r="C624" i="24"/>
  <c r="H341" i="32"/>
  <c r="C90" i="15"/>
  <c r="G90" i="15" s="1"/>
  <c r="C646" i="24"/>
  <c r="C63" i="15"/>
  <c r="C625" i="24"/>
  <c r="I213" i="32"/>
  <c r="D341" i="32"/>
  <c r="C86" i="15"/>
  <c r="G86" i="15" s="1"/>
  <c r="C642" i="24"/>
  <c r="I381" i="32"/>
  <c r="G612" i="24"/>
  <c r="CF91" i="24"/>
  <c r="G117" i="32"/>
  <c r="C40" i="15"/>
  <c r="G40" i="15" s="1"/>
  <c r="C693" i="24"/>
  <c r="B68" i="15"/>
  <c r="E213" i="32"/>
  <c r="C712" i="24"/>
  <c r="C59" i="15"/>
  <c r="G59" i="15" s="1"/>
  <c r="B69" i="15"/>
  <c r="B15" i="15"/>
  <c r="B51" i="15"/>
  <c r="B36" i="15"/>
  <c r="B61" i="15"/>
  <c r="B76" i="15"/>
  <c r="B43" i="15"/>
  <c r="B46" i="15"/>
  <c r="I21" i="32"/>
  <c r="C674" i="24"/>
  <c r="C21" i="15"/>
  <c r="G21" i="15" s="1"/>
  <c r="H53" i="32"/>
  <c r="C27" i="15"/>
  <c r="G27" i="15" s="1"/>
  <c r="C680" i="24"/>
  <c r="F85" i="32"/>
  <c r="C32" i="15"/>
  <c r="G32" i="15" s="1"/>
  <c r="C685" i="24"/>
  <c r="C245" i="32"/>
  <c r="C64" i="15"/>
  <c r="G64" i="15" s="1"/>
  <c r="C628" i="24"/>
  <c r="G181" i="32"/>
  <c r="C54" i="15"/>
  <c r="G54" i="15" s="1"/>
  <c r="C707" i="24"/>
  <c r="H117" i="32"/>
  <c r="C41" i="15"/>
  <c r="G41" i="15" s="1"/>
  <c r="C694" i="24"/>
  <c r="C277" i="32"/>
  <c r="C71" i="15"/>
  <c r="G71" i="15" s="1"/>
  <c r="C618" i="24"/>
  <c r="H21" i="32"/>
  <c r="C20" i="15"/>
  <c r="G20" i="15" s="1"/>
  <c r="C673" i="24"/>
  <c r="B20" i="15"/>
  <c r="B19" i="15"/>
  <c r="D181" i="32"/>
  <c r="C704" i="24"/>
  <c r="C51" i="15"/>
  <c r="G51" i="15" s="1"/>
  <c r="B35" i="15"/>
  <c r="D213" i="32"/>
  <c r="C58" i="15"/>
  <c r="G58" i="15" s="1"/>
  <c r="C711" i="24"/>
  <c r="D373" i="32"/>
  <c r="C93" i="15"/>
  <c r="G93" i="15" s="1"/>
  <c r="C620" i="24"/>
  <c r="D149" i="32"/>
  <c r="C44" i="15"/>
  <c r="G44" i="15" s="1"/>
  <c r="C697" i="24"/>
  <c r="C181" i="32"/>
  <c r="C50" i="15"/>
  <c r="G50" i="15" s="1"/>
  <c r="C703" i="24"/>
  <c r="E277" i="32"/>
  <c r="C73" i="15"/>
  <c r="G73" i="15" s="1"/>
  <c r="C634" i="24"/>
  <c r="G149" i="32"/>
  <c r="C47" i="15"/>
  <c r="C700" i="24"/>
  <c r="F149" i="32"/>
  <c r="C46" i="15"/>
  <c r="G46" i="15" s="1"/>
  <c r="C699" i="24"/>
  <c r="B83" i="15"/>
  <c r="D277" i="32"/>
  <c r="C72" i="15"/>
  <c r="G72" i="15" s="1"/>
  <c r="C636" i="24"/>
  <c r="H149" i="32"/>
  <c r="C48" i="15"/>
  <c r="C701" i="24"/>
  <c r="E117" i="32"/>
  <c r="C38" i="15"/>
  <c r="G38" i="15" s="1"/>
  <c r="C691" i="24"/>
  <c r="B93" i="15"/>
  <c r="B84" i="15"/>
  <c r="B53" i="15"/>
  <c r="B44" i="15"/>
  <c r="B38" i="15"/>
  <c r="H309" i="32"/>
  <c r="C83" i="15"/>
  <c r="G83" i="15" s="1"/>
  <c r="C639" i="24"/>
  <c r="B52" i="15"/>
  <c r="B45" i="15"/>
  <c r="B91" i="15"/>
  <c r="B27" i="15"/>
  <c r="B30" i="15"/>
  <c r="E373" i="32"/>
  <c r="C94" i="15"/>
  <c r="G94" i="15" s="1"/>
  <c r="E309" i="32"/>
  <c r="C80" i="15"/>
  <c r="G80" i="15" s="1"/>
  <c r="C621" i="24"/>
  <c r="G277" i="32"/>
  <c r="C75" i="15"/>
  <c r="G75" i="15" s="1"/>
  <c r="C635" i="24"/>
  <c r="F245" i="32"/>
  <c r="C67" i="15"/>
  <c r="G67" i="15" s="1"/>
  <c r="C633" i="24"/>
  <c r="I149" i="32"/>
  <c r="C49" i="15"/>
  <c r="C702" i="24"/>
  <c r="C309" i="32"/>
  <c r="C619" i="24"/>
  <c r="C78" i="15"/>
  <c r="G78" i="15" s="1"/>
  <c r="F309" i="32"/>
  <c r="C81" i="15"/>
  <c r="G81" i="15" s="1"/>
  <c r="C623" i="24"/>
  <c r="E341" i="32"/>
  <c r="C87" i="15"/>
  <c r="G87" i="15" s="1"/>
  <c r="C643" i="24"/>
  <c r="D53" i="32"/>
  <c r="C23" i="15"/>
  <c r="G23" i="15" s="1"/>
  <c r="C676" i="24"/>
  <c r="E181" i="32"/>
  <c r="C52" i="15"/>
  <c r="G52" i="15" s="1"/>
  <c r="C705" i="24"/>
  <c r="C35" i="8" l="1"/>
  <c r="D308" i="24"/>
  <c r="Z2" i="30"/>
  <c r="C34" i="8"/>
  <c r="C120" i="8"/>
  <c r="D367" i="24"/>
  <c r="G49" i="15"/>
  <c r="H49" i="15"/>
  <c r="I49" i="15" s="1"/>
  <c r="G48" i="15"/>
  <c r="H48" i="15"/>
  <c r="G47" i="15"/>
  <c r="H47" i="15"/>
  <c r="G63" i="15"/>
  <c r="H63" i="15"/>
  <c r="G33" i="15"/>
  <c r="H33" i="15"/>
  <c r="G26" i="15"/>
  <c r="H26" i="15"/>
  <c r="I26" i="15" s="1"/>
  <c r="I65" i="15"/>
  <c r="C715" i="24"/>
  <c r="G17" i="15"/>
  <c r="H17" i="15"/>
  <c r="I17" i="15" s="1"/>
  <c r="H28" i="15"/>
  <c r="I28" i="15" s="1"/>
  <c r="F28" i="15"/>
  <c r="F53" i="15"/>
  <c r="H53" i="15" s="1"/>
  <c r="I53" i="15" s="1"/>
  <c r="F35" i="15"/>
  <c r="H35" i="15" s="1"/>
  <c r="I35" i="15" s="1"/>
  <c r="F15" i="15"/>
  <c r="H15" i="15"/>
  <c r="I15" i="15" s="1"/>
  <c r="H59" i="15"/>
  <c r="I59" i="15" s="1"/>
  <c r="F59" i="15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D668" i="24"/>
  <c r="D633" i="24"/>
  <c r="D698" i="24"/>
  <c r="D692" i="24"/>
  <c r="D670" i="24"/>
  <c r="D642" i="24"/>
  <c r="D641" i="24"/>
  <c r="H27" i="15"/>
  <c r="I27" i="15" s="1"/>
  <c r="F27" i="15"/>
  <c r="C648" i="24"/>
  <c r="M716" i="24" s="1"/>
  <c r="H52" i="15"/>
  <c r="I52" i="15" s="1"/>
  <c r="F52" i="15"/>
  <c r="H22" i="15"/>
  <c r="I22" i="15" s="1"/>
  <c r="F22" i="15"/>
  <c r="H30" i="15"/>
  <c r="I30" i="15" s="1"/>
  <c r="F30" i="15"/>
  <c r="F69" i="15"/>
  <c r="H69" i="15" s="1"/>
  <c r="H29" i="15"/>
  <c r="I29" i="15" s="1"/>
  <c r="F29" i="15"/>
  <c r="F36" i="15"/>
  <c r="H36" i="15" s="1"/>
  <c r="H54" i="15"/>
  <c r="I54" i="15" s="1"/>
  <c r="F54" i="15"/>
  <c r="I373" i="32"/>
  <c r="C716" i="24"/>
  <c r="H46" i="15"/>
  <c r="I46" i="15" s="1"/>
  <c r="F46" i="15"/>
  <c r="F45" i="15"/>
  <c r="H45" i="15" s="1"/>
  <c r="I45" i="15" s="1"/>
  <c r="H19" i="15"/>
  <c r="I19" i="15" s="1"/>
  <c r="F19" i="15"/>
  <c r="H21" i="15"/>
  <c r="I21" i="15" s="1"/>
  <c r="F21" i="15"/>
  <c r="F37" i="15"/>
  <c r="H37" i="15" s="1"/>
  <c r="I37" i="15" s="1"/>
  <c r="H38" i="15"/>
  <c r="I38" i="15" s="1"/>
  <c r="F38" i="15"/>
  <c r="H44" i="15"/>
  <c r="I44" i="15" s="1"/>
  <c r="F44" i="15"/>
  <c r="F43" i="15"/>
  <c r="H43" i="15" s="1"/>
  <c r="I43" i="15" s="1"/>
  <c r="H51" i="15"/>
  <c r="I51" i="15" s="1"/>
  <c r="F51" i="15"/>
  <c r="E623" i="24"/>
  <c r="H20" i="15"/>
  <c r="I20" i="15" s="1"/>
  <c r="F20" i="15"/>
  <c r="C50" i="8" l="1"/>
  <c r="F309" i="24"/>
  <c r="D352" i="24"/>
  <c r="C103" i="8" s="1"/>
  <c r="C121" i="8"/>
  <c r="D384" i="24"/>
  <c r="E716" i="24"/>
  <c r="D715" i="24"/>
  <c r="E612" i="24"/>
  <c r="E684" i="24" s="1"/>
  <c r="C138" i="8" l="1"/>
  <c r="D417" i="24"/>
  <c r="E624" i="24"/>
  <c r="F624" i="24" s="1"/>
  <c r="E702" i="24"/>
  <c r="E679" i="24"/>
  <c r="E640" i="24"/>
  <c r="E710" i="24"/>
  <c r="E695" i="24"/>
  <c r="E627" i="24"/>
  <c r="E680" i="24"/>
  <c r="E693" i="24"/>
  <c r="E681" i="24"/>
  <c r="E672" i="24"/>
  <c r="E688" i="24"/>
  <c r="E692" i="24"/>
  <c r="E709" i="24"/>
  <c r="E639" i="2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E670" i="24"/>
  <c r="E638" i="24"/>
  <c r="E646" i="24"/>
  <c r="E644" i="24"/>
  <c r="E641" i="24"/>
  <c r="E697" i="24"/>
  <c r="E686" i="24"/>
  <c r="E712" i="24"/>
  <c r="E690" i="24"/>
  <c r="E675" i="24"/>
  <c r="E685" i="2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E626" i="24"/>
  <c r="E691" i="24"/>
  <c r="E678" i="24"/>
  <c r="E669" i="24"/>
  <c r="E705" i="24"/>
  <c r="E625" i="24"/>
  <c r="E689" i="24"/>
  <c r="E668" i="24"/>
  <c r="E706" i="24"/>
  <c r="E633" i="24"/>
  <c r="E699" i="24"/>
  <c r="E634" i="24"/>
  <c r="E694" i="24"/>
  <c r="E674" i="24"/>
  <c r="E632" i="24"/>
  <c r="E631" i="24"/>
  <c r="E703" i="24"/>
  <c r="E676" i="24"/>
  <c r="E701" i="24"/>
  <c r="C168" i="8" l="1"/>
  <c r="D421" i="24"/>
  <c r="F711" i="24"/>
  <c r="F703" i="24"/>
  <c r="F695" i="24"/>
  <c r="F713" i="24"/>
  <c r="F705" i="24"/>
  <c r="F697" i="24"/>
  <c r="F689" i="24"/>
  <c r="F681" i="24"/>
  <c r="F673" i="24"/>
  <c r="F709" i="24"/>
  <c r="F701" i="24"/>
  <c r="F693" i="24"/>
  <c r="F685" i="24"/>
  <c r="F696" i="24"/>
  <c r="F684" i="24"/>
  <c r="F683" i="24"/>
  <c r="F682" i="24"/>
  <c r="F640" i="24"/>
  <c r="F632" i="24"/>
  <c r="F704" i="24"/>
  <c r="F690" i="24"/>
  <c r="F676" i="24"/>
  <c r="F671" i="24"/>
  <c r="F641" i="24"/>
  <c r="F633" i="24"/>
  <c r="F712" i="24"/>
  <c r="F698" i="24"/>
  <c r="F691" i="24"/>
  <c r="F680" i="24"/>
  <c r="F675" i="24"/>
  <c r="F670" i="24"/>
  <c r="F642" i="24"/>
  <c r="F634" i="24"/>
  <c r="F628" i="24"/>
  <c r="F626" i="24"/>
  <c r="F716" i="24"/>
  <c r="F708" i="24"/>
  <c r="F694" i="24"/>
  <c r="F678" i="24"/>
  <c r="F646" i="24"/>
  <c r="F637" i="24"/>
  <c r="F702" i="24"/>
  <c r="F668" i="24"/>
  <c r="F647" i="24"/>
  <c r="F638" i="24"/>
  <c r="F630" i="24"/>
  <c r="F627" i="24"/>
  <c r="F706" i="24"/>
  <c r="F700" i="24"/>
  <c r="F669" i="24"/>
  <c r="F643" i="24"/>
  <c r="F631" i="24"/>
  <c r="F699" i="24"/>
  <c r="F687" i="24"/>
  <c r="F677" i="24"/>
  <c r="F692" i="24"/>
  <c r="F679" i="24"/>
  <c r="F645" i="24"/>
  <c r="F639" i="24"/>
  <c r="F636" i="24"/>
  <c r="F686" i="24"/>
  <c r="F672" i="24"/>
  <c r="F625" i="24"/>
  <c r="F688" i="24"/>
  <c r="F644" i="24"/>
  <c r="F710" i="24"/>
  <c r="F707" i="24"/>
  <c r="F674" i="24"/>
  <c r="F635" i="24"/>
  <c r="F629" i="24"/>
  <c r="E715" i="24"/>
  <c r="F715" i="24" l="1"/>
  <c r="G625" i="24"/>
  <c r="C172" i="8"/>
  <c r="D424" i="24"/>
  <c r="C177" i="8" s="1"/>
  <c r="G708" i="24" l="1"/>
  <c r="G700" i="24"/>
  <c r="G692" i="24"/>
  <c r="G710" i="24"/>
  <c r="G702" i="24"/>
  <c r="G694" i="24"/>
  <c r="G686" i="24"/>
  <c r="G678" i="24"/>
  <c r="G670" i="24"/>
  <c r="G647" i="24"/>
  <c r="G646" i="24"/>
  <c r="G645" i="24"/>
  <c r="G629" i="24"/>
  <c r="G626" i="24"/>
  <c r="G706" i="24"/>
  <c r="G698" i="24"/>
  <c r="G690" i="24"/>
  <c r="G682" i="24"/>
  <c r="G711" i="24"/>
  <c r="G704" i="24"/>
  <c r="G697" i="24"/>
  <c r="G681" i="24"/>
  <c r="G676" i="24"/>
  <c r="G671" i="24"/>
  <c r="G641" i="24"/>
  <c r="G633" i="24"/>
  <c r="G712" i="24"/>
  <c r="G705" i="24"/>
  <c r="G691" i="24"/>
  <c r="G680" i="24"/>
  <c r="G675" i="24"/>
  <c r="G642" i="24"/>
  <c r="G634" i="24"/>
  <c r="G628" i="24"/>
  <c r="G713" i="24"/>
  <c r="G699" i="24"/>
  <c r="G643" i="24"/>
  <c r="G635" i="24"/>
  <c r="G716" i="24"/>
  <c r="G701" i="24"/>
  <c r="G673" i="24"/>
  <c r="G668" i="24"/>
  <c r="G638" i="24"/>
  <c r="G630" i="24"/>
  <c r="G627" i="24"/>
  <c r="G709" i="24"/>
  <c r="G695" i="24"/>
  <c r="G688" i="24"/>
  <c r="G687" i="24"/>
  <c r="G677" i="24"/>
  <c r="G672" i="24"/>
  <c r="G639" i="24"/>
  <c r="G631" i="24"/>
  <c r="G703" i="24"/>
  <c r="G685" i="24"/>
  <c r="G640" i="24"/>
  <c r="G637" i="24"/>
  <c r="G696" i="24"/>
  <c r="G693" i="24"/>
  <c r="G684" i="24"/>
  <c r="G679" i="24"/>
  <c r="G636" i="24"/>
  <c r="G689" i="24"/>
  <c r="G707" i="24"/>
  <c r="G674" i="24"/>
  <c r="G683" i="24"/>
  <c r="G644" i="24"/>
  <c r="G632" i="24"/>
  <c r="G669" i="24"/>
  <c r="H628" i="24" l="1"/>
  <c r="G715" i="24"/>
  <c r="H713" i="24" l="1"/>
  <c r="H705" i="24"/>
  <c r="H697" i="24"/>
  <c r="H689" i="24"/>
  <c r="H716" i="24"/>
  <c r="H707" i="24"/>
  <c r="H699" i="24"/>
  <c r="H691" i="24"/>
  <c r="H683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711" i="24"/>
  <c r="H703" i="24"/>
  <c r="H695" i="24"/>
  <c r="H687" i="24"/>
  <c r="H712" i="24"/>
  <c r="H690" i="24"/>
  <c r="H680" i="24"/>
  <c r="H698" i="24"/>
  <c r="H670" i="24"/>
  <c r="H706" i="24"/>
  <c r="H692" i="24"/>
  <c r="H679" i="24"/>
  <c r="H674" i="24"/>
  <c r="H669" i="24"/>
  <c r="H709" i="24"/>
  <c r="H702" i="24"/>
  <c r="H688" i="24"/>
  <c r="H677" i="24"/>
  <c r="H672" i="24"/>
  <c r="H647" i="24"/>
  <c r="H710" i="24"/>
  <c r="H696" i="24"/>
  <c r="H686" i="24"/>
  <c r="H685" i="24"/>
  <c r="H684" i="24"/>
  <c r="H671" i="24"/>
  <c r="H693" i="24"/>
  <c r="H682" i="24"/>
  <c r="H673" i="24"/>
  <c r="H646" i="24"/>
  <c r="H694" i="24"/>
  <c r="H708" i="24"/>
  <c r="H668" i="24"/>
  <c r="H645" i="24"/>
  <c r="H700" i="24"/>
  <c r="H681" i="24"/>
  <c r="H704" i="24"/>
  <c r="H701" i="24"/>
  <c r="H629" i="24"/>
  <c r="H678" i="24"/>
  <c r="H676" i="24"/>
  <c r="H715" i="24" l="1"/>
  <c r="I629" i="24"/>
  <c r="I710" i="24" l="1"/>
  <c r="I702" i="24"/>
  <c r="I694" i="24"/>
  <c r="I712" i="24"/>
  <c r="I704" i="24"/>
  <c r="I696" i="24"/>
  <c r="I688" i="24"/>
  <c r="I680" i="24"/>
  <c r="I672" i="24"/>
  <c r="I708" i="24"/>
  <c r="I700" i="24"/>
  <c r="I692" i="24"/>
  <c r="I684" i="24"/>
  <c r="I705" i="24"/>
  <c r="I698" i="24"/>
  <c r="I691" i="24"/>
  <c r="I675" i="24"/>
  <c r="I670" i="24"/>
  <c r="I642" i="24"/>
  <c r="I634" i="24"/>
  <c r="I713" i="24"/>
  <c r="I706" i="24"/>
  <c r="I699" i="24"/>
  <c r="I679" i="24"/>
  <c r="I674" i="24"/>
  <c r="I669" i="24"/>
  <c r="I643" i="24"/>
  <c r="I635" i="24"/>
  <c r="I707" i="24"/>
  <c r="I693" i="24"/>
  <c r="I645" i="24"/>
  <c r="I644" i="24"/>
  <c r="I636" i="24"/>
  <c r="I716" i="24"/>
  <c r="I695" i="24"/>
  <c r="I687" i="24"/>
  <c r="I686" i="24"/>
  <c r="I685" i="24"/>
  <c r="I639" i="24"/>
  <c r="I631" i="24"/>
  <c r="I703" i="24"/>
  <c r="I689" i="24"/>
  <c r="I683" i="24"/>
  <c r="I682" i="24"/>
  <c r="I681" i="24"/>
  <c r="I676" i="24"/>
  <c r="I671" i="24"/>
  <c r="I640" i="24"/>
  <c r="I632" i="24"/>
  <c r="I709" i="24"/>
  <c r="I673" i="24"/>
  <c r="I646" i="24"/>
  <c r="I637" i="24"/>
  <c r="I690" i="24"/>
  <c r="I697" i="24"/>
  <c r="I677" i="24"/>
  <c r="I668" i="24"/>
  <c r="I711" i="24"/>
  <c r="I633" i="24"/>
  <c r="I630" i="24"/>
  <c r="I701" i="24"/>
  <c r="I678" i="24"/>
  <c r="I647" i="24"/>
  <c r="I641" i="24"/>
  <c r="I638" i="24"/>
  <c r="I715" i="24" l="1"/>
  <c r="J630" i="24"/>
  <c r="J716" i="24" l="1"/>
  <c r="J707" i="24"/>
  <c r="J699" i="24"/>
  <c r="J691" i="24"/>
  <c r="J709" i="24"/>
  <c r="J701" i="24"/>
  <c r="J693" i="24"/>
  <c r="J685" i="24"/>
  <c r="J677" i="24"/>
  <c r="J669" i="24"/>
  <c r="J713" i="24"/>
  <c r="J705" i="24"/>
  <c r="J697" i="24"/>
  <c r="J689" i="24"/>
  <c r="J681" i="24"/>
  <c r="J706" i="24"/>
  <c r="J679" i="24"/>
  <c r="J674" i="24"/>
  <c r="J643" i="24"/>
  <c r="J635" i="24"/>
  <c r="J692" i="24"/>
  <c r="J645" i="24"/>
  <c r="J644" i="24"/>
  <c r="J636" i="24"/>
  <c r="J700" i="24"/>
  <c r="J678" i="24"/>
  <c r="J673" i="24"/>
  <c r="J668" i="24"/>
  <c r="J646" i="24"/>
  <c r="J637" i="24"/>
  <c r="J710" i="24"/>
  <c r="J703" i="24"/>
  <c r="J696" i="24"/>
  <c r="J684" i="24"/>
  <c r="J683" i="24"/>
  <c r="J682" i="24"/>
  <c r="J676" i="24"/>
  <c r="J671" i="24"/>
  <c r="J640" i="24"/>
  <c r="J632" i="24"/>
  <c r="J711" i="24"/>
  <c r="J704" i="24"/>
  <c r="J690" i="24"/>
  <c r="J641" i="24"/>
  <c r="J633" i="24"/>
  <c r="J634" i="24"/>
  <c r="J631" i="24"/>
  <c r="J712" i="24"/>
  <c r="J687" i="24"/>
  <c r="J675" i="24"/>
  <c r="J680" i="24"/>
  <c r="J708" i="24"/>
  <c r="J702" i="24"/>
  <c r="J670" i="24"/>
  <c r="J642" i="24"/>
  <c r="J639" i="24"/>
  <c r="J698" i="24"/>
  <c r="J695" i="24"/>
  <c r="J686" i="24"/>
  <c r="J672" i="24"/>
  <c r="J647" i="24"/>
  <c r="J638" i="24"/>
  <c r="J694" i="24"/>
  <c r="J688" i="24"/>
  <c r="J715" i="24" l="1"/>
  <c r="K644" i="24"/>
  <c r="L647" i="24"/>
  <c r="L709" i="24" l="1"/>
  <c r="L701" i="24"/>
  <c r="L693" i="24"/>
  <c r="L711" i="24"/>
  <c r="L703" i="24"/>
  <c r="L695" i="24"/>
  <c r="L687" i="24"/>
  <c r="L679" i="24"/>
  <c r="L671" i="24"/>
  <c r="L716" i="24"/>
  <c r="L707" i="24"/>
  <c r="L699" i="24"/>
  <c r="L691" i="24"/>
  <c r="L683" i="24"/>
  <c r="L700" i="24"/>
  <c r="L678" i="24"/>
  <c r="L673" i="24"/>
  <c r="L668" i="24"/>
  <c r="L708" i="24"/>
  <c r="L694" i="24"/>
  <c r="L677" i="24"/>
  <c r="L672" i="24"/>
  <c r="L704" i="24"/>
  <c r="L697" i="24"/>
  <c r="L690" i="24"/>
  <c r="L680" i="24"/>
  <c r="L675" i="24"/>
  <c r="L670" i="24"/>
  <c r="L712" i="24"/>
  <c r="L705" i="24"/>
  <c r="L698" i="24"/>
  <c r="L682" i="24"/>
  <c r="L702" i="24"/>
  <c r="L696" i="24"/>
  <c r="L684" i="24"/>
  <c r="L692" i="24"/>
  <c r="L689" i="24"/>
  <c r="L686" i="24"/>
  <c r="L681" i="24"/>
  <c r="L674" i="24"/>
  <c r="L676" i="24"/>
  <c r="L710" i="24"/>
  <c r="L688" i="24"/>
  <c r="L706" i="24"/>
  <c r="L685" i="24"/>
  <c r="L669" i="24"/>
  <c r="L713" i="24"/>
  <c r="K712" i="24"/>
  <c r="M712" i="24" s="1"/>
  <c r="E215" i="32" s="1"/>
  <c r="K704" i="24"/>
  <c r="M704" i="24" s="1"/>
  <c r="D183" i="32" s="1"/>
  <c r="K696" i="24"/>
  <c r="M696" i="24" s="1"/>
  <c r="C151" i="32" s="1"/>
  <c r="K688" i="24"/>
  <c r="M688" i="24" s="1"/>
  <c r="I87" i="32" s="1"/>
  <c r="K706" i="24"/>
  <c r="M706" i="24" s="1"/>
  <c r="F183" i="32" s="1"/>
  <c r="K698" i="24"/>
  <c r="M698" i="24" s="1"/>
  <c r="E151" i="32" s="1"/>
  <c r="K690" i="24"/>
  <c r="M690" i="24" s="1"/>
  <c r="D119" i="32" s="1"/>
  <c r="K682" i="24"/>
  <c r="M682" i="24" s="1"/>
  <c r="C87" i="32" s="1"/>
  <c r="K674" i="24"/>
  <c r="M674" i="24" s="1"/>
  <c r="I23" i="32" s="1"/>
  <c r="K710" i="24"/>
  <c r="M710" i="24" s="1"/>
  <c r="C215" i="32" s="1"/>
  <c r="K702" i="24"/>
  <c r="M702" i="24" s="1"/>
  <c r="I151" i="32" s="1"/>
  <c r="K694" i="24"/>
  <c r="M694" i="24" s="1"/>
  <c r="H119" i="32" s="1"/>
  <c r="K686" i="24"/>
  <c r="M686" i="24" s="1"/>
  <c r="G87" i="32" s="1"/>
  <c r="K713" i="24"/>
  <c r="M713" i="24" s="1"/>
  <c r="F215" i="32" s="1"/>
  <c r="K699" i="24"/>
  <c r="M699" i="24" s="1"/>
  <c r="F151" i="32" s="1"/>
  <c r="K692" i="24"/>
  <c r="M692" i="24" s="1"/>
  <c r="K669" i="24"/>
  <c r="M669" i="24" s="1"/>
  <c r="D23" i="32" s="1"/>
  <c r="K707" i="24"/>
  <c r="M707" i="24" s="1"/>
  <c r="G183" i="32" s="1"/>
  <c r="K700" i="24"/>
  <c r="M700" i="24" s="1"/>
  <c r="G151" i="32" s="1"/>
  <c r="K693" i="24"/>
  <c r="M693" i="24" s="1"/>
  <c r="K678" i="24"/>
  <c r="M678" i="24" s="1"/>
  <c r="K673" i="24"/>
  <c r="M673" i="24" s="1"/>
  <c r="H23" i="32" s="1"/>
  <c r="K668" i="24"/>
  <c r="K716" i="24"/>
  <c r="K708" i="24"/>
  <c r="M708" i="24" s="1"/>
  <c r="H183" i="32" s="1"/>
  <c r="K701" i="24"/>
  <c r="M701" i="24" s="1"/>
  <c r="H151" i="32" s="1"/>
  <c r="K711" i="24"/>
  <c r="M711" i="24" s="1"/>
  <c r="D215" i="32" s="1"/>
  <c r="K689" i="24"/>
  <c r="M689" i="24" s="1"/>
  <c r="C119" i="32" s="1"/>
  <c r="K681" i="24"/>
  <c r="M681" i="24" s="1"/>
  <c r="I55" i="32" s="1"/>
  <c r="K697" i="24"/>
  <c r="M697" i="24" s="1"/>
  <c r="D151" i="32" s="1"/>
  <c r="K680" i="24"/>
  <c r="M680" i="24" s="1"/>
  <c r="H55" i="32" s="1"/>
  <c r="K675" i="24"/>
  <c r="M675" i="24" s="1"/>
  <c r="C55" i="32" s="1"/>
  <c r="K670" i="24"/>
  <c r="M670" i="24" s="1"/>
  <c r="E23" i="32" s="1"/>
  <c r="K687" i="24"/>
  <c r="M687" i="24" s="1"/>
  <c r="H87" i="32" s="1"/>
  <c r="K677" i="24"/>
  <c r="M677" i="24" s="1"/>
  <c r="E55" i="32" s="1"/>
  <c r="K709" i="24"/>
  <c r="M709" i="24" s="1"/>
  <c r="I183" i="32" s="1"/>
  <c r="K685" i="24"/>
  <c r="M685" i="24" s="1"/>
  <c r="F87" i="32" s="1"/>
  <c r="K671" i="24"/>
  <c r="M671" i="24" s="1"/>
  <c r="F23" i="32" s="1"/>
  <c r="K705" i="24"/>
  <c r="M705" i="24" s="1"/>
  <c r="E183" i="32" s="1"/>
  <c r="K684" i="24"/>
  <c r="M684" i="24" s="1"/>
  <c r="E87" i="32" s="1"/>
  <c r="K679" i="24"/>
  <c r="M679" i="24" s="1"/>
  <c r="K703" i="24"/>
  <c r="M703" i="24" s="1"/>
  <c r="C183" i="32" s="1"/>
  <c r="K695" i="24"/>
  <c r="M695" i="24" s="1"/>
  <c r="I119" i="32" s="1"/>
  <c r="K672" i="24"/>
  <c r="M672" i="24" s="1"/>
  <c r="G23" i="32" s="1"/>
  <c r="K683" i="24"/>
  <c r="M683" i="24" s="1"/>
  <c r="D87" i="32" s="1"/>
  <c r="K676" i="24"/>
  <c r="M676" i="24" s="1"/>
  <c r="D55" i="32" s="1"/>
  <c r="K691" i="24"/>
  <c r="M691" i="24" s="1"/>
  <c r="E119" i="32" l="1"/>
  <c r="K715" i="24"/>
  <c r="M668" i="24"/>
  <c r="G119" i="32"/>
  <c r="G55" i="32"/>
  <c r="F119" i="32"/>
  <c r="F55" i="32"/>
  <c r="L715" i="24"/>
  <c r="M715" i="24" l="1"/>
  <c r="C23" i="32"/>
</calcChain>
</file>

<file path=xl/sharedStrings.xml><?xml version="1.0" encoding="utf-8"?>
<sst xmlns="http://schemas.openxmlformats.org/spreadsheetml/2006/main" count="5312" uniqueCount="1588">
  <si>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</si>
  <si>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</si>
  <si>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</si>
  <si>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</si>
  <si>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</si>
  <si>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</si>
  <si>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</si>
  <si>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</si>
  <si>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</si>
  <si>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</si>
  <si>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</si>
  <si>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</si>
  <si>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</si>
  <si>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</si>
  <si>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</si>
  <si>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</si>
  <si>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</si>
  <si>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</si>
  <si>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</si>
  <si>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</si>
  <si>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</si>
  <si>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</si>
  <si>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</si>
  <si>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</si>
  <si>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</si>
  <si>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</si>
  <si>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</si>
  <si>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</si>
  <si>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</si>
  <si>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</si>
  <si>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</si>
  <si>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</si>
  <si>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</si>
  <si>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</si>
  <si>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</si>
  <si>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</si>
  <si>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</si>
  <si>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</si>
  <si>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</si>
  <si>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</si>
  <si>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</si>
  <si>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</si>
  <si>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</si>
  <si>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</si>
  <si>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</si>
  <si>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</si>
  <si>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</si>
  <si>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</si>
  <si>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</si>
  <si>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</si>
  <si>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</si>
  <si>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</si>
  <si>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</si>
  <si>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</si>
  <si>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</si>
  <si>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</si>
  <si>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</si>
  <si>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</si>
  <si>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</si>
  <si>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</si>
  <si>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</si>
  <si>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</si>
  <si>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</si>
  <si>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</si>
  <si>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</si>
  <si>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</si>
  <si>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</si>
  <si>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</si>
  <si>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</si>
  <si>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</si>
  <si>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</si>
  <si>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</si>
  <si>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</si>
  <si>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</si>
  <si>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</si>
  <si>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</si>
  <si>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</si>
  <si>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</si>
  <si>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</si>
  <si>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</si>
  <si>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</si>
  <si>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</si>
  <si>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</si>
  <si>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</si>
  <si>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</si>
  <si>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</si>
  <si>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</si>
  <si>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</si>
  <si>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</si>
  <si>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</si>
  <si>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</si>
  <si>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</si>
  <si>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</si>
  <si>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</si>
  <si>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</si>
  <si>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</si>
  <si>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</si>
  <si>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</si>
  <si>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</si>
  <si>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</si>
  <si>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</si>
  <si>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</si>
  <si>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</si>
  <si>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</si>
  <si>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</si>
  <si>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</si>
  <si>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</si>
  <si>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</si>
  <si>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</si>
  <si>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</si>
  <si>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</si>
  <si>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</si>
  <si>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</si>
  <si>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</si>
  <si>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</si>
  <si>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</si>
  <si>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</si>
  <si>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</si>
  <si>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</si>
  <si>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</si>
  <si>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</si>
  <si>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</si>
  <si>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</si>
  <si>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</si>
  <si>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</si>
  <si>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</si>
  <si>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</si>
  <si>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</si>
  <si>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</si>
  <si>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</si>
  <si>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</si>
  <si>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</si>
  <si>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</si>
  <si>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</si>
  <si>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</si>
  <si>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</si>
  <si>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</si>
  <si>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</si>
  <si>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</si>
  <si>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</si>
  <si>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</si>
  <si>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</si>
  <si>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</si>
  <si>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</si>
  <si>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</si>
  <si>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</si>
  <si>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</si>
  <si>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</si>
  <si>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</si>
  <si>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</si>
  <si>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</si>
  <si>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</si>
  <si>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</si>
  <si>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</si>
  <si>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</si>
  <si>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</si>
  <si>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</si>
  <si>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</si>
  <si>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</si>
  <si>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</si>
  <si>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</si>
  <si>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</si>
  <si>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</si>
  <si>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</si>
  <si>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</si>
  <si>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</si>
  <si>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</si>
  <si>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</si>
  <si>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</si>
  <si>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</si>
  <si>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</si>
  <si>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</si>
  <si>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</si>
  <si>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</si>
  <si>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</si>
  <si>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</si>
  <si>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</si>
  <si>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</si>
  <si>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</si>
  <si>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</si>
  <si>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</si>
  <si>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</si>
  <si>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</si>
  <si>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</si>
  <si>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</si>
  <si>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</si>
  <si>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</si>
  <si>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</si>
  <si>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</si>
  <si>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</si>
  <si>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</si>
  <si>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</si>
  <si>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</si>
  <si>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</si>
  <si>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</si>
  <si>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</si>
  <si>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</si>
  <si>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</si>
  <si>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</si>
  <si>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</si>
  <si>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</si>
  <si>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</si>
  <si>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</si>
  <si>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</si>
  <si>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</si>
  <si>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</si>
  <si>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</si>
  <si>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</si>
  <si>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</si>
  <si>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</si>
  <si>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</si>
  <si>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</si>
  <si>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</si>
  <si>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</si>
  <si>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</si>
  <si>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</si>
  <si>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</si>
  <si>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</si>
  <si>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</si>
  <si>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</si>
  <si>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</si>
  <si>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</si>
  <si>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</si>
  <si>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</si>
  <si>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</si>
  <si>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</si>
  <si>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</si>
  <si>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</si>
  <si>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</si>
  <si>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</si>
  <si>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</si>
  <si>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</si>
  <si>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</si>
  <si>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</si>
  <si>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</si>
  <si>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</si>
  <si>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</si>
  <si>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</si>
  <si>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</si>
  <si>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</si>
  <si>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</si>
  <si>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</si>
  <si>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</si>
  <si>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</si>
  <si>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</si>
  <si>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</si>
  <si>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</si>
  <si>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</si>
  <si>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</si>
  <si>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</si>
  <si>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</si>
  <si>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</si>
  <si>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</si>
  <si>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</si>
  <si>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</si>
  <si>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</si>
  <si>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</si>
  <si>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</si>
  <si>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</si>
  <si>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</si>
  <si>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</si>
  <si>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</si>
  <si>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</si>
  <si>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</si>
  <si>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</si>
  <si>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</si>
  <si>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</si>
  <si>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</si>
  <si>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</si>
  <si>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</si>
  <si>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</si>
  <si>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</si>
  <si>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</si>
  <si>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</si>
  <si>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</si>
  <si>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</si>
  <si>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</si>
  <si>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</si>
  <si>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</si>
  <si>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</si>
  <si>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</si>
  <si>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</si>
  <si>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</si>
  <si>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</si>
  <si>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</si>
  <si>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</si>
  <si>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</si>
  <si>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</si>
  <si>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</si>
  <si>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</si>
  <si>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</si>
  <si>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</si>
  <si>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</si>
  <si>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</si>
  <si>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</si>
  <si>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</si>
  <si>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</si>
  <si>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</si>
  <si>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</si>
  <si>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</si>
  <si>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</si>
  <si>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</si>
  <si>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</si>
  <si>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</si>
  <si>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</si>
  <si>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</si>
  <si>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</si>
  <si>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</si>
  <si>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</si>
  <si>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</si>
  <si>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</si>
  <si>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</si>
  <si>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</si>
  <si>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</si>
  <si>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</si>
  <si>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</si>
  <si>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</si>
  <si>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</si>
  <si>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</si>
  <si>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</si>
  <si>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</si>
  <si>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</si>
  <si>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</si>
  <si>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</si>
  <si>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</si>
  <si>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</si>
  <si>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</si>
  <si>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</si>
  <si>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</si>
  <si>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</si>
  <si>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</si>
  <si>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</si>
  <si>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</si>
  <si>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</si>
  <si>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</si>
  <si>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</si>
  <si>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</si>
  <si>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</si>
  <si>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</si>
  <si>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</si>
  <si>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</si>
  <si>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</si>
  <si>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</si>
  <si>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</si>
  <si>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</si>
  <si>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</si>
  <si>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</si>
  <si>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</si>
  <si>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</si>
  <si>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</si>
  <si>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</si>
  <si>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</si>
  <si>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</si>
  <si>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</si>
  <si>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</si>
  <si>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</si>
  <si>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</si>
  <si>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</si>
  <si>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</si>
  <si>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</si>
  <si>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</si>
  <si>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</si>
  <si>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</si>
  <si>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</si>
  <si>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</si>
  <si>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</si>
  <si>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</si>
  <si>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</si>
  <si>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</si>
  <si>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</si>
  <si>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</si>
  <si>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</si>
  <si>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</si>
  <si>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</si>
  <si>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</si>
  <si>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</si>
  <si>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</si>
  <si>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</si>
  <si>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</si>
  <si>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</si>
  <si>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</si>
  <si>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</si>
  <si>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</si>
  <si>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</si>
  <si>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</si>
  <si>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</si>
  <si>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</si>
  <si>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</si>
  <si>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</si>
  <si>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</si>
  <si>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</si>
  <si>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</si>
  <si>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</si>
  <si>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</si>
  <si>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</si>
  <si>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</si>
  <si>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</si>
  <si>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</si>
  <si>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</si>
  <si>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</si>
  <si>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</si>
  <si>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</si>
  <si>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</si>
  <si>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</si>
  <si>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</si>
  <si>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</si>
  <si>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</si>
  <si>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</si>
  <si>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</si>
  <si>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</si>
  <si>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</si>
  <si>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</si>
  <si>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</si>
  <si>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</si>
  <si>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</si>
  <si>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</si>
  <si>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</si>
  <si>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</si>
  <si>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</si>
  <si>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</si>
  <si>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</si>
  <si>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</si>
  <si>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</si>
  <si>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</si>
  <si>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</si>
  <si>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</si>
  <si>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</si>
  <si>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</si>
  <si>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</si>
  <si>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</si>
  <si>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</si>
  <si>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</si>
  <si>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</si>
  <si>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</si>
  <si>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</si>
  <si>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</si>
  <si>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</si>
  <si>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</si>
  <si>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</si>
  <si>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</si>
  <si>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</si>
  <si>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</si>
  <si>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</si>
  <si>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</si>
  <si>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</si>
  <si>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</si>
  <si>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</si>
  <si>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</si>
  <si>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</si>
  <si>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</si>
  <si>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</si>
  <si>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</si>
  <si>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</si>
  <si>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</si>
  <si>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</si>
  <si>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</si>
  <si>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</si>
  <si>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</si>
  <si>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</si>
  <si>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</si>
  <si>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</si>
  <si>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</si>
  <si>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</si>
  <si>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</si>
  <si>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</si>
  <si>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</si>
  <si>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</si>
  <si>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</si>
  <si>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</si>
  <si>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</si>
  <si>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</si>
  <si>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</si>
  <si>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</si>
  <si>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</si>
  <si>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</si>
  <si>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</si>
  <si>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</si>
  <si>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</si>
  <si>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</si>
  <si>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</si>
  <si>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</si>
  <si>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</si>
  <si>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</si>
  <si>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</si>
  <si>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</si>
  <si>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</si>
  <si>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</si>
  <si>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</si>
  <si>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</si>
  <si>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</si>
  <si>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</si>
  <si>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</si>
  <si>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</si>
  <si>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</si>
  <si>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</si>
  <si>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</si>
  <si>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</si>
  <si>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</si>
  <si>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</si>
  <si>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</si>
  <si>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</si>
  <si>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</si>
  <si>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</si>
  <si>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</si>
  <si>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</si>
  <si>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</si>
  <si>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</si>
  <si>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</si>
  <si>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</si>
  <si>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</si>
  <si>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</si>
  <si>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</si>
  <si>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</si>
  <si>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</si>
  <si>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</si>
  <si>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</si>
  <si>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</si>
  <si>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</si>
  <si>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</si>
  <si>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</si>
  <si>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</si>
  <si>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</si>
  <si>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</si>
  <si>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</si>
  <si>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</si>
  <si>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</si>
  <si>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</si>
  <si>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</si>
  <si>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</si>
  <si>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</si>
  <si>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</si>
  <si>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</si>
  <si>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</si>
  <si>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</si>
  <si>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</si>
  <si>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</si>
  <si>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</si>
  <si>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</si>
  <si>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</si>
  <si>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</si>
  <si>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</si>
  <si>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</si>
  <si>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</si>
  <si>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</si>
  <si>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</si>
  <si>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</si>
  <si>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</si>
  <si>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</si>
  <si>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</si>
  <si>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</si>
  <si>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</si>
  <si>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</si>
  <si>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</si>
  <si>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</si>
  <si>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</si>
  <si>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</si>
  <si>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</si>
  <si>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</si>
  <si>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</si>
  <si>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</si>
  <si>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</si>
  <si>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</si>
  <si>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</si>
  <si>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</si>
  <si>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</si>
  <si>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</si>
  <si>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</si>
  <si>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</si>
  <si>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</si>
  <si>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</si>
  <si>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</si>
  <si>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</si>
  <si>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</si>
  <si>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</si>
  <si>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</si>
  <si>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</si>
  <si>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</si>
  <si>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</si>
  <si>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</si>
  <si>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</si>
  <si>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</si>
  <si>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</si>
  <si>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</si>
  <si>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</si>
  <si>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</si>
  <si>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</si>
  <si>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</si>
  <si>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</si>
  <si>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</si>
  <si>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</si>
  <si>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</si>
  <si>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</si>
  <si>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</si>
  <si>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</si>
  <si>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</si>
  <si>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</si>
  <si>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</si>
  <si>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</si>
  <si>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</si>
  <si>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</si>
  <si>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</si>
  <si>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</si>
  <si>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</si>
  <si>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</si>
  <si>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</si>
  <si>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</si>
  <si>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</si>
  <si>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</si>
  <si>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</si>
  <si>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</si>
  <si>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</si>
  <si>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</si>
  <si>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</si>
  <si>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</si>
  <si>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</si>
  <si>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</si>
  <si>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</si>
  <si>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</si>
  <si>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</si>
  <si>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</si>
  <si>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</si>
  <si>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</si>
  <si>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</si>
  <si>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</si>
  <si>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</si>
  <si>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</si>
  <si>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</si>
  <si>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</si>
  <si>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</si>
  <si>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</si>
  <si>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</si>
  <si>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</si>
  <si>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</si>
  <si>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</si>
  <si>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</si>
  <si>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</si>
  <si>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</si>
  <si>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</si>
  <si>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</si>
  <si>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</si>
  <si>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</si>
  <si>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</si>
  <si>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</si>
  <si>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</si>
  <si>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</si>
  <si>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</si>
  <si>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</si>
  <si>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</si>
  <si>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</si>
  <si>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</si>
  <si>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</si>
  <si>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</si>
  <si>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</si>
  <si>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</si>
  <si>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</si>
  <si>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</si>
  <si>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</si>
  <si>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</si>
  <si>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</si>
  <si>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</si>
  <si>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</si>
  <si>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</si>
  <si>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</si>
  <si>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</si>
  <si>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</si>
  <si>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</si>
  <si>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</si>
  <si>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</si>
  <si>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</si>
  <si>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</si>
  <si>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</si>
  <si>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</si>
  <si>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</si>
  <si>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</si>
  <si>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</si>
  <si>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</si>
  <si>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</si>
  <si>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</si>
  <si>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</si>
  <si>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</si>
  <si>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</si>
  <si>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</si>
  <si>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</si>
  <si>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</si>
  <si>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</si>
  <si>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</si>
  <si>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</si>
  <si>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</si>
  <si>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</si>
  <si>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</si>
  <si>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</si>
  <si>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</si>
  <si>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</si>
  <si>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</si>
  <si>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</si>
  <si>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</si>
  <si>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</si>
  <si>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</si>
  <si>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</si>
  <si>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</si>
  <si>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</si>
  <si>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</si>
  <si>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</si>
  <si>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</si>
  <si>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</si>
  <si>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</si>
  <si>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</si>
  <si>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</si>
  <si>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</si>
  <si>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</si>
  <si>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</si>
  <si>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</si>
  <si>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</si>
  <si>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</si>
  <si>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</si>
  <si>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</si>
  <si>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</si>
  <si>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</si>
  <si>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</si>
  <si>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</si>
  <si>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</si>
  <si>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</si>
  <si>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</si>
  <si>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</si>
  <si>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</si>
  <si>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</si>
  <si>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</si>
  <si>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</si>
  <si>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</si>
  <si>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</si>
  <si>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</si>
  <si>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</si>
  <si>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</si>
  <si>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</si>
  <si>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</si>
  <si>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</si>
  <si>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</si>
  <si>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</si>
  <si>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</si>
  <si>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</si>
  <si>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</si>
  <si>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</si>
  <si>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</si>
  <si>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</si>
  <si>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</si>
  <si>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</si>
  <si>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</si>
  <si>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</si>
  <si>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</si>
  <si>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</si>
  <si>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</si>
  <si>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</si>
  <si>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</si>
  <si>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</si>
  <si>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</si>
  <si>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</si>
  <si>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</si>
  <si>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</si>
  <si>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</si>
  <si>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</si>
  <si>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</si>
  <si>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</si>
  <si>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</si>
  <si>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</si>
  <si>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</si>
  <si>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</si>
  <si>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</si>
  <si>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</si>
  <si>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</si>
  <si>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</si>
  <si>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</si>
  <si>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</si>
  <si>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</si>
  <si>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</si>
  <si>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</si>
  <si>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</si>
  <si>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</si>
  <si>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</si>
  <si>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</si>
  <si>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</si>
  <si>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</si>
  <si>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</si>
  <si>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</si>
  <si>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</si>
  <si>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</si>
  <si>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</si>
  <si>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</si>
  <si>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</si>
  <si>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</si>
  <si>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</si>
  <si>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</si>
  <si>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</si>
  <si>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</si>
  <si>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</si>
  <si>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</si>
  <si>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</si>
  <si>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</si>
  <si>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</si>
  <si>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</si>
  <si>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</si>
  <si>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</si>
  <si>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</si>
  <si>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</si>
  <si>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</si>
  <si>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</si>
  <si>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</si>
  <si>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</si>
  <si>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</si>
  <si>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</si>
  <si>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</si>
  <si>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</si>
  <si>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</si>
  <si>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</si>
  <si>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</si>
  <si>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</si>
  <si>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</si>
  <si>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</si>
  <si>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</si>
  <si>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</si>
  <si>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</si>
  <si>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</si>
  <si>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</si>
  <si>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</si>
  <si>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</si>
  <si>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</si>
  <si>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</si>
  <si>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</si>
  <si>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</si>
  <si>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</si>
  <si>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</si>
  <si>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</si>
  <si>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</si>
  <si>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</si>
  <si>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</si>
  <si>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</si>
  <si>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</si>
  <si>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</si>
  <si>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</si>
  <si>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</si>
  <si>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</si>
  <si>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</si>
  <si>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</si>
  <si>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</si>
  <si>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</si>
  <si>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</si>
  <si>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</si>
  <si>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</si>
  <si>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</si>
  <si>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</si>
  <si>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</si>
  <si>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</si>
  <si>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</si>
  <si>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</si>
  <si>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</si>
  <si>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</si>
  <si>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</si>
  <si>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</si>
  <si>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</si>
  <si>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</si>
  <si>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</si>
  <si>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</si>
  <si>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</si>
  <si>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</si>
  <si>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</si>
  <si>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</si>
  <si>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</si>
  <si>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</si>
  <si>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</si>
  <si>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</si>
  <si>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</si>
  <si>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</si>
  <si>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</si>
  <si>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</si>
  <si>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</si>
  <si>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</si>
  <si>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</si>
  <si>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</si>
  <si>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</si>
  <si>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</si>
  <si>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</si>
  <si>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</si>
  <si>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</si>
  <si>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</si>
  <si>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</si>
  <si>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</si>
  <si>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</si>
  <si>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</si>
  <si>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</si>
  <si>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</si>
  <si>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</si>
  <si>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</si>
  <si>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</si>
  <si>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</si>
  <si>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</si>
  <si>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</si>
  <si>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</si>
  <si>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</si>
  <si>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</si>
  <si>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</si>
  <si>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</si>
  <si>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</si>
  <si>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</si>
  <si>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</si>
  <si>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</si>
  <si>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</si>
  <si>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</si>
  <si>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</si>
  <si>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</si>
  <si>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</si>
  <si>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</si>
  <si>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</si>
  <si>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</si>
  <si>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</si>
  <si>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</si>
  <si>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</si>
  <si>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</si>
  <si>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</si>
  <si>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</si>
  <si>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</si>
  <si>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</si>
  <si>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</si>
  <si>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</si>
  <si>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</si>
  <si>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</si>
  <si>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</si>
  <si>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</si>
  <si>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</si>
  <si>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</si>
  <si>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</si>
  <si>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</si>
  <si>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</si>
  <si>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</si>
  <si>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</si>
  <si>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</si>
  <si>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</si>
  <si>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</si>
  <si>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</si>
  <si>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</si>
  <si>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</si>
  <si>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</si>
  <si>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</si>
  <si>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</si>
  <si>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</si>
  <si>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</si>
  <si>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</si>
  <si>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</si>
  <si>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</si>
  <si>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</si>
  <si>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</si>
  <si>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</si>
  <si>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</si>
  <si>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</si>
  <si>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</si>
  <si>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</si>
  <si>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</si>
  <si>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</si>
  <si>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</si>
  <si>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</si>
  <si>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</si>
  <si>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</si>
  <si>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</si>
  <si>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</si>
  <si>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</si>
  <si>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</si>
  <si>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</si>
  <si>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</si>
  <si>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</si>
  <si>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</si>
  <si>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</si>
  <si>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</si>
  <si>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</si>
  <si>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</si>
  <si>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</si>
  <si>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</si>
  <si>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</si>
  <si>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</si>
  <si>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</si>
  <si>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</si>
  <si>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</si>
  <si>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</si>
  <si>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</si>
  <si>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</si>
  <si>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</si>
  <si>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</si>
  <si>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</si>
  <si>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</si>
  <si>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</si>
  <si>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</si>
  <si>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</si>
  <si>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</si>
  <si>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</si>
  <si>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</si>
  <si>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</si>
  <si>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</si>
  <si>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</si>
  <si>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</si>
  <si>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</si>
  <si>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</si>
  <si>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</si>
  <si>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</si>
  <si>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</si>
  <si>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</si>
  <si>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</si>
  <si>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</si>
  <si>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</si>
  <si>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</si>
  <si>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</si>
  <si>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</si>
  <si>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</si>
  <si>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</si>
  <si>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</si>
  <si>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</si>
  <si>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</si>
  <si>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</si>
  <si>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</si>
  <si>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</si>
  <si>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</si>
  <si>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</si>
  <si>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</si>
  <si>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</si>
  <si>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</si>
  <si>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</si>
  <si>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</si>
  <si>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</si>
  <si>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</si>
  <si>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</si>
  <si>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</si>
  <si>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</si>
  <si>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</si>
  <si>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</si>
  <si>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</si>
  <si>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</si>
  <si>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</si>
  <si>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</si>
  <si>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</si>
  <si>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</si>
  <si>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</si>
  <si>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</si>
  <si>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</si>
  <si>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</si>
  <si>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</si>
  <si>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</si>
  <si>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</si>
  <si>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</si>
  <si>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</si>
  <si>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</si>
  <si>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</si>
  <si>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</si>
  <si>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</si>
  <si>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</si>
  <si>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</si>
  <si>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</si>
  <si>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</si>
  <si>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</si>
  <si>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</si>
  <si>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</si>
  <si>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</si>
  <si>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</si>
  <si>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</si>
  <si>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</si>
  <si>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</si>
  <si>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</si>
  <si>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</si>
  <si>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</si>
  <si>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</si>
  <si>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</si>
  <si>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</si>
  <si>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</si>
  <si>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</si>
  <si>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</si>
  <si>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</si>
  <si>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</si>
  <si>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</si>
  <si>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</si>
  <si>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</si>
  <si>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</si>
  <si>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</si>
  <si>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</si>
  <si>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</si>
  <si>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</si>
  <si>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</si>
  <si>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</si>
  <si>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</si>
  <si>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</si>
  <si>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</si>
  <si>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</si>
  <si>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</si>
  <si>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</si>
  <si>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</si>
  <si>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</si>
  <si>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</si>
  <si>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</si>
  <si>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</si>
  <si>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</si>
  <si>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</si>
  <si>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</si>
  <si>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</si>
  <si>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</si>
  <si>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</si>
  <si>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</si>
  <si>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</si>
  <si>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</si>
  <si>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</si>
  <si>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</si>
  <si>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</si>
  <si>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</si>
  <si>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</si>
  <si>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</si>
  <si>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</si>
  <si>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</si>
  <si>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</si>
  <si>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</si>
  <si>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</si>
  <si>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</si>
  <si>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</si>
  <si>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</si>
  <si>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</si>
  <si>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</si>
  <si>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</si>
  <si>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</si>
  <si>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</si>
  <si>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</si>
  <si>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</si>
  <si>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</si>
  <si>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</si>
  <si>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</si>
  <si>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</si>
  <si>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</si>
  <si>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</si>
  <si>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</si>
  <si>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</si>
  <si>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</si>
  <si>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</si>
  <si>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</si>
  <si>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</si>
  <si>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</si>
  <si>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</si>
  <si>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</si>
  <si>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</si>
  <si>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</si>
  <si>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</si>
  <si>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</si>
  <si>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</si>
  <si>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</si>
  <si>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</si>
  <si>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</si>
  <si>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</si>
  <si>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</si>
  <si>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</si>
  <si>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</si>
  <si>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</si>
  <si>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</si>
  <si>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</si>
  <si>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</si>
  <si>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</si>
  <si>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</si>
  <si>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</si>
  <si>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</si>
  <si>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</si>
  <si>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</si>
  <si>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</si>
  <si>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</si>
  <si>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</si>
  <si>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</si>
  <si>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</si>
  <si>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</si>
  <si>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</si>
  <si>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</si>
  <si>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</si>
  <si>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</si>
  <si>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</si>
  <si>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</si>
  <si>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</si>
  <si>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</si>
  <si>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</si>
  <si>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</si>
  <si>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</si>
  <si>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</si>
  <si>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</si>
  <si>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</si>
  <si>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</si>
  <si>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</si>
  <si>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</si>
  <si>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</si>
  <si>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</si>
  <si>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</si>
  <si>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</si>
  <si>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</si>
  <si>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</si>
  <si>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</si>
  <si>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</si>
  <si>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</si>
  <si>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</si>
  <si>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</si>
  <si>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</si>
  <si>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</si>
  <si>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</si>
  <si>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</si>
  <si>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</si>
  <si>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</si>
  <si>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</si>
  <si>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</si>
  <si>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</si>
  <si>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</si>
  <si>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</si>
  <si>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</si>
  <si>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</si>
  <si>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</si>
  <si>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</si>
  <si>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</si>
  <si>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</si>
  <si>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</si>
  <si>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</si>
  <si>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</si>
  <si>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</si>
  <si>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</si>
  <si>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</si>
  <si>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</si>
  <si>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</si>
  <si>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</si>
  <si>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</si>
  <si>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</si>
  <si>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</si>
  <si>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</si>
  <si>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</si>
  <si>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</si>
  <si>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</si>
  <si>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</si>
  <si>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</si>
  <si>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</si>
  <si>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</si>
  <si>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</si>
  <si>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</si>
  <si>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</si>
  <si>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</si>
  <si>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</si>
  <si>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</si>
  <si>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</si>
  <si>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</si>
  <si>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</si>
  <si>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</si>
  <si>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</si>
  <si>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</si>
  <si>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</si>
  <si>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</si>
  <si>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</si>
  <si>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</si>
  <si>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</si>
  <si>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</si>
  <si>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</si>
  <si>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</si>
  <si>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</si>
  <si>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</si>
  <si>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</si>
  <si>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</si>
  <si>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</si>
  <si>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</si>
  <si>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</si>
  <si>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</si>
  <si>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</si>
  <si>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</si>
  <si>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</si>
  <si>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</si>
  <si>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</si>
  <si>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</si>
  <si>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</si>
  <si>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</si>
  <si>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</si>
  <si>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</si>
  <si>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</si>
  <si>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</si>
  <si>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</si>
  <si>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</si>
  <si>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</si>
  <si>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</si>
  <si>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</si>
  <si>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</si>
  <si>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</si>
  <si>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</si>
  <si>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</si>
  <si>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</si>
  <si>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</si>
  <si>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</si>
  <si>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</si>
  <si>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</si>
  <si>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</si>
  <si>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</si>
  <si>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</si>
  <si>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</si>
  <si>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</si>
  <si>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</si>
  <si>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</si>
  <si>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</si>
  <si>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</si>
  <si>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</si>
  <si>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</si>
  <si>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</si>
  <si>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</si>
  <si>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</si>
  <si>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</si>
  <si>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</si>
  <si>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</si>
  <si>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</si>
  <si>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</si>
  <si>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</si>
  <si>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</si>
  <si>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</si>
  <si>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</si>
  <si>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</si>
  <si>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</si>
  <si>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</si>
  <si>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</si>
  <si>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</si>
  <si>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</si>
  <si>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</si>
  <si>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</si>
  <si>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</si>
  <si>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</si>
  <si>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</si>
  <si>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</si>
  <si>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</si>
  <si>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</si>
  <si>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</si>
  <si>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</si>
  <si>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</si>
  <si>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</si>
  <si>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</si>
  <si>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</si>
  <si>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</si>
  <si>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</si>
  <si>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</si>
  <si>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</si>
  <si>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</si>
  <si>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</si>
  <si>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</si>
  <si>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</si>
  <si>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</si>
  <si>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</si>
  <si>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</si>
  <si>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</si>
  <si>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</si>
  <si>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</si>
  <si>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</si>
  <si>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</si>
  <si>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</si>
  <si>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</si>
  <si>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</si>
  <si>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</si>
  <si>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</si>
  <si>
    <t>12/31/2021</t>
  </si>
  <si>
    <t>167</t>
  </si>
  <si>
    <t>Ferry County Public Hospital District No. 1</t>
  </si>
  <si>
    <t>36 Klondike Road</t>
  </si>
  <si>
    <t xml:space="preserve">Republic </t>
  </si>
  <si>
    <t>Washington</t>
  </si>
  <si>
    <t xml:space="preserve">Ferry  </t>
  </si>
  <si>
    <t>Brain Lady</t>
  </si>
  <si>
    <t>Lance Spindler</t>
  </si>
  <si>
    <t>DiAnne Lundgren</t>
  </si>
  <si>
    <t>509-775-333</t>
  </si>
  <si>
    <t>Jeannette Ring</t>
  </si>
  <si>
    <t>jring@dza.cpa</t>
  </si>
  <si>
    <t>OTHER</t>
  </si>
  <si>
    <t>OTHER (created by import)</t>
  </si>
  <si>
    <t xml:space="preserve">    OTHER, 6070</t>
  </si>
  <si>
    <t>H-6070-386</t>
  </si>
  <si>
    <t>Acute Care Freight, Postage</t>
  </si>
  <si>
    <t>H-6070-583</t>
  </si>
  <si>
    <t>Acute Care Subscriptions</t>
  </si>
  <si>
    <t>H-6070-584</t>
  </si>
  <si>
    <t>Acute Care Travel</t>
  </si>
  <si>
    <t>H-6070-991</t>
  </si>
  <si>
    <t>Acute Care OTHER</t>
  </si>
  <si>
    <t xml:space="preserve">        OTHER, 6070 Total</t>
  </si>
  <si>
    <t xml:space="preserve">    OTHER, 6210</t>
  </si>
  <si>
    <t>H-6200-584</t>
  </si>
  <si>
    <t>LTC Swing Bed Travel</t>
  </si>
  <si>
    <t xml:space="preserve">        OTHER, 6210 Total</t>
  </si>
  <si>
    <t xml:space="preserve">    OTHER, 6400</t>
  </si>
  <si>
    <t>D-8600-558</t>
  </si>
  <si>
    <t>RD Advertising</t>
  </si>
  <si>
    <t>D-8600-583</t>
  </si>
  <si>
    <t>RD Subscriptions</t>
  </si>
  <si>
    <t>D-8600-584</t>
  </si>
  <si>
    <t>RD Travel</t>
  </si>
  <si>
    <t>D-8600-585</t>
  </si>
  <si>
    <t>RD Other</t>
  </si>
  <si>
    <t>D-8600-586</t>
  </si>
  <si>
    <t>RD Freight/Postage</t>
  </si>
  <si>
    <t>K-8750-962</t>
  </si>
  <si>
    <t>KH Maintenance/Repair</t>
  </si>
  <si>
    <t>K-8750-983</t>
  </si>
  <si>
    <t>KH Subscriptions</t>
  </si>
  <si>
    <t>K-8750-985</t>
  </si>
  <si>
    <t>KH Other</t>
  </si>
  <si>
    <t xml:space="preserve">        OTHER, 6400 Total</t>
  </si>
  <si>
    <t xml:space="preserve">    OTHER, 7050</t>
  </si>
  <si>
    <t>H-7050-386</t>
  </si>
  <si>
    <t>Central Supply freight, handling &amp; postage</t>
  </si>
  <si>
    <t>H-7050-583</t>
  </si>
  <si>
    <t>Central Supply Subscriptions</t>
  </si>
  <si>
    <t>H-7050-991</t>
  </si>
  <si>
    <t>Central Supply OTHER</t>
  </si>
  <si>
    <t xml:space="preserve">        OTHER, 7050 Total</t>
  </si>
  <si>
    <t xml:space="preserve">    OTHER, 7070</t>
  </si>
  <si>
    <t>H-7070-343</t>
  </si>
  <si>
    <t>LAB Uniforms</t>
  </si>
  <si>
    <t>H-7070-386</t>
  </si>
  <si>
    <t>LAB Freight, Postage</t>
  </si>
  <si>
    <t>H-7070-583</t>
  </si>
  <si>
    <t>LAB Subscriptions</t>
  </si>
  <si>
    <t>H-7070-991</t>
  </si>
  <si>
    <t>Lab OTHER</t>
  </si>
  <si>
    <t xml:space="preserve">        OTHER, 7070 Total</t>
  </si>
  <si>
    <t xml:space="preserve">    OTHER, 7130</t>
  </si>
  <si>
    <t>H-7130-386</t>
  </si>
  <si>
    <t>CT Scan Freight, Postage</t>
  </si>
  <si>
    <t xml:space="preserve">        OTHER, 7130 Total</t>
  </si>
  <si>
    <t xml:space="preserve">    OTHER, 7140</t>
  </si>
  <si>
    <t>Radiology-Diagnosis</t>
  </si>
  <si>
    <t>H-7140-386</t>
  </si>
  <si>
    <t>XRAY Freight, Postage</t>
  </si>
  <si>
    <t>H-7140-583</t>
  </si>
  <si>
    <t>XRAY Subscriptions</t>
  </si>
  <si>
    <t>H-7140-584</t>
  </si>
  <si>
    <t>XRAY Travel</t>
  </si>
  <si>
    <t>H-7140-991</t>
  </si>
  <si>
    <t>Radiology OTHER</t>
  </si>
  <si>
    <t>H-7150-583</t>
  </si>
  <si>
    <t>Ultrasound Subscriptions</t>
  </si>
  <si>
    <t>H-7150-584</t>
  </si>
  <si>
    <t>Ultrasound Travel</t>
  </si>
  <si>
    <t xml:space="preserve">        OTHER, 7140 Total</t>
  </si>
  <si>
    <t xml:space="preserve">    OTHER, 7200</t>
  </si>
  <si>
    <t>PT</t>
  </si>
  <si>
    <t>H-7200-583</t>
  </si>
  <si>
    <t>Phy Therapy Subscriptions</t>
  </si>
  <si>
    <t>H-7200-584</t>
  </si>
  <si>
    <t>PHY Therapy Travel</t>
  </si>
  <si>
    <t xml:space="preserve">        OTHER, 7200 Total</t>
  </si>
  <si>
    <t xml:space="preserve">    OTHER, 7250</t>
  </si>
  <si>
    <t>H-7250-386</t>
  </si>
  <si>
    <t>Short Stay (Procedures) Freight, Postage</t>
  </si>
  <si>
    <t xml:space="preserve">        OTHER, 7250 Total</t>
  </si>
  <si>
    <t xml:space="preserve">    OTHER, 7260</t>
  </si>
  <si>
    <t>H-7260-386</t>
  </si>
  <si>
    <t>Republic Clinic Freight, Postage</t>
  </si>
  <si>
    <t>H-7260-583</t>
  </si>
  <si>
    <t>Republic Clinic Subscriptions</t>
  </si>
  <si>
    <t>H-7260-584</t>
  </si>
  <si>
    <t>Republic Clinic Travel</t>
  </si>
  <si>
    <t>H-7260-991</t>
  </si>
  <si>
    <t>Republic Clinic OTHER</t>
  </si>
  <si>
    <t xml:space="preserve">        OTHER, 7260 Total</t>
  </si>
  <si>
    <t xml:space="preserve">    OTHER, 8320</t>
  </si>
  <si>
    <t>H-8320-583</t>
  </si>
  <si>
    <t>Dietary Subscriptions</t>
  </si>
  <si>
    <t xml:space="preserve">        OTHER, 8320 Total</t>
  </si>
  <si>
    <t xml:space="preserve">    OTHER, 8430</t>
  </si>
  <si>
    <t>H-8430-386</t>
  </si>
  <si>
    <t>Plant Freight, Postage</t>
  </si>
  <si>
    <t>H-8430-583</t>
  </si>
  <si>
    <t>Plant Subscriptions</t>
  </si>
  <si>
    <t>H-8430-584</t>
  </si>
  <si>
    <t>Plant Travel</t>
  </si>
  <si>
    <t>H-8430-991</t>
  </si>
  <si>
    <t>Plant OTHER</t>
  </si>
  <si>
    <t xml:space="preserve">        OTHER, 8430 Total</t>
  </si>
  <si>
    <t xml:space="preserve">    OTHER, 8460</t>
  </si>
  <si>
    <t>H-8460-991</t>
  </si>
  <si>
    <t>HSKING OTHER</t>
  </si>
  <si>
    <t xml:space="preserve">        OTHER, 8460 Total</t>
  </si>
  <si>
    <t xml:space="preserve">    OTHER, 8480</t>
  </si>
  <si>
    <t>H-8480-386</t>
  </si>
  <si>
    <t>IT Freight, Postage</t>
  </si>
  <si>
    <t>H-8480-583</t>
  </si>
  <si>
    <t>IT Subscriptions</t>
  </si>
  <si>
    <t>H-8480-584</t>
  </si>
  <si>
    <t>IT Travel</t>
  </si>
  <si>
    <t>H-8480-991</t>
  </si>
  <si>
    <t>IT Other</t>
  </si>
  <si>
    <t xml:space="preserve">        OTHER, 8480 Total</t>
  </si>
  <si>
    <t xml:space="preserve">    OTHER, 8510</t>
  </si>
  <si>
    <t>H-8510-386</t>
  </si>
  <si>
    <t>Fiscal Services Freight, Postage</t>
  </si>
  <si>
    <t>H-8510-583</t>
  </si>
  <si>
    <t>Fiscal Services Subscriptions</t>
  </si>
  <si>
    <t>H-8510-584</t>
  </si>
  <si>
    <t>Fiscal Services Travel</t>
  </si>
  <si>
    <t>H-8510-991</t>
  </si>
  <si>
    <t>Fiscal Services OTHER</t>
  </si>
  <si>
    <t xml:space="preserve">        OTHER, 8510 Total</t>
  </si>
  <si>
    <t xml:space="preserve">    OTHER, 8530</t>
  </si>
  <si>
    <t>H-8530-386</t>
  </si>
  <si>
    <t>PAT Accts Freight, Postage</t>
  </si>
  <si>
    <t>H-8530-583</t>
  </si>
  <si>
    <t>PAT Accts Subscriptions</t>
  </si>
  <si>
    <t>H-8530-584</t>
  </si>
  <si>
    <t>PAT Accts Travel</t>
  </si>
  <si>
    <t>H-8530-991</t>
  </si>
  <si>
    <t>Pat Accts OTHER</t>
  </si>
  <si>
    <t xml:space="preserve">        OTHER, 8530 Total</t>
  </si>
  <si>
    <t xml:space="preserve">    OTHER, 8610</t>
  </si>
  <si>
    <t>Hospital Admin</t>
  </si>
  <si>
    <t>H-8610-583</t>
  </si>
  <si>
    <t>Admin Subscriptions</t>
  </si>
  <si>
    <t>H-8610-584</t>
  </si>
  <si>
    <t>Admin Travel</t>
  </si>
  <si>
    <t>H-8610-585</t>
  </si>
  <si>
    <t>Admin Board Travel</t>
  </si>
  <si>
    <t>H-8610-590</t>
  </si>
  <si>
    <t>Admin Governing Board Expense</t>
  </si>
  <si>
    <t>H-8610-991</t>
  </si>
  <si>
    <t>Admin Other</t>
  </si>
  <si>
    <t>H-8610-999</t>
  </si>
  <si>
    <t>Admin Advertising</t>
  </si>
  <si>
    <t xml:space="preserve">        OTHER, 8610 Total</t>
  </si>
  <si>
    <t xml:space="preserve">    OTHER, 8650</t>
  </si>
  <si>
    <t>H-8650-583</t>
  </si>
  <si>
    <t>Personnel Subscriptions</t>
  </si>
  <si>
    <t>H-8650-584</t>
  </si>
  <si>
    <t>Personnel Travel</t>
  </si>
  <si>
    <t>H-8650-589</t>
  </si>
  <si>
    <t>Personnel Other Direct Advert</t>
  </si>
  <si>
    <t>H-8650-991</t>
  </si>
  <si>
    <t>Personnel OTHER</t>
  </si>
  <si>
    <t>H-8650-993</t>
  </si>
  <si>
    <t>Personnel Direct Other</t>
  </si>
  <si>
    <t xml:space="preserve">        OTHER, 8650 Total</t>
  </si>
  <si>
    <t xml:space="preserve">    OTHER, 8690</t>
  </si>
  <si>
    <t>H-8690-583</t>
  </si>
  <si>
    <t>HIM Subscriptions</t>
  </si>
  <si>
    <t>H-8690-584</t>
  </si>
  <si>
    <t>HIM Travel</t>
  </si>
  <si>
    <t xml:space="preserve">        OTHER, 8690 Total</t>
  </si>
  <si>
    <t xml:space="preserve">    OTHER, 8700</t>
  </si>
  <si>
    <t>H-8700-583</t>
  </si>
  <si>
    <t>Med Staff Subscriptions</t>
  </si>
  <si>
    <t>H-8700-584</t>
  </si>
  <si>
    <t>Med Staff Travel</t>
  </si>
  <si>
    <t xml:space="preserve">        OTHER, 8700 Total</t>
  </si>
  <si>
    <t xml:space="preserve">    OTHER, 8710</t>
  </si>
  <si>
    <t>Utilization Management</t>
  </si>
  <si>
    <t>H-8710-583</t>
  </si>
  <si>
    <t>Utilization Subscriptions</t>
  </si>
  <si>
    <t xml:space="preserve">        OTHER, 8710 Total</t>
  </si>
  <si>
    <t xml:space="preserve">    OTHER, 8720</t>
  </si>
  <si>
    <t>Nursing Admin</t>
  </si>
  <si>
    <t>H-8720-584</t>
  </si>
  <si>
    <t>Nurse Admin Travel</t>
  </si>
  <si>
    <t>H-8920-991</t>
  </si>
  <si>
    <t>COVID19 Other</t>
  </si>
  <si>
    <t xml:space="preserve">        OTHER, 8720 Total</t>
  </si>
  <si>
    <t xml:space="preserve">    OTHER, 8740</t>
  </si>
  <si>
    <t>H-8740-584</t>
  </si>
  <si>
    <t>Inservice Travel</t>
  </si>
  <si>
    <t xml:space="preserve">        OTHER, 8740 Total</t>
  </si>
  <si>
    <t>6050 (created by import)</t>
  </si>
  <si>
    <t xml:space="preserve">    6050, No Subcode</t>
  </si>
  <si>
    <t>D-3600-510</t>
  </si>
  <si>
    <t>RD Retail Revenue</t>
  </si>
  <si>
    <t>D-3600-518</t>
  </si>
  <si>
    <t>RD Candy</t>
  </si>
  <si>
    <t>H-5670-002</t>
  </si>
  <si>
    <t>Sales Scrap &amp; Waste</t>
  </si>
  <si>
    <t>H-5700-001</t>
  </si>
  <si>
    <t>HIM Records</t>
  </si>
  <si>
    <t>H-5750-001</t>
  </si>
  <si>
    <t>Int On Acct Rec</t>
  </si>
  <si>
    <t>H-5780-100</t>
  </si>
  <si>
    <t>Other Revenue Job Corps</t>
  </si>
  <si>
    <t>H-9200-100</t>
  </si>
  <si>
    <t>BHT Medicaid Transformation</t>
  </si>
  <si>
    <t>H-9210-090</t>
  </si>
  <si>
    <t>Other Rentals Non Patient Rev</t>
  </si>
  <si>
    <t xml:space="preserve">        6050, No Subcode Total</t>
  </si>
  <si>
    <t>509-775-3333</t>
  </si>
  <si>
    <t>509-775-3866</t>
  </si>
  <si>
    <t>Washington 99166</t>
  </si>
  <si>
    <t xml:space="preserve">In FY21 there was about $60,000 of lab supplies removed from inventory.  </t>
  </si>
  <si>
    <t>In FY21 there was lease expense and the cost of repairs for the equipment.</t>
  </si>
  <si>
    <t>This includes EGD's, colonoscopy's, and misc surgical procedures.  EGD's and colonoscopy's increased quite a bit in 2022 as compared to the PY.</t>
  </si>
  <si>
    <t>Clinic visits should be 8,594 per the Medicare cost report.</t>
  </si>
  <si>
    <t>In FY21 we reported clinic visits based on internal reports, which included telehealth and some nurse visits.  Actual face-to-face encounters were 8,594.</t>
  </si>
  <si>
    <t>The cost of food increased by about $50,000 in FY22 as compared to the PY.</t>
  </si>
  <si>
    <t>Repairs and maintenance expenses increased by about $60,000 as compared to the PY.</t>
  </si>
  <si>
    <t>12/31/2022</t>
  </si>
  <si>
    <t>99166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</si>
</sst>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[&lt;=9999999]###\-####;\(###\)\ ###\-####"/>
    <numFmt numFmtId="167" formatCode="General_)"/>
    <numFmt numFmtId="168" formatCode="_(* #,##0.00_);_(* \(#,##0.00\);_(* 0.00_);_(@_)"/>
  </numFmts>
  <fonts count="14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000000"/>
      <name val="Calibri"/>
      <family val="2"/>
    </font>
    <font>
      <u val="singleAccounting"/>
      <sz val="11"/>
      <color rgb="FF000000"/>
      <name val="Calibri"/>
      <family val="2"/>
    </font>
    <font>
      <sz val="12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sz val="18"/>
      <name val="Arial"/>
    </font>
    <font>
      <b/>
      <sz val="13"/>
      <color indexed="62"/>
      <name val="Calibri"/>
      <family val="2"/>
    </font>
    <font>
      <sz val="12"/>
      <name val="Arial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58CD"/>
      <name val="Courier New"/>
      <family val="3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Times New Roman"/>
      <family val="1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00FF"/>
      <name val="Arial"/>
      <family val="2"/>
    </font>
    <font>
      <b/>
      <sz val="8"/>
      <color rgb="FF008080"/>
      <name val="Courier New"/>
      <family val="3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Book Antiqua"/>
      <family val="1"/>
    </font>
    <font>
      <b/>
      <sz val="18"/>
      <color indexed="56"/>
      <name val="Cambria"/>
      <family val="2"/>
    </font>
    <font>
      <u/>
      <sz val="9"/>
      <color indexed="12"/>
      <name val="Helv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rgb="FF9C0006"/>
      <name val="Calibri"/>
      <family val="2"/>
    </font>
    <font>
      <b/>
      <sz val="12"/>
      <color rgb="FFFA7D00"/>
      <name val="Calibri"/>
      <family val="2"/>
    </font>
    <font>
      <b/>
      <sz val="12"/>
      <color theme="0"/>
      <name val="Calibri"/>
      <family val="2"/>
    </font>
    <font>
      <i/>
      <sz val="12"/>
      <color rgb="FF7F7F7F"/>
      <name val="Calibri"/>
      <family val="2"/>
    </font>
    <font>
      <sz val="12"/>
      <color rgb="FF006100"/>
      <name val="Calibri"/>
      <family val="2"/>
    </font>
    <font>
      <sz val="12"/>
      <color rgb="FF3F3F76"/>
      <name val="Calibri"/>
      <family val="2"/>
    </font>
    <font>
      <sz val="12"/>
      <color rgb="FFFA7D00"/>
      <name val="Calibri"/>
      <family val="2"/>
    </font>
    <font>
      <sz val="12"/>
      <color rgb="FF9C6500"/>
      <name val="Calibri"/>
      <family val="2"/>
    </font>
    <font>
      <b/>
      <sz val="12"/>
      <color rgb="FF3F3F3F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</fonts>
  <fills count="8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06">
    <xf numFmtId="37" fontId="0" fillId="0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39" fillId="23" borderId="0"/>
    <xf numFmtId="0" fontId="6" fillId="23" borderId="0"/>
    <xf numFmtId="0" fontId="6" fillId="23" borderId="0"/>
    <xf numFmtId="0" fontId="6" fillId="24" borderId="0"/>
    <xf numFmtId="0" fontId="6" fillId="24" borderId="0"/>
    <xf numFmtId="0" fontId="6" fillId="24" borderId="0"/>
    <xf numFmtId="0" fontId="6" fillId="24" borderId="0"/>
    <xf numFmtId="0" fontId="39" fillId="24" borderId="0"/>
    <xf numFmtId="0" fontId="6" fillId="24" borderId="0"/>
    <xf numFmtId="0" fontId="6" fillId="24" borderId="0"/>
    <xf numFmtId="0" fontId="6" fillId="25" borderId="0"/>
    <xf numFmtId="0" fontId="6" fillId="25" borderId="0"/>
    <xf numFmtId="0" fontId="6" fillId="25" borderId="0"/>
    <xf numFmtId="0" fontId="6" fillId="25" borderId="0"/>
    <xf numFmtId="0" fontId="39" fillId="25" borderId="0"/>
    <xf numFmtId="0" fontId="6" fillId="25" borderId="0"/>
    <xf numFmtId="0" fontId="6" fillId="25" borderId="0"/>
    <xf numFmtId="0" fontId="6" fillId="26" borderId="0"/>
    <xf numFmtId="0" fontId="6" fillId="26" borderId="0"/>
    <xf numFmtId="0" fontId="6" fillId="26" borderId="0"/>
    <xf numFmtId="0" fontId="6" fillId="26" borderId="0"/>
    <xf numFmtId="0" fontId="39" fillId="26" borderId="0"/>
    <xf numFmtId="0" fontId="6" fillId="26" borderId="0"/>
    <xf numFmtId="0" fontId="6" fillId="26" borderId="0"/>
    <xf numFmtId="0" fontId="6" fillId="27" borderId="0"/>
    <xf numFmtId="0" fontId="6" fillId="27" borderId="0"/>
    <xf numFmtId="0" fontId="6" fillId="27" borderId="0"/>
    <xf numFmtId="0" fontId="6" fillId="27" borderId="0"/>
    <xf numFmtId="0" fontId="39" fillId="27" borderId="0"/>
    <xf numFmtId="0" fontId="6" fillId="27" borderId="0"/>
    <xf numFmtId="0" fontId="6" fillId="27" borderId="0"/>
    <xf numFmtId="0" fontId="6" fillId="28" borderId="0"/>
    <xf numFmtId="0" fontId="6" fillId="28" borderId="0"/>
    <xf numFmtId="0" fontId="6" fillId="28" borderId="0"/>
    <xf numFmtId="0" fontId="6" fillId="28" borderId="0"/>
    <xf numFmtId="0" fontId="39" fillId="28" borderId="0"/>
    <xf numFmtId="0" fontId="6" fillId="28" borderId="0"/>
    <xf numFmtId="0" fontId="6" fillId="28" borderId="0"/>
    <xf numFmtId="43" fontId="11" fillId="0" borderId="0"/>
    <xf numFmtId="41" fontId="11" fillId="0" borderId="0"/>
    <xf numFmtId="41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44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40" fillId="0" borderId="0"/>
    <xf numFmtId="43" fontId="6" fillId="0" borderId="0"/>
    <xf numFmtId="43" fontId="40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2" fontId="11" fillId="0" borderId="0"/>
    <xf numFmtId="42" fontId="11" fillId="0" borderId="0"/>
    <xf numFmtId="44" fontId="11" fillId="0" borderId="0"/>
    <xf numFmtId="44" fontId="11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0" fontId="12" fillId="0" borderId="0">
      <alignment vertical="top"/>
      <protection locked="0"/>
    </xf>
    <xf numFmtId="0" fontId="36" fillId="0" borderId="0"/>
    <xf numFmtId="0" fontId="36" fillId="0" borderId="0"/>
    <xf numFmtId="0" fontId="12" fillId="0" borderId="0">
      <alignment vertical="top"/>
      <protection locked="0"/>
    </xf>
    <xf numFmtId="0" fontId="38" fillId="29" borderId="0"/>
    <xf numFmtId="0" fontId="42" fillId="29" borderId="0"/>
    <xf numFmtId="0" fontId="38" fillId="2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44" fillId="0" borderId="0"/>
    <xf numFmtId="0" fontId="14" fillId="0" borderId="0"/>
    <xf numFmtId="0" fontId="6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11" fillId="0" borderId="0"/>
    <xf numFmtId="167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3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6" fillId="0" borderId="0"/>
    <xf numFmtId="0" fontId="40" fillId="0" borderId="0"/>
    <xf numFmtId="0" fontId="6" fillId="0" borderId="0"/>
    <xf numFmtId="0" fontId="7" fillId="0" borderId="0"/>
    <xf numFmtId="0" fontId="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9" fontId="6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0" fontId="37" fillId="0" borderId="0"/>
    <xf numFmtId="0" fontId="43" fillId="0" borderId="0"/>
    <xf numFmtId="0" fontId="37" fillId="0" borderId="0"/>
    <xf numFmtId="0" fontId="35" fillId="0" borderId="0" applyBorder="0"/>
    <xf numFmtId="43" fontId="3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56" fillId="0" borderId="34" applyNumberFormat="0" applyFill="0" applyAlignment="0" applyProtection="0"/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9" fillId="32" borderId="0" applyNumberFormat="0" applyBorder="0" applyAlignment="0" applyProtection="0"/>
    <xf numFmtId="0" fontId="60" fillId="33" borderId="0" applyNumberFormat="0" applyBorder="0" applyAlignment="0" applyProtection="0"/>
    <xf numFmtId="0" fontId="61" fillId="35" borderId="37" applyNumberFormat="0" applyAlignment="0" applyProtection="0"/>
    <xf numFmtId="0" fontId="62" fillId="36" borderId="38" applyNumberFormat="0" applyAlignment="0" applyProtection="0"/>
    <xf numFmtId="0" fontId="63" fillId="36" borderId="37" applyNumberFormat="0" applyAlignment="0" applyProtection="0"/>
    <xf numFmtId="0" fontId="64" fillId="0" borderId="39" applyNumberFormat="0" applyFill="0" applyAlignment="0" applyProtection="0"/>
    <xf numFmtId="0" fontId="65" fillId="37" borderId="40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9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39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39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39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39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39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43" fontId="2" fillId="0" borderId="0"/>
    <xf numFmtId="43" fontId="2" fillId="0" borderId="0"/>
    <xf numFmtId="43" fontId="11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2" fillId="34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39" fillId="62" borderId="0" applyNumberFormat="0" applyBorder="0" applyAlignment="0" applyProtection="0"/>
    <xf numFmtId="37" fontId="55" fillId="0" borderId="0"/>
    <xf numFmtId="0" fontId="2" fillId="0" borderId="0"/>
    <xf numFmtId="0" fontId="25" fillId="63" borderId="0" applyNumberFormat="0" applyBorder="0" applyAlignment="0" applyProtection="0"/>
    <xf numFmtId="0" fontId="25" fillId="64" borderId="0" applyNumberFormat="0" applyBorder="0" applyAlignment="0" applyProtection="0"/>
    <xf numFmtId="0" fontId="25" fillId="65" borderId="0" applyNumberFormat="0" applyBorder="0" applyAlignment="0" applyProtection="0"/>
    <xf numFmtId="0" fontId="25" fillId="66" borderId="0" applyNumberFormat="0" applyBorder="0" applyAlignment="0" applyProtection="0"/>
    <xf numFmtId="0" fontId="25" fillId="67" borderId="0" applyNumberFormat="0" applyBorder="0" applyAlignment="0" applyProtection="0"/>
    <xf numFmtId="0" fontId="25" fillId="65" borderId="0" applyNumberFormat="0" applyBorder="0" applyAlignment="0" applyProtection="0"/>
    <xf numFmtId="0" fontId="25" fillId="67" borderId="0" applyNumberFormat="0" applyBorder="0" applyAlignment="0" applyProtection="0"/>
    <xf numFmtId="0" fontId="25" fillId="64" borderId="0" applyNumberFormat="0" applyBorder="0" applyAlignment="0" applyProtection="0"/>
    <xf numFmtId="0" fontId="25" fillId="68" borderId="0" applyNumberFormat="0" applyBorder="0" applyAlignment="0" applyProtection="0"/>
    <xf numFmtId="0" fontId="25" fillId="69" borderId="0" applyNumberFormat="0" applyBorder="0" applyAlignment="0" applyProtection="0"/>
    <xf numFmtId="0" fontId="25" fillId="67" borderId="0" applyNumberFormat="0" applyBorder="0" applyAlignment="0" applyProtection="0"/>
    <xf numFmtId="0" fontId="25" fillId="65" borderId="0" applyNumberFormat="0" applyBorder="0" applyAlignment="0" applyProtection="0"/>
    <xf numFmtId="0" fontId="69" fillId="67" borderId="0" applyNumberFormat="0" applyBorder="0" applyAlignment="0" applyProtection="0"/>
    <xf numFmtId="0" fontId="69" fillId="70" borderId="0" applyNumberFormat="0" applyBorder="0" applyAlignment="0" applyProtection="0"/>
    <xf numFmtId="0" fontId="69" fillId="71" borderId="0" applyNumberFormat="0" applyBorder="0" applyAlignment="0" applyProtection="0"/>
    <xf numFmtId="0" fontId="69" fillId="69" borderId="0" applyNumberFormat="0" applyBorder="0" applyAlignment="0" applyProtection="0"/>
    <xf numFmtId="0" fontId="69" fillId="67" borderId="0" applyNumberFormat="0" applyBorder="0" applyAlignment="0" applyProtection="0"/>
    <xf numFmtId="0" fontId="69" fillId="64" borderId="0" applyNumberFormat="0" applyBorder="0" applyAlignment="0" applyProtection="0"/>
    <xf numFmtId="0" fontId="69" fillId="72" borderId="0" applyNumberFormat="0" applyBorder="0" applyAlignment="0" applyProtection="0"/>
    <xf numFmtId="0" fontId="69" fillId="70" borderId="0" applyNumberFormat="0" applyBorder="0" applyAlignment="0" applyProtection="0"/>
    <xf numFmtId="0" fontId="69" fillId="71" borderId="0" applyNumberFormat="0" applyBorder="0" applyAlignment="0" applyProtection="0"/>
    <xf numFmtId="0" fontId="69" fillId="73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70" fillId="76" borderId="0" applyNumberFormat="0" applyBorder="0" applyAlignment="0" applyProtection="0"/>
    <xf numFmtId="0" fontId="71" fillId="77" borderId="42" applyNumberFormat="0" applyAlignment="0" applyProtection="0"/>
    <xf numFmtId="0" fontId="72" fillId="78" borderId="43" applyNumberFormat="0" applyAlignment="0" applyProtection="0"/>
    <xf numFmtId="43" fontId="6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1" fillId="0" borderId="0" applyFont="0" applyFill="0" applyBorder="0" applyAlignment="0" applyProtection="0">
      <alignment vertical="top"/>
    </xf>
    <xf numFmtId="3" fontId="68" fillId="0" borderId="0" applyFont="0" applyFill="0" applyBorder="0" applyAlignment="0" applyProtection="0">
      <alignment vertical="top"/>
    </xf>
    <xf numFmtId="3" fontId="11" fillId="0" borderId="0" applyFont="0" applyFill="0" applyBorder="0" applyAlignment="0" applyProtection="0">
      <alignment vertical="top"/>
    </xf>
    <xf numFmtId="5" fontId="11" fillId="0" borderId="0" applyFont="0" applyFill="0" applyBorder="0" applyAlignment="0" applyProtection="0">
      <alignment vertical="top"/>
    </xf>
    <xf numFmtId="5" fontId="68" fillId="0" borderId="0" applyFont="0" applyFill="0" applyBorder="0" applyAlignment="0" applyProtection="0">
      <alignment vertical="top"/>
    </xf>
    <xf numFmtId="5" fontId="11" fillId="0" borderId="0" applyFont="0" applyFill="0" applyBorder="0" applyAlignment="0" applyProtection="0">
      <alignment vertical="top"/>
    </xf>
    <xf numFmtId="0" fontId="11" fillId="0" borderId="0" applyFont="0" applyFill="0" applyBorder="0" applyAlignment="0" applyProtection="0">
      <alignment vertical="top"/>
    </xf>
    <xf numFmtId="0" fontId="68" fillId="0" borderId="0" applyFont="0" applyFill="0" applyBorder="0" applyAlignment="0" applyProtection="0">
      <alignment vertical="top"/>
    </xf>
    <xf numFmtId="0" fontId="11" fillId="0" borderId="0" applyFont="0" applyFill="0" applyBorder="0" applyAlignment="0" applyProtection="0">
      <alignment vertical="top"/>
    </xf>
    <xf numFmtId="0" fontId="73" fillId="0" borderId="0" applyNumberFormat="0" applyFill="0" applyBorder="0" applyAlignment="0" applyProtection="0"/>
    <xf numFmtId="2" fontId="11" fillId="0" borderId="0" applyFont="0" applyFill="0" applyBorder="0" applyAlignment="0" applyProtection="0">
      <alignment vertical="top"/>
    </xf>
    <xf numFmtId="2" fontId="68" fillId="0" borderId="0" applyFont="0" applyFill="0" applyBorder="0" applyAlignment="0" applyProtection="0">
      <alignment vertical="top"/>
    </xf>
    <xf numFmtId="2" fontId="11" fillId="0" borderId="0" applyFont="0" applyFill="0" applyBorder="0" applyAlignment="0" applyProtection="0">
      <alignment vertical="top"/>
    </xf>
    <xf numFmtId="0" fontId="74" fillId="67" borderId="0" applyNumberFormat="0" applyBorder="0" applyAlignment="0" applyProtection="0"/>
    <xf numFmtId="0" fontId="75" fillId="0" borderId="44" applyNumberFormat="0" applyFill="0" applyAlignment="0" applyProtection="0"/>
    <xf numFmtId="0" fontId="76" fillId="0" borderId="0" applyNumberFormat="0" applyFill="0" applyBorder="0" applyAlignment="0" applyProtection="0">
      <alignment vertical="top"/>
    </xf>
    <xf numFmtId="0" fontId="77" fillId="0" borderId="0" applyNumberFormat="0" applyFill="0" applyBorder="0" applyAlignment="0" applyProtection="0">
      <alignment vertical="top"/>
    </xf>
    <xf numFmtId="0" fontId="76" fillId="0" borderId="0" applyNumberFormat="0" applyFill="0" applyBorder="0" applyAlignment="0" applyProtection="0">
      <alignment vertical="top"/>
    </xf>
    <xf numFmtId="0" fontId="78" fillId="0" borderId="45" applyNumberFormat="0" applyFill="0" applyAlignment="0" applyProtection="0"/>
    <xf numFmtId="0" fontId="30" fillId="0" borderId="0" applyNumberFormat="0" applyFill="0" applyBorder="0" applyAlignment="0" applyProtection="0">
      <alignment vertical="top"/>
    </xf>
    <xf numFmtId="0" fontId="7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80" fillId="0" borderId="46" applyNumberFormat="0" applyFill="0" applyAlignment="0" applyProtection="0"/>
    <xf numFmtId="0" fontId="80" fillId="0" borderId="0" applyNumberFormat="0" applyFill="0" applyBorder="0" applyAlignment="0" applyProtection="0"/>
    <xf numFmtId="0" fontId="81" fillId="68" borderId="42" applyNumberFormat="0" applyAlignment="0" applyProtection="0"/>
    <xf numFmtId="0" fontId="82" fillId="0" borderId="47" applyNumberFormat="0" applyFill="0" applyAlignment="0" applyProtection="0"/>
    <xf numFmtId="0" fontId="83" fillId="68" borderId="0" applyNumberFormat="0" applyBorder="0" applyAlignment="0" applyProtection="0"/>
    <xf numFmtId="0" fontId="2" fillId="0" borderId="0"/>
    <xf numFmtId="37" fontId="31" fillId="0" borderId="0"/>
    <xf numFmtId="0" fontId="31" fillId="65" borderId="48" applyNumberFormat="0" applyFont="0" applyAlignment="0" applyProtection="0"/>
    <xf numFmtId="0" fontId="11" fillId="65" borderId="48" applyNumberFormat="0" applyFont="0" applyAlignment="0" applyProtection="0"/>
    <xf numFmtId="0" fontId="68" fillId="65" borderId="48" applyNumberFormat="0" applyFont="0" applyAlignment="0" applyProtection="0"/>
    <xf numFmtId="0" fontId="2" fillId="38" borderId="33" applyNumberFormat="0" applyFont="0" applyAlignment="0" applyProtection="0"/>
    <xf numFmtId="0" fontId="84" fillId="77" borderId="49" applyNumberFormat="0" applyAlignment="0" applyProtection="0"/>
    <xf numFmtId="9" fontId="2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50" applyNumberFormat="0" applyFill="0" applyAlignment="0" applyProtection="0"/>
    <xf numFmtId="0" fontId="11" fillId="0" borderId="51" applyNumberFormat="0" applyFont="0" applyFill="0" applyAlignment="0" applyProtection="0">
      <alignment vertical="top"/>
    </xf>
    <xf numFmtId="0" fontId="68" fillId="0" borderId="51" applyNumberFormat="0" applyFont="0" applyFill="0" applyAlignment="0" applyProtection="0">
      <alignment vertical="top"/>
    </xf>
    <xf numFmtId="0" fontId="11" fillId="0" borderId="51" applyNumberFormat="0" applyFont="0" applyFill="0" applyAlignment="0" applyProtection="0">
      <alignment vertical="top"/>
    </xf>
    <xf numFmtId="0" fontId="82" fillId="0" borderId="0" applyNumberFormat="0" applyFill="0" applyBorder="0" applyAlignment="0" applyProtection="0"/>
    <xf numFmtId="0" fontId="68" fillId="0" borderId="0"/>
    <xf numFmtId="0" fontId="11" fillId="65" borderId="48" applyNumberFormat="0" applyFont="0" applyAlignment="0" applyProtection="0"/>
    <xf numFmtId="44" fontId="2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5" fillId="0" borderId="44" applyNumberFormat="0" applyFill="0" applyAlignment="0" applyProtection="0"/>
    <xf numFmtId="0" fontId="78" fillId="0" borderId="45" applyNumberFormat="0" applyFill="0" applyAlignment="0" applyProtection="0"/>
    <xf numFmtId="37" fontId="31" fillId="0" borderId="0"/>
    <xf numFmtId="0" fontId="31" fillId="65" borderId="48" applyNumberFormat="0" applyFont="0" applyAlignment="0" applyProtection="0"/>
    <xf numFmtId="0" fontId="86" fillId="0" borderId="50" applyNumberFormat="0" applyFill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37" fontId="31" fillId="0" borderId="0"/>
    <xf numFmtId="9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1" fillId="65" borderId="48" applyNumberFormat="0" applyFont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87" fillId="0" borderId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0" fontId="87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37" fontId="31" fillId="0" borderId="0"/>
    <xf numFmtId="0" fontId="68" fillId="0" borderId="0"/>
    <xf numFmtId="43" fontId="68" fillId="0" borderId="0" applyFont="0" applyFill="0" applyBorder="0" applyAlignment="0" applyProtection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37" fontId="55" fillId="0" borderId="0"/>
    <xf numFmtId="9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 applyBorder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7" fontId="31" fillId="0" borderId="0"/>
    <xf numFmtId="37" fontId="31" fillId="0" borderId="0"/>
    <xf numFmtId="37" fontId="3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9" fillId="0" borderId="0"/>
    <xf numFmtId="0" fontId="2" fillId="49" borderId="0" applyNumberFormat="0" applyBorder="0" applyAlignment="0" applyProtection="0"/>
    <xf numFmtId="0" fontId="2" fillId="56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0" fontId="94" fillId="0" borderId="0"/>
    <xf numFmtId="0" fontId="2" fillId="50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91" fillId="0" borderId="0"/>
    <xf numFmtId="0" fontId="2" fillId="42" borderId="0" applyNumberFormat="0" applyBorder="0" applyAlignment="0" applyProtection="0"/>
    <xf numFmtId="43" fontId="2" fillId="0" borderId="0" applyFont="0" applyFill="0" applyBorder="0" applyAlignment="0" applyProtection="0"/>
    <xf numFmtId="37" fontId="3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" fillId="53" borderId="0" applyNumberFormat="0" applyBorder="0" applyAlignment="0" applyProtection="0"/>
    <xf numFmtId="0" fontId="2" fillId="60" borderId="0" applyNumberFormat="0" applyBorder="0" applyAlignment="0" applyProtection="0"/>
    <xf numFmtId="0" fontId="101" fillId="0" borderId="0"/>
    <xf numFmtId="0" fontId="2" fillId="48" borderId="0" applyNumberFormat="0" applyBorder="0" applyAlignment="0" applyProtection="0"/>
    <xf numFmtId="0" fontId="2" fillId="38" borderId="33" applyNumberFormat="0" applyFont="0" applyAlignment="0" applyProtection="0"/>
    <xf numFmtId="0" fontId="2" fillId="0" borderId="0"/>
    <xf numFmtId="0" fontId="2" fillId="38" borderId="33" applyNumberFormat="0" applyFont="0" applyAlignment="0" applyProtection="0"/>
    <xf numFmtId="43" fontId="89" fillId="0" borderId="0" applyFont="0" applyFill="0" applyBorder="0" applyAlignment="0" applyProtection="0"/>
    <xf numFmtId="0" fontId="2" fillId="38" borderId="33" applyNumberFormat="0" applyFont="0" applyAlignment="0" applyProtection="0"/>
    <xf numFmtId="0" fontId="90" fillId="0" borderId="0">
      <alignment vertical="top"/>
    </xf>
    <xf numFmtId="0" fontId="2" fillId="62" borderId="0" applyNumberFormat="0" applyBorder="0" applyAlignment="0" applyProtection="0"/>
    <xf numFmtId="0" fontId="2" fillId="58" borderId="0" applyNumberFormat="0" applyBorder="0" applyAlignment="0" applyProtection="0"/>
    <xf numFmtId="0" fontId="2" fillId="54" borderId="0" applyNumberFormat="0" applyBorder="0" applyAlignment="0" applyProtection="0"/>
    <xf numFmtId="0" fontId="2" fillId="46" borderId="0" applyNumberFormat="0" applyBorder="0" applyAlignment="0" applyProtection="0"/>
    <xf numFmtId="0" fontId="2" fillId="42" borderId="0" applyNumberFormat="0" applyBorder="0" applyAlignment="0" applyProtection="0"/>
    <xf numFmtId="0" fontId="2" fillId="38" borderId="33" applyNumberFormat="0" applyFont="0" applyAlignment="0" applyProtection="0"/>
    <xf numFmtId="0" fontId="38" fillId="34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44" fontId="90" fillId="0" borderId="0" applyFont="0" applyFill="0" applyBorder="0" applyAlignment="0" applyProtection="0">
      <alignment vertical="top"/>
    </xf>
    <xf numFmtId="43" fontId="90" fillId="0" borderId="0" applyFont="0" applyFill="0" applyBorder="0" applyAlignment="0" applyProtection="0">
      <alignment vertical="top"/>
    </xf>
    <xf numFmtId="0" fontId="90" fillId="0" borderId="0">
      <alignment vertical="top"/>
    </xf>
    <xf numFmtId="0" fontId="2" fillId="49" borderId="0" applyNumberFormat="0" applyBorder="0" applyAlignment="0" applyProtection="0"/>
    <xf numFmtId="0" fontId="39" fillId="58" borderId="0" applyNumberFormat="0" applyBorder="0" applyAlignment="0" applyProtection="0"/>
    <xf numFmtId="0" fontId="39" fillId="54" borderId="0" applyNumberFormat="0" applyBorder="0" applyAlignment="0" applyProtection="0"/>
    <xf numFmtId="0" fontId="98" fillId="0" borderId="0"/>
    <xf numFmtId="0" fontId="39" fillId="42" borderId="0" applyNumberFormat="0" applyBorder="0" applyAlignment="0" applyProtection="0"/>
    <xf numFmtId="0" fontId="2" fillId="0" borderId="0"/>
    <xf numFmtId="43" fontId="89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9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2" fillId="52" borderId="0" applyNumberFormat="0" applyBorder="0" applyAlignment="0" applyProtection="0"/>
    <xf numFmtId="0" fontId="93" fillId="0" borderId="0"/>
    <xf numFmtId="0" fontId="91" fillId="0" borderId="0"/>
    <xf numFmtId="0" fontId="2" fillId="57" borderId="0" applyNumberFormat="0" applyBorder="0" applyAlignment="0" applyProtection="0"/>
    <xf numFmtId="0" fontId="2" fillId="45" borderId="0" applyNumberFormat="0" applyBorder="0" applyAlignment="0" applyProtection="0"/>
    <xf numFmtId="0" fontId="108" fillId="0" borderId="0"/>
    <xf numFmtId="0" fontId="2" fillId="58" borderId="0" applyNumberFormat="0" applyBorder="0" applyAlignment="0" applyProtection="0"/>
    <xf numFmtId="0" fontId="2" fillId="48" borderId="0" applyNumberFormat="0" applyBorder="0" applyAlignment="0" applyProtection="0"/>
    <xf numFmtId="0" fontId="94" fillId="0" borderId="0"/>
    <xf numFmtId="44" fontId="87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4" borderId="0" applyNumberFormat="0" applyBorder="0" applyAlignment="0" applyProtection="0"/>
    <xf numFmtId="0" fontId="105" fillId="0" borderId="0"/>
    <xf numFmtId="0" fontId="2" fillId="49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0" fontId="2" fillId="0" borderId="0"/>
    <xf numFmtId="0" fontId="92" fillId="0" borderId="0"/>
    <xf numFmtId="0" fontId="2" fillId="0" borderId="0"/>
    <xf numFmtId="0" fontId="2" fillId="57" borderId="0" applyNumberFormat="0" applyBorder="0" applyAlignment="0" applyProtection="0"/>
    <xf numFmtId="0" fontId="2" fillId="40" borderId="0" applyNumberFormat="0" applyBorder="0" applyAlignment="0" applyProtection="0"/>
    <xf numFmtId="0" fontId="93" fillId="0" borderId="0"/>
    <xf numFmtId="0" fontId="39" fillId="54" borderId="0" applyNumberFormat="0" applyBorder="0" applyAlignment="0" applyProtection="0"/>
    <xf numFmtId="0" fontId="2" fillId="52" borderId="0" applyNumberFormat="0" applyBorder="0" applyAlignment="0" applyProtection="0"/>
    <xf numFmtId="9" fontId="89" fillId="0" borderId="0" applyFont="0" applyFill="0" applyBorder="0" applyAlignment="0" applyProtection="0"/>
    <xf numFmtId="0" fontId="87" fillId="0" borderId="0"/>
    <xf numFmtId="9" fontId="2" fillId="0" borderId="0" applyFont="0" applyFill="0" applyBorder="0" applyAlignment="0" applyProtection="0"/>
    <xf numFmtId="0" fontId="2" fillId="0" borderId="0"/>
    <xf numFmtId="0" fontId="99" fillId="0" borderId="0"/>
    <xf numFmtId="0" fontId="2" fillId="38" borderId="33" applyNumberFormat="0" applyFont="0" applyAlignment="0" applyProtection="0"/>
    <xf numFmtId="0" fontId="2" fillId="41" borderId="0" applyNumberFormat="0" applyBorder="0" applyAlignment="0" applyProtection="0"/>
    <xf numFmtId="0" fontId="2" fillId="56" borderId="0" applyNumberFormat="0" applyBorder="0" applyAlignment="0" applyProtection="0"/>
    <xf numFmtId="0" fontId="2" fillId="38" borderId="33" applyNumberFormat="0" applyFont="0" applyAlignment="0" applyProtection="0"/>
    <xf numFmtId="0" fontId="100" fillId="0" borderId="0"/>
    <xf numFmtId="0" fontId="2" fillId="56" borderId="0" applyNumberFormat="0" applyBorder="0" applyAlignment="0" applyProtection="0"/>
    <xf numFmtId="0" fontId="87" fillId="0" borderId="0"/>
    <xf numFmtId="9" fontId="2" fillId="0" borderId="0" applyFont="0" applyFill="0" applyBorder="0" applyAlignment="0" applyProtection="0"/>
    <xf numFmtId="0" fontId="2" fillId="48" borderId="0" applyNumberFormat="0" applyBorder="0" applyAlignment="0" applyProtection="0"/>
    <xf numFmtId="37" fontId="55" fillId="0" borderId="0"/>
    <xf numFmtId="43" fontId="11" fillId="0" borderId="0" applyFont="0" applyFill="0" applyBorder="0" applyAlignment="0" applyProtection="0"/>
    <xf numFmtId="0" fontId="42" fillId="34" borderId="0" applyNumberFormat="0" applyBorder="0" applyAlignment="0" applyProtection="0"/>
    <xf numFmtId="0" fontId="2" fillId="49" borderId="0" applyNumberFormat="0" applyBorder="0" applyAlignment="0" applyProtection="0"/>
    <xf numFmtId="0" fontId="97" fillId="0" borderId="0"/>
    <xf numFmtId="44" fontId="2" fillId="0" borderId="0" applyFont="0" applyFill="0" applyBorder="0" applyAlignment="0" applyProtection="0"/>
    <xf numFmtId="0" fontId="2" fillId="56" borderId="0" applyNumberFormat="0" applyBorder="0" applyAlignment="0" applyProtection="0"/>
    <xf numFmtId="0" fontId="2" fillId="38" borderId="33" applyNumberFormat="0" applyFont="0" applyAlignment="0" applyProtection="0"/>
    <xf numFmtId="0" fontId="2" fillId="38" borderId="33" applyNumberFormat="0" applyFont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95" fillId="0" borderId="0"/>
    <xf numFmtId="0" fontId="2" fillId="48" borderId="0" applyNumberFormat="0" applyBorder="0" applyAlignment="0" applyProtection="0"/>
    <xf numFmtId="0" fontId="2" fillId="6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96" fillId="0" borderId="0"/>
    <xf numFmtId="0" fontId="2" fillId="38" borderId="33" applyNumberFormat="0" applyFont="0" applyAlignment="0" applyProtection="0"/>
    <xf numFmtId="0" fontId="2" fillId="56" borderId="0" applyNumberFormat="0" applyBorder="0" applyAlignment="0" applyProtection="0"/>
    <xf numFmtId="43" fontId="87" fillId="0" borderId="0" applyFont="0" applyFill="0" applyBorder="0" applyAlignment="0" applyProtection="0"/>
    <xf numFmtId="0" fontId="39" fillId="50" borderId="0" applyNumberFormat="0" applyBorder="0" applyAlignment="0" applyProtection="0"/>
    <xf numFmtId="0" fontId="2" fillId="60" borderId="0" applyNumberFormat="0" applyBorder="0" applyAlignment="0" applyProtection="0"/>
    <xf numFmtId="0" fontId="2" fillId="41" borderId="0" applyNumberFormat="0" applyBorder="0" applyAlignment="0" applyProtection="0"/>
    <xf numFmtId="0" fontId="2" fillId="38" borderId="33" applyNumberFormat="0" applyFont="0" applyAlignment="0" applyProtection="0"/>
    <xf numFmtId="43" fontId="11" fillId="0" borderId="0" applyFont="0" applyFill="0" applyBorder="0" applyAlignment="0" applyProtection="0"/>
    <xf numFmtId="0" fontId="91" fillId="0" borderId="0"/>
    <xf numFmtId="0" fontId="2" fillId="0" borderId="0"/>
    <xf numFmtId="0" fontId="2" fillId="52" borderId="0" applyNumberFormat="0" applyBorder="0" applyAlignment="0" applyProtection="0"/>
    <xf numFmtId="0" fontId="91" fillId="0" borderId="0"/>
    <xf numFmtId="0" fontId="2" fillId="62" borderId="0" applyNumberFormat="0" applyBorder="0" applyAlignment="0" applyProtection="0"/>
    <xf numFmtId="0" fontId="106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0" applyNumberFormat="0" applyBorder="0" applyAlignment="0" applyProtection="0"/>
    <xf numFmtId="0" fontId="2" fillId="0" borderId="0"/>
    <xf numFmtId="0" fontId="39" fillId="62" borderId="0" applyNumberFormat="0" applyBorder="0" applyAlignment="0" applyProtection="0"/>
    <xf numFmtId="0" fontId="89" fillId="0" borderId="0"/>
    <xf numFmtId="0" fontId="2" fillId="45" borderId="0" applyNumberFormat="0" applyBorder="0" applyAlignment="0" applyProtection="0"/>
    <xf numFmtId="0" fontId="2" fillId="52" borderId="0" applyNumberFormat="0" applyBorder="0" applyAlignment="0" applyProtection="0"/>
    <xf numFmtId="43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96" fillId="0" borderId="0"/>
    <xf numFmtId="0" fontId="2" fillId="54" borderId="0" applyNumberFormat="0" applyBorder="0" applyAlignment="0" applyProtection="0"/>
    <xf numFmtId="0" fontId="2" fillId="60" borderId="0" applyNumberFormat="0" applyBorder="0" applyAlignment="0" applyProtection="0"/>
    <xf numFmtId="0" fontId="2" fillId="41" borderId="0" applyNumberFormat="0" applyBorder="0" applyAlignment="0" applyProtection="0"/>
    <xf numFmtId="0" fontId="103" fillId="0" borderId="0"/>
    <xf numFmtId="0" fontId="2" fillId="0" borderId="0"/>
    <xf numFmtId="0" fontId="39" fillId="58" borderId="0" applyNumberFormat="0" applyBorder="0" applyAlignment="0" applyProtection="0"/>
    <xf numFmtId="0" fontId="2" fillId="38" borderId="33" applyNumberFormat="0" applyFont="0" applyAlignment="0" applyProtection="0"/>
    <xf numFmtId="0" fontId="104" fillId="0" borderId="0"/>
    <xf numFmtId="0" fontId="2" fillId="44" borderId="0" applyNumberFormat="0" applyBorder="0" applyAlignment="0" applyProtection="0"/>
    <xf numFmtId="0" fontId="2" fillId="57" borderId="0" applyNumberFormat="0" applyBorder="0" applyAlignment="0" applyProtection="0"/>
    <xf numFmtId="0" fontId="91" fillId="0" borderId="0"/>
    <xf numFmtId="0" fontId="91" fillId="0" borderId="0"/>
    <xf numFmtId="0" fontId="2" fillId="52" borderId="0" applyNumberFormat="0" applyBorder="0" applyAlignment="0" applyProtection="0"/>
    <xf numFmtId="9" fontId="89" fillId="0" borderId="0" applyFont="0" applyFill="0" applyBorder="0" applyAlignment="0" applyProtection="0"/>
    <xf numFmtId="0" fontId="2" fillId="38" borderId="33" applyNumberFormat="0" applyFont="0" applyAlignment="0" applyProtection="0"/>
    <xf numFmtId="0" fontId="39" fillId="4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107" fillId="0" borderId="0"/>
    <xf numFmtId="0" fontId="2" fillId="40" borderId="0" applyNumberFormat="0" applyBorder="0" applyAlignment="0" applyProtection="0"/>
    <xf numFmtId="0" fontId="2" fillId="53" borderId="0" applyNumberFormat="0" applyBorder="0" applyAlignment="0" applyProtection="0"/>
    <xf numFmtId="0" fontId="91" fillId="0" borderId="0"/>
    <xf numFmtId="0" fontId="2" fillId="0" borderId="0"/>
    <xf numFmtId="0" fontId="91" fillId="0" borderId="0"/>
    <xf numFmtId="0" fontId="2" fillId="46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87" fillId="0" borderId="0"/>
    <xf numFmtId="9" fontId="2" fillId="0" borderId="0" applyFont="0" applyFill="0" applyBorder="0" applyAlignment="0" applyProtection="0"/>
    <xf numFmtId="0" fontId="2" fillId="45" borderId="0" applyNumberFormat="0" applyBorder="0" applyAlignment="0" applyProtection="0"/>
    <xf numFmtId="9" fontId="8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" fillId="48" borderId="0" applyNumberFormat="0" applyBorder="0" applyAlignment="0" applyProtection="0"/>
    <xf numFmtId="0" fontId="96" fillId="0" borderId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38" borderId="33" applyNumberFormat="0" applyFont="0" applyAlignment="0" applyProtection="0"/>
    <xf numFmtId="0" fontId="2" fillId="38" borderId="33" applyNumberFormat="0" applyFont="0" applyAlignment="0" applyProtection="0"/>
    <xf numFmtId="0" fontId="2" fillId="41" borderId="0" applyNumberFormat="0" applyBorder="0" applyAlignment="0" applyProtection="0"/>
    <xf numFmtId="0" fontId="2" fillId="61" borderId="0" applyNumberFormat="0" applyBorder="0" applyAlignment="0" applyProtection="0"/>
    <xf numFmtId="0" fontId="2" fillId="44" borderId="0" applyNumberFormat="0" applyBorder="0" applyAlignment="0" applyProtection="0"/>
    <xf numFmtId="0" fontId="94" fillId="0" borderId="0"/>
    <xf numFmtId="0" fontId="2" fillId="0" borderId="0"/>
    <xf numFmtId="0" fontId="39" fillId="62" borderId="0" applyNumberFormat="0" applyBorder="0" applyAlignment="0" applyProtection="0"/>
    <xf numFmtId="0" fontId="2" fillId="40" borderId="0" applyNumberFormat="0" applyBorder="0" applyAlignment="0" applyProtection="0"/>
    <xf numFmtId="0" fontId="102" fillId="0" borderId="0"/>
    <xf numFmtId="0" fontId="2" fillId="45" borderId="0" applyNumberFormat="0" applyBorder="0" applyAlignment="0" applyProtection="0"/>
    <xf numFmtId="0" fontId="2" fillId="60" borderId="0" applyNumberFormat="0" applyBorder="0" applyAlignment="0" applyProtection="0"/>
    <xf numFmtId="0" fontId="91" fillId="0" borderId="0"/>
    <xf numFmtId="0" fontId="90" fillId="0" borderId="0">
      <alignment vertical="top"/>
    </xf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89" fillId="0" borderId="0"/>
    <xf numFmtId="0" fontId="39" fillId="46" borderId="0" applyNumberFormat="0" applyBorder="0" applyAlignment="0" applyProtection="0"/>
    <xf numFmtId="0" fontId="2" fillId="57" borderId="0" applyNumberFormat="0" applyBorder="0" applyAlignment="0" applyProtection="0"/>
    <xf numFmtId="0" fontId="2" fillId="40" borderId="0" applyNumberFormat="0" applyBorder="0" applyAlignment="0" applyProtection="0"/>
    <xf numFmtId="0" fontId="11" fillId="0" borderId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62" borderId="0" applyNumberFormat="0" applyBorder="0" applyAlignment="0" applyProtection="0"/>
    <xf numFmtId="0" fontId="2" fillId="0" borderId="0"/>
    <xf numFmtId="0" fontId="2" fillId="38" borderId="33" applyNumberFormat="0" applyFont="0" applyAlignment="0" applyProtection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0" fontId="2" fillId="38" borderId="33" applyNumberFormat="0" applyFont="0" applyAlignment="0" applyProtection="0"/>
    <xf numFmtId="0" fontId="2" fillId="0" borderId="0"/>
    <xf numFmtId="0" fontId="2" fillId="38" borderId="3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62" borderId="0" applyNumberFormat="0" applyBorder="0" applyAlignment="0" applyProtection="0"/>
    <xf numFmtId="0" fontId="2" fillId="0" borderId="0"/>
    <xf numFmtId="0" fontId="2" fillId="38" borderId="33" applyNumberFormat="0" applyFont="0" applyAlignment="0" applyProtection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0" borderId="0"/>
    <xf numFmtId="0" fontId="2" fillId="38" borderId="33" applyNumberFormat="0" applyFont="0" applyAlignment="0" applyProtection="0"/>
    <xf numFmtId="0" fontId="2" fillId="0" borderId="0"/>
    <xf numFmtId="0" fontId="2" fillId="38" borderId="33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0" borderId="34" applyNumberFormat="0" applyFill="0" applyAlignment="0" applyProtection="0"/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9" fillId="32" borderId="0" applyNumberFormat="0" applyBorder="0" applyAlignment="0" applyProtection="0"/>
    <xf numFmtId="0" fontId="60" fillId="33" borderId="0" applyNumberFormat="0" applyBorder="0" applyAlignment="0" applyProtection="0"/>
    <xf numFmtId="0" fontId="61" fillId="35" borderId="37" applyNumberFormat="0" applyAlignment="0" applyProtection="0"/>
    <xf numFmtId="0" fontId="62" fillId="36" borderId="38" applyNumberFormat="0" applyAlignment="0" applyProtection="0"/>
    <xf numFmtId="0" fontId="63" fillId="36" borderId="37" applyNumberFormat="0" applyAlignment="0" applyProtection="0"/>
    <xf numFmtId="0" fontId="64" fillId="0" borderId="39" applyNumberFormat="0" applyFill="0" applyAlignment="0" applyProtection="0"/>
    <xf numFmtId="0" fontId="65" fillId="37" borderId="40" applyNumberFormat="0" applyAlignment="0" applyProtection="0"/>
    <xf numFmtId="0" fontId="66" fillId="0" borderId="0" applyNumberFormat="0" applyFill="0" applyBorder="0" applyAlignment="0" applyProtection="0"/>
    <xf numFmtId="0" fontId="2" fillId="38" borderId="33" applyNumberFormat="0" applyFont="0" applyAlignment="0" applyProtection="0"/>
    <xf numFmtId="0" fontId="67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9" fillId="39" borderId="0" applyNumberFormat="0" applyBorder="0" applyAlignment="0" applyProtection="0"/>
    <xf numFmtId="0" fontId="39" fillId="43" borderId="0" applyNumberFormat="0" applyBorder="0" applyAlignment="0" applyProtection="0"/>
    <xf numFmtId="0" fontId="39" fillId="47" borderId="0" applyNumberFormat="0" applyBorder="0" applyAlignment="0" applyProtection="0"/>
    <xf numFmtId="0" fontId="39" fillId="51" borderId="0" applyNumberFormat="0" applyBorder="0" applyAlignment="0" applyProtection="0"/>
    <xf numFmtId="0" fontId="39" fillId="55" borderId="0" applyNumberFormat="0" applyBorder="0" applyAlignment="0" applyProtection="0"/>
    <xf numFmtId="0" fontId="39" fillId="59" borderId="0" applyNumberFormat="0" applyBorder="0" applyAlignment="0" applyProtection="0"/>
    <xf numFmtId="43" fontId="11" fillId="0" borderId="0" applyFont="0" applyFill="0" applyBorder="0" applyAlignment="0" applyProtection="0"/>
    <xf numFmtId="0" fontId="88" fillId="0" borderId="0"/>
    <xf numFmtId="0" fontId="110" fillId="0" borderId="0"/>
    <xf numFmtId="0" fontId="111" fillId="0" borderId="0"/>
    <xf numFmtId="37" fontId="55" fillId="0" borderId="0"/>
    <xf numFmtId="0" fontId="30" fillId="0" borderId="0"/>
    <xf numFmtId="9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9" fillId="75" borderId="0" applyNumberFormat="0" applyBorder="0" applyAlignment="0" applyProtection="0"/>
    <xf numFmtId="0" fontId="129" fillId="50" borderId="0" applyNumberFormat="0" applyBorder="0" applyAlignment="0" applyProtection="0"/>
    <xf numFmtId="0" fontId="122" fillId="65" borderId="48" applyNumberFormat="0" applyFont="0" applyAlignment="0" applyProtection="0"/>
    <xf numFmtId="9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113" fillId="0" borderId="35" applyNumberFormat="0" applyFill="0" applyAlignment="0" applyProtection="0"/>
    <xf numFmtId="0" fontId="129" fillId="55" borderId="0" applyNumberFormat="0" applyBorder="0" applyAlignment="0" applyProtection="0"/>
    <xf numFmtId="43" fontId="2" fillId="0" borderId="0" applyFont="0" applyFill="0" applyBorder="0" applyAlignment="0" applyProtection="0"/>
    <xf numFmtId="0" fontId="128" fillId="53" borderId="0" applyNumberFormat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55" fillId="0" borderId="0"/>
    <xf numFmtId="0" fontId="129" fillId="46" borderId="0" applyNumberFormat="0" applyBorder="0" applyAlignment="0" applyProtection="0"/>
    <xf numFmtId="43" fontId="11" fillId="0" borderId="0" applyFont="0" applyFill="0" applyBorder="0" applyAlignment="0" applyProtection="0"/>
    <xf numFmtId="0" fontId="87" fillId="0" borderId="0"/>
    <xf numFmtId="43" fontId="11" fillId="0" borderId="0" applyFont="0" applyFill="0" applyBorder="0" applyAlignment="0" applyProtection="0"/>
    <xf numFmtId="0" fontId="2" fillId="0" borderId="0"/>
    <xf numFmtId="44" fontId="11" fillId="0" borderId="0" applyFont="0" applyFill="0" applyBorder="0" applyAlignment="0" applyProtection="0"/>
    <xf numFmtId="0" fontId="114" fillId="0" borderId="36" applyNumberFormat="0" applyFill="0" applyAlignment="0" applyProtection="0"/>
    <xf numFmtId="0" fontId="2" fillId="0" borderId="0"/>
    <xf numFmtId="0" fontId="11" fillId="0" borderId="0"/>
    <xf numFmtId="43" fontId="2" fillId="0" borderId="0" applyFont="0" applyFill="0" applyBorder="0" applyAlignment="0" applyProtection="0"/>
    <xf numFmtId="37" fontId="31" fillId="0" borderId="0"/>
    <xf numFmtId="0" fontId="128" fillId="41" borderId="0" applyNumberFormat="0" applyBorder="0" applyAlignment="0" applyProtection="0"/>
    <xf numFmtId="0" fontId="25" fillId="79" borderId="0" applyNumberFormat="0" applyBorder="0" applyAlignment="0" applyProtection="0"/>
    <xf numFmtId="43" fontId="127" fillId="0" borderId="0" applyFont="0" applyFill="0" applyBorder="0" applyAlignment="0" applyProtection="0"/>
    <xf numFmtId="0" fontId="2" fillId="0" borderId="0"/>
    <xf numFmtId="0" fontId="122" fillId="0" borderId="0"/>
    <xf numFmtId="0" fontId="74" fillId="80" borderId="0" applyNumberFormat="0" applyBorder="0" applyAlignment="0" applyProtection="0"/>
    <xf numFmtId="0" fontId="129" fillId="59" borderId="0" applyNumberFormat="0" applyBorder="0" applyAlignment="0" applyProtection="0"/>
    <xf numFmtId="43" fontId="90" fillId="0" borderId="0" applyFont="0" applyFill="0" applyBorder="0" applyAlignment="0" applyProtection="0">
      <alignment vertical="top"/>
    </xf>
    <xf numFmtId="0" fontId="2" fillId="0" borderId="0"/>
    <xf numFmtId="0" fontId="25" fillId="67" borderId="0" applyNumberFormat="0" applyBorder="0" applyAlignment="0" applyProtection="0"/>
    <xf numFmtId="0" fontId="90" fillId="0" borderId="0">
      <alignment vertical="top"/>
    </xf>
    <xf numFmtId="0" fontId="2" fillId="0" borderId="0"/>
    <xf numFmtId="0" fontId="2" fillId="0" borderId="0"/>
    <xf numFmtId="0" fontId="117" fillId="0" borderId="53" applyNumberFormat="0" applyFill="0" applyAlignment="0" applyProtection="0"/>
    <xf numFmtId="43" fontId="12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5" fillId="35" borderId="37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0" fontId="70" fillId="69" borderId="0" applyNumberFormat="0" applyBorder="0" applyAlignment="0" applyProtection="0"/>
    <xf numFmtId="0" fontId="122" fillId="0" borderId="0"/>
    <xf numFmtId="43" fontId="2" fillId="0" borderId="0" applyFont="0" applyFill="0" applyBorder="0" applyAlignment="0" applyProtection="0"/>
    <xf numFmtId="0" fontId="122" fillId="0" borderId="0"/>
    <xf numFmtId="37" fontId="31" fillId="0" borderId="0"/>
    <xf numFmtId="0" fontId="2" fillId="0" borderId="0"/>
    <xf numFmtId="0" fontId="2" fillId="0" borderId="0"/>
    <xf numFmtId="0" fontId="122" fillId="0" borderId="0"/>
    <xf numFmtId="44" fontId="12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44" fontId="122" fillId="0" borderId="0" applyFont="0" applyFill="0" applyBorder="0" applyAlignment="0" applyProtection="0"/>
    <xf numFmtId="0" fontId="128" fillId="44" borderId="0" applyNumberFormat="0" applyBorder="0" applyAlignment="0" applyProtection="0"/>
    <xf numFmtId="37" fontId="55" fillId="0" borderId="0"/>
    <xf numFmtId="0" fontId="30" fillId="0" borderId="0"/>
    <xf numFmtId="0" fontId="69" fillId="74" borderId="0" applyNumberFormat="0" applyBorder="0" applyAlignment="0" applyProtection="0"/>
    <xf numFmtId="0" fontId="2" fillId="0" borderId="0"/>
    <xf numFmtId="0" fontId="133" fillId="0" borderId="0" applyNumberFormat="0" applyFill="0" applyBorder="0" applyAlignment="0" applyProtection="0"/>
    <xf numFmtId="0" fontId="2" fillId="0" borderId="0"/>
    <xf numFmtId="44" fontId="122" fillId="0" borderId="0" applyFont="0" applyFill="0" applyBorder="0" applyAlignment="0" applyProtection="0"/>
    <xf numFmtId="0" fontId="2" fillId="0" borderId="0"/>
    <xf numFmtId="0" fontId="126" fillId="0" borderId="0"/>
    <xf numFmtId="0" fontId="11" fillId="0" borderId="0"/>
    <xf numFmtId="0" fontId="122" fillId="65" borderId="48" applyNumberFormat="0" applyFont="0" applyAlignment="0" applyProtection="0"/>
    <xf numFmtId="0" fontId="2" fillId="0" borderId="0"/>
    <xf numFmtId="0" fontId="69" fillId="85" borderId="0" applyNumberFormat="0" applyBorder="0" applyAlignment="0" applyProtection="0"/>
    <xf numFmtId="0" fontId="25" fillId="64" borderId="0" applyNumberFormat="0" applyBorder="0" applyAlignment="0" applyProtection="0"/>
    <xf numFmtId="43" fontId="12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31" fillId="0" borderId="0"/>
    <xf numFmtId="0" fontId="69" fillId="82" borderId="0" applyNumberFormat="0" applyBorder="0" applyAlignment="0" applyProtection="0"/>
    <xf numFmtId="0" fontId="140" fillId="0" borderId="0" applyNumberFormat="0" applyFill="0" applyBorder="0" applyAlignment="0" applyProtection="0"/>
    <xf numFmtId="0" fontId="87" fillId="0" borderId="0"/>
    <xf numFmtId="37" fontId="31" fillId="0" borderId="0"/>
    <xf numFmtId="0" fontId="25" fillId="66" borderId="0" applyNumberFormat="0" applyBorder="0" applyAlignment="0" applyProtection="0"/>
    <xf numFmtId="0" fontId="132" fillId="37" borderId="40" applyNumberFormat="0" applyAlignment="0" applyProtection="0"/>
    <xf numFmtId="0" fontId="2" fillId="0" borderId="0"/>
    <xf numFmtId="0" fontId="128" fillId="56" borderId="0" applyNumberFormat="0" applyBorder="0" applyAlignment="0" applyProtection="0"/>
    <xf numFmtId="0" fontId="2" fillId="0" borderId="0"/>
    <xf numFmtId="0" fontId="69" fillId="6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69" fillId="86" borderId="0" applyNumberFormat="0" applyBorder="0" applyAlignment="0" applyProtection="0"/>
    <xf numFmtId="0" fontId="12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6" fillId="0" borderId="0"/>
    <xf numFmtId="9" fontId="128" fillId="0" borderId="0" applyFont="0" applyFill="0" applyBorder="0" applyAlignment="0" applyProtection="0"/>
    <xf numFmtId="37" fontId="31" fillId="0" borderId="0"/>
    <xf numFmtId="43" fontId="2" fillId="0" borderId="0" applyFont="0" applyFill="0" applyBorder="0" applyAlignment="0" applyProtection="0"/>
    <xf numFmtId="0" fontId="128" fillId="48" borderId="0" applyNumberFormat="0" applyBorder="0" applyAlignment="0" applyProtection="0"/>
    <xf numFmtId="0" fontId="120" fillId="68" borderId="0" applyNumberFormat="0" applyBorder="0" applyAlignment="0" applyProtection="0"/>
    <xf numFmtId="0" fontId="69" fillId="74" borderId="0" applyNumberFormat="0" applyBorder="0" applyAlignment="0" applyProtection="0"/>
    <xf numFmtId="0" fontId="2" fillId="0" borderId="0"/>
    <xf numFmtId="0" fontId="90" fillId="0" borderId="0">
      <alignment vertical="top"/>
    </xf>
    <xf numFmtId="0" fontId="30" fillId="0" borderId="0"/>
    <xf numFmtId="0" fontId="25" fillId="76" borderId="0" applyNumberFormat="0" applyBorder="0" applyAlignment="0" applyProtection="0"/>
    <xf numFmtId="0" fontId="11" fillId="0" borderId="0"/>
    <xf numFmtId="0" fontId="2" fillId="0" borderId="0"/>
    <xf numFmtId="0" fontId="128" fillId="0" borderId="0"/>
    <xf numFmtId="43" fontId="2" fillId="0" borderId="0" applyFont="0" applyFill="0" applyBorder="0" applyAlignment="0" applyProtection="0"/>
    <xf numFmtId="0" fontId="69" fillId="8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5" fillId="81" borderId="0" applyNumberFormat="0" applyBorder="0" applyAlignment="0" applyProtection="0"/>
    <xf numFmtId="0" fontId="2" fillId="0" borderId="0"/>
    <xf numFmtId="0" fontId="2" fillId="0" borderId="0"/>
    <xf numFmtId="43" fontId="90" fillId="0" borderId="0" applyFont="0" applyFill="0" applyBorder="0" applyAlignment="0" applyProtection="0"/>
    <xf numFmtId="0" fontId="2" fillId="0" borderId="0"/>
    <xf numFmtId="44" fontId="127" fillId="0" borderId="0" applyFont="0" applyFill="0" applyBorder="0" applyAlignment="0" applyProtection="0"/>
    <xf numFmtId="0" fontId="122" fillId="0" borderId="0"/>
    <xf numFmtId="43" fontId="2" fillId="0" borderId="0" applyFont="0" applyFill="0" applyBorder="0" applyAlignment="0" applyProtection="0"/>
    <xf numFmtId="0" fontId="129" fillId="47" borderId="0" applyNumberFormat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69" borderId="0" applyNumberFormat="0" applyBorder="0" applyAlignment="0" applyProtection="0"/>
    <xf numFmtId="0" fontId="119" fillId="0" borderId="55" applyNumberFormat="0" applyFill="0" applyAlignment="0" applyProtection="0"/>
    <xf numFmtId="9" fontId="1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7" fillId="0" borderId="0"/>
    <xf numFmtId="43" fontId="2" fillId="0" borderId="0" applyFont="0" applyFill="0" applyBorder="0" applyAlignment="0" applyProtection="0"/>
    <xf numFmtId="0" fontId="2" fillId="0" borderId="0"/>
    <xf numFmtId="0" fontId="90" fillId="0" borderId="0">
      <alignment vertical="top"/>
    </xf>
    <xf numFmtId="0" fontId="2" fillId="0" borderId="0"/>
    <xf numFmtId="0" fontId="90" fillId="0" borderId="0">
      <alignment vertical="top"/>
    </xf>
    <xf numFmtId="0" fontId="128" fillId="52" borderId="0" applyNumberFormat="0" applyBorder="0" applyAlignment="0" applyProtection="0"/>
    <xf numFmtId="0" fontId="2" fillId="0" borderId="0"/>
    <xf numFmtId="0" fontId="2" fillId="0" borderId="0"/>
    <xf numFmtId="0" fontId="69" fillId="84" borderId="0" applyNumberFormat="0" applyBorder="0" applyAlignment="0" applyProtection="0"/>
    <xf numFmtId="0" fontId="2" fillId="0" borderId="0"/>
    <xf numFmtId="0" fontId="72" fillId="78" borderId="43" applyNumberFormat="0" applyAlignment="0" applyProtection="0"/>
    <xf numFmtId="43" fontId="90" fillId="0" borderId="0" applyFont="0" applyFill="0" applyBorder="0" applyAlignment="0" applyProtection="0"/>
    <xf numFmtId="0" fontId="122" fillId="65" borderId="48" applyNumberFormat="0" applyFont="0" applyAlignment="0" applyProtection="0"/>
    <xf numFmtId="0" fontId="137" fillId="34" borderId="0" applyNumberFormat="0" applyBorder="0" applyAlignment="0" applyProtection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37" fontId="31" fillId="0" borderId="0"/>
    <xf numFmtId="0" fontId="129" fillId="58" borderId="0" applyNumberFormat="0" applyBorder="0" applyAlignment="0" applyProtection="0"/>
    <xf numFmtId="0" fontId="129" fillId="51" borderId="0" applyNumberFormat="0" applyBorder="0" applyAlignment="0" applyProtection="0"/>
    <xf numFmtId="0" fontId="86" fillId="0" borderId="56" applyNumberFormat="0" applyFill="0" applyAlignment="0" applyProtection="0"/>
    <xf numFmtId="0" fontId="118" fillId="0" borderId="54" applyNumberFormat="0" applyFill="0" applyAlignment="0" applyProtection="0"/>
    <xf numFmtId="0" fontId="90" fillId="0" borderId="0">
      <alignment vertical="top"/>
    </xf>
    <xf numFmtId="0" fontId="84" fillId="87" borderId="49" applyNumberFormat="0" applyAlignment="0" applyProtection="0"/>
    <xf numFmtId="0" fontId="115" fillId="87" borderId="42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81" fillId="66" borderId="42" applyNumberFormat="0" applyAlignment="0" applyProtection="0"/>
    <xf numFmtId="0" fontId="2" fillId="38" borderId="33" applyNumberFormat="0" applyFont="0" applyAlignment="0" applyProtection="0"/>
    <xf numFmtId="0" fontId="139" fillId="0" borderId="41" applyNumberFormat="0" applyFill="0" applyAlignment="0" applyProtection="0"/>
    <xf numFmtId="0" fontId="90" fillId="0" borderId="0">
      <alignment vertical="top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0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" fillId="0" borderId="0"/>
    <xf numFmtId="0" fontId="2" fillId="38" borderId="33" applyNumberFormat="0" applyFont="0" applyAlignment="0" applyProtection="0"/>
    <xf numFmtId="0" fontId="69" fillId="70" borderId="0" applyNumberFormat="0" applyBorder="0" applyAlignment="0" applyProtection="0"/>
    <xf numFmtId="0" fontId="88" fillId="0" borderId="0"/>
    <xf numFmtId="43" fontId="2" fillId="0" borderId="0" applyFont="0" applyFill="0" applyBorder="0" applyAlignment="0" applyProtection="0"/>
    <xf numFmtId="0" fontId="2" fillId="0" borderId="0"/>
    <xf numFmtId="0" fontId="128" fillId="45" borderId="0" applyNumberFormat="0" applyBorder="0" applyAlignment="0" applyProtection="0"/>
    <xf numFmtId="0" fontId="2" fillId="0" borderId="0"/>
    <xf numFmtId="0" fontId="2" fillId="0" borderId="0"/>
    <xf numFmtId="0" fontId="11" fillId="0" borderId="0"/>
    <xf numFmtId="0" fontId="2" fillId="0" borderId="0"/>
    <xf numFmtId="44" fontId="127" fillId="0" borderId="0" applyFont="0" applyFill="0" applyBorder="0" applyAlignment="0" applyProtection="0"/>
    <xf numFmtId="0" fontId="129" fillId="39" borderId="0" applyNumberFormat="0" applyBorder="0" applyAlignment="0" applyProtection="0"/>
    <xf numFmtId="37" fontId="3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37" fontId="31" fillId="0" borderId="0"/>
    <xf numFmtId="0" fontId="7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129" fillId="42" borderId="0" applyNumberFormat="0" applyBorder="0" applyAlignment="0" applyProtection="0"/>
    <xf numFmtId="0" fontId="25" fillId="63" borderId="0" applyNumberFormat="0" applyBorder="0" applyAlignment="0" applyProtection="0"/>
    <xf numFmtId="0" fontId="126" fillId="0" borderId="0"/>
    <xf numFmtId="43" fontId="90" fillId="0" borderId="0" applyFont="0" applyFill="0" applyBorder="0" applyAlignment="0" applyProtection="0">
      <alignment vertical="top"/>
    </xf>
    <xf numFmtId="0" fontId="90" fillId="0" borderId="0">
      <alignment vertical="top"/>
    </xf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29" fillId="62" borderId="0" applyNumberFormat="0" applyBorder="0" applyAlignment="0" applyProtection="0"/>
    <xf numFmtId="44" fontId="1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0" fontId="129" fillId="43" borderId="0" applyNumberFormat="0" applyBorder="0" applyAlignment="0" applyProtection="0"/>
    <xf numFmtId="43" fontId="90" fillId="0" borderId="0" applyFont="0" applyFill="0" applyBorder="0" applyAlignment="0" applyProtection="0">
      <alignment vertical="top"/>
    </xf>
    <xf numFmtId="0" fontId="2" fillId="0" borderId="0"/>
    <xf numFmtId="0" fontId="11" fillId="0" borderId="0"/>
    <xf numFmtId="0" fontId="82" fillId="0" borderId="0" applyNumberForma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0" fontId="1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55" fillId="0" borderId="0"/>
    <xf numFmtId="0" fontId="2" fillId="0" borderId="0"/>
    <xf numFmtId="0" fontId="2" fillId="0" borderId="0"/>
    <xf numFmtId="0" fontId="25" fillId="71" borderId="0" applyNumberFormat="0" applyBorder="0" applyAlignment="0" applyProtection="0"/>
    <xf numFmtId="0" fontId="90" fillId="0" borderId="0">
      <alignment vertical="top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28" fillId="40" borderId="0" applyNumberFormat="0" applyBorder="0" applyAlignment="0" applyProtection="0"/>
    <xf numFmtId="0" fontId="11" fillId="0" borderId="0"/>
    <xf numFmtId="0" fontId="121" fillId="0" borderId="0"/>
    <xf numFmtId="0" fontId="2" fillId="0" borderId="0"/>
    <xf numFmtId="9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0" fontId="116" fillId="0" borderId="52" applyNumberFormat="0" applyFill="0" applyAlignment="0" applyProtection="0"/>
    <xf numFmtId="0" fontId="2" fillId="0" borderId="0"/>
    <xf numFmtId="44" fontId="11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90" fillId="0" borderId="0">
      <alignment vertical="top"/>
    </xf>
    <xf numFmtId="0" fontId="134" fillId="32" borderId="0" applyNumberFormat="0" applyBorder="0" applyAlignment="0" applyProtection="0"/>
    <xf numFmtId="0" fontId="2" fillId="0" borderId="0"/>
    <xf numFmtId="0" fontId="90" fillId="0" borderId="0">
      <alignment vertical="top"/>
    </xf>
    <xf numFmtId="43" fontId="2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43" fontId="90" fillId="0" borderId="0" applyFont="0" applyFill="0" applyBorder="0" applyAlignment="0" applyProtection="0">
      <alignment vertical="top"/>
    </xf>
    <xf numFmtId="43" fontId="87" fillId="0" borderId="0" applyFont="0" applyFill="0" applyBorder="0" applyAlignment="0" applyProtection="0"/>
    <xf numFmtId="0" fontId="128" fillId="60" borderId="0" applyNumberFormat="0" applyBorder="0" applyAlignment="0" applyProtection="0"/>
    <xf numFmtId="0" fontId="25" fillId="63" borderId="0" applyNumberFormat="0" applyBorder="0" applyAlignment="0" applyProtection="0"/>
    <xf numFmtId="0" fontId="90" fillId="0" borderId="0">
      <alignment vertical="top"/>
    </xf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21" fillId="0" borderId="0"/>
    <xf numFmtId="0" fontId="2" fillId="0" borderId="0"/>
    <xf numFmtId="43" fontId="2" fillId="0" borderId="0" applyFont="0" applyFill="0" applyBorder="0" applyAlignment="0" applyProtection="0"/>
    <xf numFmtId="37" fontId="31" fillId="0" borderId="0"/>
    <xf numFmtId="43" fontId="2" fillId="0" borderId="0" applyFont="0" applyFill="0" applyBorder="0" applyAlignment="0" applyProtection="0"/>
    <xf numFmtId="0" fontId="128" fillId="49" borderId="0" applyNumberFormat="0" applyBorder="0" applyAlignment="0" applyProtection="0"/>
    <xf numFmtId="0" fontId="69" fillId="81" borderId="0" applyNumberFormat="0" applyBorder="0" applyAlignment="0" applyProtection="0"/>
    <xf numFmtId="0" fontId="129" fillId="54" borderId="0" applyNumberFormat="0" applyBorder="0" applyAlignment="0" applyProtection="0"/>
    <xf numFmtId="0" fontId="128" fillId="57" borderId="0" applyNumberFormat="0" applyBorder="0" applyAlignment="0" applyProtection="0"/>
    <xf numFmtId="43" fontId="121" fillId="0" borderId="0" applyFont="0" applyFill="0" applyBorder="0" applyAlignment="0" applyProtection="0"/>
    <xf numFmtId="0" fontId="90" fillId="0" borderId="0">
      <alignment vertical="top"/>
    </xf>
    <xf numFmtId="0" fontId="136" fillId="0" borderId="39" applyNumberFormat="0" applyFill="0" applyAlignment="0" applyProtection="0"/>
    <xf numFmtId="0" fontId="2" fillId="0" borderId="0"/>
    <xf numFmtId="0" fontId="2" fillId="0" borderId="0"/>
    <xf numFmtId="37" fontId="31" fillId="0" borderId="0"/>
    <xf numFmtId="0" fontId="11" fillId="0" borderId="0"/>
    <xf numFmtId="0" fontId="128" fillId="38" borderId="33" applyNumberFormat="0" applyFont="0" applyAlignment="0" applyProtection="0"/>
    <xf numFmtId="0" fontId="12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5" fillId="80" borderId="0" applyNumberFormat="0" applyBorder="0" applyAlignment="0" applyProtection="0"/>
    <xf numFmtId="0" fontId="2" fillId="0" borderId="0"/>
    <xf numFmtId="0" fontId="2" fillId="38" borderId="33" applyNumberFormat="0" applyFont="0" applyAlignment="0" applyProtection="0"/>
    <xf numFmtId="0" fontId="90" fillId="0" borderId="0">
      <alignment vertical="top"/>
    </xf>
    <xf numFmtId="0" fontId="2" fillId="0" borderId="0"/>
    <xf numFmtId="43" fontId="122" fillId="0" borderId="0" applyFont="0" applyFill="0" applyBorder="0" applyAlignment="0" applyProtection="0"/>
    <xf numFmtId="0" fontId="90" fillId="0" borderId="0">
      <alignment vertical="top"/>
    </xf>
    <xf numFmtId="0" fontId="2" fillId="0" borderId="0"/>
    <xf numFmtId="0" fontId="2" fillId="38" borderId="33" applyNumberFormat="0" applyFont="0" applyAlignment="0" applyProtection="0"/>
    <xf numFmtId="0" fontId="131" fillId="36" borderId="37" applyNumberFormat="0" applyAlignment="0" applyProtection="0"/>
    <xf numFmtId="0" fontId="2" fillId="38" borderId="33" applyNumberFormat="0" applyFont="0" applyAlignment="0" applyProtection="0"/>
    <xf numFmtId="9" fontId="11" fillId="0" borderId="0" applyFont="0" applyFill="0" applyBorder="0" applyAlignment="0" applyProtection="0"/>
    <xf numFmtId="0" fontId="69" fillId="83" borderId="0" applyNumberFormat="0" applyBorder="0" applyAlignment="0" applyProtection="0"/>
    <xf numFmtId="37" fontId="55" fillId="0" borderId="0"/>
    <xf numFmtId="0" fontId="2" fillId="0" borderId="0"/>
    <xf numFmtId="0" fontId="90" fillId="0" borderId="0">
      <alignment vertical="top"/>
    </xf>
    <xf numFmtId="0" fontId="125" fillId="0" borderId="0" applyNumberFormat="0" applyFill="0" applyBorder="0" applyAlignment="0" applyProtection="0">
      <alignment vertical="top"/>
      <protection locked="0"/>
    </xf>
    <xf numFmtId="0" fontId="25" fillId="76" borderId="0" applyNumberFormat="0" applyBorder="0" applyAlignment="0" applyProtection="0"/>
    <xf numFmtId="0" fontId="2" fillId="0" borderId="0"/>
    <xf numFmtId="43" fontId="90" fillId="0" borderId="0" applyFont="0" applyFill="0" applyBorder="0" applyAlignment="0" applyProtection="0">
      <alignment vertical="top"/>
    </xf>
    <xf numFmtId="0" fontId="124" fillId="0" borderId="0" applyNumberFormat="0" applyFill="0" applyBorder="0" applyAlignment="0" applyProtection="0">
      <alignment vertical="top"/>
      <protection locked="0"/>
    </xf>
    <xf numFmtId="0" fontId="112" fillId="0" borderId="34" applyNumberFormat="0" applyFill="0" applyAlignment="0" applyProtection="0"/>
    <xf numFmtId="0" fontId="2" fillId="0" borderId="0"/>
    <xf numFmtId="0" fontId="138" fillId="36" borderId="38" applyNumberFormat="0" applyAlignment="0" applyProtection="0"/>
    <xf numFmtId="0" fontId="2" fillId="0" borderId="0"/>
    <xf numFmtId="0" fontId="90" fillId="0" borderId="0">
      <alignment vertical="top"/>
    </xf>
    <xf numFmtId="43" fontId="2" fillId="0" borderId="0" applyFont="0" applyFill="0" applyBorder="0" applyAlignment="0" applyProtection="0"/>
    <xf numFmtId="0" fontId="128" fillId="61" borderId="0" applyNumberFormat="0" applyBorder="0" applyAlignment="0" applyProtection="0"/>
    <xf numFmtId="9" fontId="121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2" fillId="0" borderId="0"/>
    <xf numFmtId="43" fontId="12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38" borderId="3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90" fillId="0" borderId="0">
      <alignment vertical="top"/>
    </xf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43" fontId="90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8" borderId="33" applyNumberFormat="0" applyFont="0" applyAlignment="0" applyProtection="0"/>
    <xf numFmtId="0" fontId="2" fillId="38" borderId="33" applyNumberFormat="0" applyFont="0" applyAlignment="0" applyProtection="0"/>
    <xf numFmtId="0" fontId="2" fillId="38" borderId="33" applyNumberFormat="0" applyFont="0" applyAlignment="0" applyProtection="0"/>
    <xf numFmtId="0" fontId="2" fillId="38" borderId="33" applyNumberFormat="0" applyFont="0" applyAlignment="0" applyProtection="0"/>
    <xf numFmtId="0" fontId="2" fillId="38" borderId="33" applyNumberFormat="0" applyFont="0" applyAlignment="0" applyProtection="0"/>
    <xf numFmtId="0" fontId="2" fillId="38" borderId="33" applyNumberFormat="0" applyFont="0" applyAlignment="0" applyProtection="0"/>
    <xf numFmtId="0" fontId="2" fillId="38" borderId="33" applyNumberFormat="0" applyFont="0" applyAlignment="0" applyProtection="0"/>
    <xf numFmtId="0" fontId="2" fillId="38" borderId="33" applyNumberFormat="0" applyFont="0" applyAlignment="0" applyProtection="0"/>
    <xf numFmtId="9" fontId="2" fillId="0" borderId="0" applyFont="0" applyFill="0" applyBorder="0" applyAlignment="0" applyProtection="0"/>
    <xf numFmtId="0" fontId="2" fillId="40" borderId="0"/>
    <xf numFmtId="0" fontId="25" fillId="63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4" borderId="0"/>
    <xf numFmtId="0" fontId="25" fillId="6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8" borderId="0"/>
    <xf numFmtId="0" fontId="25" fillId="65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48" borderId="0"/>
    <xf numFmtId="0" fontId="2" fillId="52" borderId="0"/>
    <xf numFmtId="0" fontId="25" fillId="66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2" borderId="0"/>
    <xf numFmtId="0" fontId="2" fillId="56" borderId="0"/>
    <xf numFmtId="0" fontId="25" fillId="67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56" borderId="0"/>
    <xf numFmtId="0" fontId="2" fillId="60" borderId="0"/>
    <xf numFmtId="0" fontId="25" fillId="65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60" borderId="0"/>
    <xf numFmtId="0" fontId="2" fillId="41" borderId="0"/>
    <xf numFmtId="0" fontId="25" fillId="67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5" borderId="0"/>
    <xf numFmtId="0" fontId="25" fillId="64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9" borderId="0"/>
    <xf numFmtId="0" fontId="25" fillId="68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49" borderId="0"/>
    <xf numFmtId="0" fontId="2" fillId="53" borderId="0"/>
    <xf numFmtId="0" fontId="25" fillId="69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3" borderId="0"/>
    <xf numFmtId="0" fontId="2" fillId="57" borderId="0"/>
    <xf numFmtId="0" fontId="25" fillId="6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57" borderId="0"/>
    <xf numFmtId="0" fontId="2" fillId="61" borderId="0"/>
    <xf numFmtId="0" fontId="25" fillId="65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2" fillId="61" borderId="0"/>
    <xf numFmtId="0" fontId="69" fillId="67" borderId="0"/>
    <xf numFmtId="0" fontId="39" fillId="42" borderId="0"/>
    <xf numFmtId="0" fontId="69" fillId="70" borderId="0"/>
    <xf numFmtId="0" fontId="39" fillId="46" borderId="0"/>
    <xf numFmtId="0" fontId="69" fillId="71" borderId="0"/>
    <xf numFmtId="0" fontId="39" fillId="50" borderId="0"/>
    <xf numFmtId="0" fontId="69" fillId="69" borderId="0"/>
    <xf numFmtId="0" fontId="39" fillId="54" borderId="0"/>
    <xf numFmtId="0" fontId="69" fillId="67" borderId="0"/>
    <xf numFmtId="0" fontId="39" fillId="58" borderId="0"/>
    <xf numFmtId="0" fontId="69" fillId="64" borderId="0"/>
    <xf numFmtId="0" fontId="39" fillId="62" borderId="0"/>
    <xf numFmtId="0" fontId="39" fillId="39" borderId="0"/>
    <xf numFmtId="0" fontId="69" fillId="72" borderId="0"/>
    <xf numFmtId="0" fontId="39" fillId="43" borderId="0"/>
    <xf numFmtId="0" fontId="69" fillId="70" borderId="0"/>
    <xf numFmtId="0" fontId="39" fillId="47" borderId="0"/>
    <xf numFmtId="0" fontId="69" fillId="71" borderId="0"/>
    <xf numFmtId="0" fontId="39" fillId="51" borderId="0"/>
    <xf numFmtId="0" fontId="69" fillId="73" borderId="0"/>
    <xf numFmtId="0" fontId="39" fillId="55" borderId="0"/>
    <xf numFmtId="0" fontId="69" fillId="74" borderId="0"/>
    <xf numFmtId="0" fontId="39" fillId="59" borderId="0"/>
    <xf numFmtId="0" fontId="69" fillId="75" borderId="0"/>
    <xf numFmtId="0" fontId="60" fillId="33" borderId="0"/>
    <xf numFmtId="0" fontId="70" fillId="76" borderId="0"/>
    <xf numFmtId="0" fontId="63" fillId="36" borderId="37"/>
    <xf numFmtId="0" fontId="71" fillId="77" borderId="42"/>
    <xf numFmtId="0" fontId="65" fillId="37" borderId="40"/>
    <xf numFmtId="0" fontId="72" fillId="78" borderId="43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11" fillId="0" borderId="0"/>
    <xf numFmtId="43" fontId="68" fillId="0" borderId="0"/>
    <xf numFmtId="43" fontId="68" fillId="0" borderId="0"/>
    <xf numFmtId="43" fontId="68" fillId="0" borderId="0"/>
    <xf numFmtId="43" fontId="68" fillId="0" borderId="0"/>
    <xf numFmtId="43" fontId="11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68" fillId="0" borderId="0"/>
    <xf numFmtId="43" fontId="68" fillId="0" borderId="0"/>
    <xf numFmtId="3" fontId="11" fillId="0" borderId="0">
      <alignment vertical="top"/>
    </xf>
    <xf numFmtId="3" fontId="68" fillId="0" borderId="0">
      <alignment vertical="top"/>
    </xf>
    <xf numFmtId="3" fontId="11" fillId="0" borderId="0">
      <alignment vertical="top"/>
    </xf>
    <xf numFmtId="44" fontId="25" fillId="0" borderId="0"/>
    <xf numFmtId="5" fontId="11" fillId="0" borderId="0">
      <alignment vertical="top"/>
    </xf>
    <xf numFmtId="5" fontId="68" fillId="0" borderId="0">
      <alignment vertical="top"/>
    </xf>
    <xf numFmtId="5" fontId="11" fillId="0" borderId="0">
      <alignment vertical="top"/>
    </xf>
    <xf numFmtId="0" fontId="11" fillId="0" borderId="0">
      <alignment vertical="top"/>
    </xf>
    <xf numFmtId="0" fontId="68" fillId="0" borderId="0">
      <alignment vertical="top"/>
    </xf>
    <xf numFmtId="0" fontId="11" fillId="0" borderId="0">
      <alignment vertical="top"/>
    </xf>
    <xf numFmtId="0" fontId="67" fillId="0" borderId="0"/>
    <xf numFmtId="0" fontId="73" fillId="0" borderId="0"/>
    <xf numFmtId="2" fontId="11" fillId="0" borderId="0">
      <alignment vertical="top"/>
    </xf>
    <xf numFmtId="2" fontId="68" fillId="0" borderId="0">
      <alignment vertical="top"/>
    </xf>
    <xf numFmtId="2" fontId="11" fillId="0" borderId="0">
      <alignment vertical="top"/>
    </xf>
    <xf numFmtId="0" fontId="59" fillId="32" borderId="0"/>
    <xf numFmtId="0" fontId="74" fillId="67" borderId="0"/>
    <xf numFmtId="0" fontId="56" fillId="0" borderId="34"/>
    <xf numFmtId="0" fontId="75" fillId="0" borderId="44"/>
    <xf numFmtId="0" fontId="76" fillId="0" borderId="0">
      <alignment vertical="top"/>
    </xf>
    <xf numFmtId="0" fontId="75" fillId="0" borderId="44"/>
    <xf numFmtId="0" fontId="77" fillId="0" borderId="0">
      <alignment vertical="top"/>
    </xf>
    <xf numFmtId="0" fontId="76" fillId="0" borderId="0">
      <alignment vertical="top"/>
    </xf>
    <xf numFmtId="0" fontId="57" fillId="0" borderId="35"/>
    <xf numFmtId="0" fontId="78" fillId="0" borderId="45"/>
    <xf numFmtId="0" fontId="30" fillId="0" borderId="0">
      <alignment vertical="top"/>
    </xf>
    <xf numFmtId="0" fontId="78" fillId="0" borderId="45"/>
    <xf numFmtId="0" fontId="79" fillId="0" borderId="0">
      <alignment vertical="top"/>
    </xf>
    <xf numFmtId="0" fontId="30" fillId="0" borderId="0">
      <alignment vertical="top"/>
    </xf>
    <xf numFmtId="0" fontId="58" fillId="0" borderId="36"/>
    <xf numFmtId="0" fontId="80" fillId="0" borderId="46"/>
    <xf numFmtId="0" fontId="58" fillId="0" borderId="0"/>
    <xf numFmtId="0" fontId="80" fillId="0" borderId="0"/>
    <xf numFmtId="0" fontId="61" fillId="35" borderId="37"/>
    <xf numFmtId="0" fontId="81" fillId="68" borderId="42"/>
    <xf numFmtId="0" fontId="64" fillId="0" borderId="39"/>
    <xf numFmtId="0" fontId="82" fillId="0" borderId="47"/>
    <xf numFmtId="0" fontId="83" fillId="68" borderId="0"/>
    <xf numFmtId="0" fontId="42" fillId="34" borderId="0"/>
    <xf numFmtId="0" fontId="35" fillId="0" borderId="0"/>
    <xf numFmtId="0" fontId="68" fillId="0" borderId="0"/>
    <xf numFmtId="37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65" borderId="48"/>
    <xf numFmtId="0" fontId="11" fillId="65" borderId="48"/>
    <xf numFmtId="0" fontId="68" fillId="65" borderId="48"/>
    <xf numFmtId="0" fontId="11" fillId="65" borderId="48"/>
    <xf numFmtId="0" fontId="11" fillId="65" borderId="48"/>
    <xf numFmtId="0" fontId="31" fillId="65" borderId="48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2" fillId="38" borderId="33"/>
    <xf numFmtId="0" fontId="62" fillId="36" borderId="38"/>
    <xf numFmtId="0" fontId="84" fillId="77" borderId="49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11" fillId="0" borderId="0"/>
    <xf numFmtId="9" fontId="68" fillId="0" borderId="0"/>
    <xf numFmtId="0" fontId="85" fillId="0" borderId="0"/>
    <xf numFmtId="0" fontId="34" fillId="0" borderId="41"/>
    <xf numFmtId="0" fontId="86" fillId="0" borderId="50"/>
    <xf numFmtId="0" fontId="11" fillId="0" borderId="51">
      <alignment vertical="top"/>
    </xf>
    <xf numFmtId="0" fontId="86" fillId="0" borderId="50"/>
    <xf numFmtId="0" fontId="68" fillId="0" borderId="51">
      <alignment vertical="top"/>
    </xf>
    <xf numFmtId="0" fontId="11" fillId="0" borderId="51">
      <alignment vertical="top"/>
    </xf>
    <xf numFmtId="0" fontId="66" fillId="0" borderId="0"/>
    <xf numFmtId="0" fontId="82" fillId="0" borderId="0"/>
  </cellStyleXfs>
  <cellXfs count="328">
    <xf numFmtId="37" fontId="0" fillId="0" borderId="0" xfId="0"/>
    <xf numFmtId="37" fontId="13" fillId="0" borderId="0" xfId="0" applyFont="1"/>
    <xf numFmtId="37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37" fontId="13" fillId="0" borderId="0" xfId="0" applyFont="1" applyAlignment="1">
      <alignment horizontal="center"/>
    </xf>
    <xf numFmtId="37" fontId="13" fillId="0" borderId="0" xfId="0" quotePrefix="1" applyFont="1" applyAlignment="1">
      <alignment horizontal="center"/>
    </xf>
    <xf numFmtId="10" fontId="13" fillId="0" borderId="0" xfId="0" applyNumberFormat="1" applyFont="1"/>
    <xf numFmtId="49" fontId="13" fillId="0" borderId="0" xfId="0" quotePrefix="1" applyNumberFormat="1" applyFont="1"/>
    <xf numFmtId="37" fontId="15" fillId="0" borderId="0" xfId="0" applyFont="1" applyAlignment="1" applyProtection="1">
      <alignment horizontal="center"/>
      <protection locked="0"/>
    </xf>
    <xf numFmtId="37" fontId="16" fillId="0" borderId="0" xfId="0" applyFont="1"/>
    <xf numFmtId="37" fontId="17" fillId="0" borderId="0" xfId="0" applyFont="1" applyAlignment="1">
      <alignment horizontal="center"/>
    </xf>
    <xf numFmtId="37" fontId="17" fillId="0" borderId="0" xfId="0" applyFont="1"/>
    <xf numFmtId="37" fontId="17" fillId="0" borderId="0" xfId="0" applyFont="1" applyAlignment="1">
      <alignment horizontal="left"/>
    </xf>
    <xf numFmtId="38" fontId="17" fillId="0" borderId="0" xfId="0" applyNumberFormat="1" applyFont="1"/>
    <xf numFmtId="37" fontId="17" fillId="0" borderId="0" xfId="0" quotePrefix="1" applyFont="1" applyAlignment="1">
      <alignment horizontal="left"/>
    </xf>
    <xf numFmtId="37" fontId="18" fillId="0" borderId="0" xfId="631" applyNumberFormat="1" applyFont="1" applyAlignment="1" applyProtection="1"/>
    <xf numFmtId="37" fontId="17" fillId="3" borderId="0" xfId="0" applyFont="1" applyFill="1"/>
    <xf numFmtId="38" fontId="17" fillId="3" borderId="0" xfId="0" applyNumberFormat="1" applyFont="1" applyFill="1" applyAlignment="1">
      <alignment horizontal="center"/>
    </xf>
    <xf numFmtId="37" fontId="17" fillId="3" borderId="0" xfId="0" applyFont="1" applyFill="1" applyAlignment="1">
      <alignment horizontal="center"/>
    </xf>
    <xf numFmtId="37" fontId="17" fillId="3" borderId="0" xfId="0" quotePrefix="1" applyFont="1" applyFill="1" applyAlignment="1">
      <alignment horizontal="center"/>
    </xf>
    <xf numFmtId="37" fontId="17" fillId="3" borderId="0" xfId="0" quotePrefix="1" applyFont="1" applyFill="1"/>
    <xf numFmtId="37" fontId="17" fillId="3" borderId="0" xfId="0" quotePrefix="1" applyFont="1" applyFill="1" applyAlignment="1">
      <alignment horizontal="left"/>
    </xf>
    <xf numFmtId="38" fontId="17" fillId="3" borderId="0" xfId="0" applyNumberFormat="1" applyFont="1" applyFill="1"/>
    <xf numFmtId="165" fontId="17" fillId="3" borderId="0" xfId="0" applyNumberFormat="1" applyFont="1" applyFill="1" applyAlignment="1">
      <alignment horizontal="center"/>
    </xf>
    <xf numFmtId="37" fontId="17" fillId="3" borderId="0" xfId="0" quotePrefix="1" applyFont="1" applyFill="1" applyAlignment="1">
      <alignment horizontal="fill"/>
    </xf>
    <xf numFmtId="37" fontId="17" fillId="7" borderId="0" xfId="0" applyFont="1" applyFill="1"/>
    <xf numFmtId="37" fontId="17" fillId="7" borderId="0" xfId="0" quotePrefix="1" applyFont="1" applyFill="1" applyAlignment="1">
      <alignment horizontal="left" indent="1"/>
    </xf>
    <xf numFmtId="43" fontId="17" fillId="3" borderId="0" xfId="547" applyFont="1" applyFill="1"/>
    <xf numFmtId="37" fontId="17" fillId="3" borderId="0" xfId="547" quotePrefix="1" applyNumberFormat="1" applyFont="1" applyFill="1" applyAlignment="1">
      <alignment horizontal="fill"/>
    </xf>
    <xf numFmtId="39" fontId="17" fillId="3" borderId="0" xfId="0" applyNumberFormat="1" applyFont="1" applyFill="1"/>
    <xf numFmtId="37" fontId="17" fillId="3" borderId="0" xfId="0" applyFont="1" applyFill="1" applyAlignment="1">
      <alignment horizontal="centerContinuous"/>
    </xf>
    <xf numFmtId="37" fontId="17" fillId="7" borderId="0" xfId="0" quotePrefix="1" applyFont="1" applyFill="1" applyAlignment="1">
      <alignment horizontal="left"/>
    </xf>
    <xf numFmtId="37" fontId="17" fillId="7" borderId="0" xfId="0" applyFont="1" applyFill="1" applyAlignment="1">
      <alignment horizontal="right"/>
    </xf>
    <xf numFmtId="37" fontId="17" fillId="7" borderId="0" xfId="0" applyFont="1" applyFill="1" applyAlignment="1">
      <alignment horizontal="left"/>
    </xf>
    <xf numFmtId="37" fontId="19" fillId="3" borderId="0" xfId="0" applyFont="1" applyFill="1" applyAlignment="1">
      <alignment horizontal="centerContinuous"/>
    </xf>
    <xf numFmtId="37" fontId="17" fillId="3" borderId="0" xfId="0" applyFont="1" applyFill="1" applyAlignment="1">
      <alignment horizontal="right"/>
    </xf>
    <xf numFmtId="38" fontId="17" fillId="3" borderId="0" xfId="0" applyNumberFormat="1" applyFont="1" applyFill="1" applyAlignment="1">
      <alignment horizontal="right"/>
    </xf>
    <xf numFmtId="37" fontId="17" fillId="3" borderId="0" xfId="0" quotePrefix="1" applyFont="1" applyFill="1" applyAlignment="1">
      <alignment horizontal="centerContinuous"/>
    </xf>
    <xf numFmtId="37" fontId="19" fillId="3" borderId="0" xfId="0" quotePrefix="1" applyFont="1" applyFill="1" applyAlignment="1">
      <alignment horizontal="left"/>
    </xf>
    <xf numFmtId="37" fontId="19" fillId="3" borderId="0" xfId="0" applyFont="1" applyFill="1" applyAlignment="1">
      <alignment horizontal="center"/>
    </xf>
    <xf numFmtId="38" fontId="19" fillId="3" borderId="0" xfId="0" applyNumberFormat="1" applyFont="1" applyFill="1" applyAlignment="1">
      <alignment horizontal="center"/>
    </xf>
    <xf numFmtId="38" fontId="19" fillId="3" borderId="0" xfId="0" applyNumberFormat="1" applyFont="1" applyFill="1"/>
    <xf numFmtId="37" fontId="19" fillId="3" borderId="0" xfId="0" applyFont="1" applyFill="1"/>
    <xf numFmtId="37" fontId="17" fillId="3" borderId="0" xfId="0" applyFont="1" applyFill="1" applyAlignment="1">
      <alignment horizontal="left"/>
    </xf>
    <xf numFmtId="38" fontId="19" fillId="3" borderId="8" xfId="0" applyNumberFormat="1" applyFont="1" applyFill="1" applyBorder="1" applyAlignment="1" applyProtection="1">
      <alignment horizontal="center"/>
      <protection locked="0"/>
    </xf>
    <xf numFmtId="37" fontId="19" fillId="7" borderId="0" xfId="0" applyFont="1" applyFill="1" applyAlignment="1">
      <alignment horizontal="centerContinuous"/>
    </xf>
    <xf numFmtId="37" fontId="17" fillId="7" borderId="0" xfId="0" applyFont="1" applyFill="1" applyAlignment="1">
      <alignment horizontal="left" indent="1"/>
    </xf>
    <xf numFmtId="10" fontId="17" fillId="0" borderId="0" xfId="939" applyNumberFormat="1" applyFont="1"/>
    <xf numFmtId="37" fontId="17" fillId="7" borderId="0" xfId="0" applyFont="1" applyFill="1" applyAlignment="1">
      <alignment horizontal="left" indent="2"/>
    </xf>
    <xf numFmtId="37" fontId="17" fillId="7" borderId="0" xfId="0" quotePrefix="1" applyFont="1" applyFill="1" applyAlignment="1">
      <alignment horizontal="left" indent="2"/>
    </xf>
    <xf numFmtId="39" fontId="17" fillId="0" borderId="0" xfId="0" applyNumberFormat="1" applyFont="1"/>
    <xf numFmtId="10" fontId="17" fillId="0" borderId="0" xfId="0" applyNumberFormat="1" applyFont="1"/>
    <xf numFmtId="1" fontId="17" fillId="0" borderId="0" xfId="0" applyNumberFormat="1" applyFont="1" applyAlignment="1">
      <alignment horizontal="center"/>
    </xf>
    <xf numFmtId="37" fontId="17" fillId="0" borderId="0" xfId="0" applyFont="1" applyAlignment="1">
      <alignment horizontal="right"/>
    </xf>
    <xf numFmtId="37" fontId="20" fillId="0" borderId="0" xfId="0" applyFont="1"/>
    <xf numFmtId="37" fontId="15" fillId="0" borderId="0" xfId="0" applyFont="1" applyAlignment="1">
      <alignment horizontal="center"/>
    </xf>
    <xf numFmtId="37" fontId="17" fillId="0" borderId="0" xfId="0" quotePrefix="1" applyFont="1"/>
    <xf numFmtId="37" fontId="21" fillId="0" borderId="0" xfId="0" applyFont="1" applyAlignment="1">
      <alignment vertical="center" readingOrder="1"/>
    </xf>
    <xf numFmtId="37" fontId="23" fillId="0" borderId="0" xfId="0" applyFont="1" applyAlignment="1">
      <alignment vertical="center" readingOrder="1"/>
    </xf>
    <xf numFmtId="37" fontId="24" fillId="0" borderId="0" xfId="0" quotePrefix="1" applyFont="1"/>
    <xf numFmtId="37" fontId="24" fillId="0" borderId="0" xfId="0" applyFont="1"/>
    <xf numFmtId="37" fontId="13" fillId="0" borderId="0" xfId="0" quotePrefix="1" applyFont="1" applyAlignment="1">
      <alignment horizontal="right"/>
    </xf>
    <xf numFmtId="37" fontId="13" fillId="0" borderId="0" xfId="0" applyFont="1" applyAlignment="1">
      <alignment horizontal="centerContinuous"/>
    </xf>
    <xf numFmtId="37" fontId="25" fillId="0" borderId="1" xfId="0" applyFont="1" applyBorder="1"/>
    <xf numFmtId="37" fontId="25" fillId="0" borderId="8" xfId="0" applyFont="1" applyBorder="1"/>
    <xf numFmtId="37" fontId="13" fillId="0" borderId="6" xfId="0" applyFont="1" applyBorder="1"/>
    <xf numFmtId="37" fontId="13" fillId="0" borderId="8" xfId="0" applyFont="1" applyBorder="1"/>
    <xf numFmtId="37" fontId="25" fillId="0" borderId="2" xfId="0" applyFont="1" applyBorder="1"/>
    <xf numFmtId="37" fontId="25" fillId="0" borderId="13" xfId="0" applyFont="1" applyBorder="1"/>
    <xf numFmtId="37" fontId="25" fillId="0" borderId="0" xfId="0" applyFont="1"/>
    <xf numFmtId="37" fontId="25" fillId="0" borderId="4" xfId="0" applyFont="1" applyBorder="1"/>
    <xf numFmtId="37" fontId="13" fillId="0" borderId="13" xfId="0" applyFont="1" applyBorder="1"/>
    <xf numFmtId="37" fontId="13" fillId="0" borderId="10" xfId="0" applyFont="1" applyBorder="1"/>
    <xf numFmtId="37" fontId="25" fillId="0" borderId="14" xfId="0" applyFont="1" applyBorder="1" applyAlignment="1">
      <alignment horizontal="centerContinuous"/>
    </xf>
    <xf numFmtId="37" fontId="25" fillId="0" borderId="2" xfId="0" applyFont="1" applyBorder="1" applyAlignment="1">
      <alignment horizontal="centerContinuous"/>
    </xf>
    <xf numFmtId="37" fontId="25" fillId="0" borderId="8" xfId="0" applyFont="1" applyBorder="1" applyAlignment="1">
      <alignment horizontal="centerContinuous"/>
    </xf>
    <xf numFmtId="37" fontId="13" fillId="0" borderId="8" xfId="0" applyFont="1" applyBorder="1" applyAlignment="1">
      <alignment horizontal="centerContinuous"/>
    </xf>
    <xf numFmtId="37" fontId="13" fillId="0" borderId="2" xfId="0" applyFont="1" applyBorder="1" applyAlignment="1">
      <alignment horizontal="centerContinuous"/>
    </xf>
    <xf numFmtId="37" fontId="25" fillId="0" borderId="1" xfId="0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2" xfId="0" quotePrefix="1" applyFont="1" applyBorder="1" applyAlignment="1">
      <alignment horizontal="left"/>
    </xf>
    <xf numFmtId="37" fontId="25" fillId="0" borderId="12" xfId="0" applyFont="1" applyBorder="1"/>
    <xf numFmtId="37" fontId="13" fillId="0" borderId="4" xfId="0" applyFont="1" applyBorder="1"/>
    <xf numFmtId="37" fontId="25" fillId="0" borderId="8" xfId="0" quotePrefix="1" applyFont="1" applyBorder="1" applyAlignment="1">
      <alignment horizontal="left"/>
    </xf>
    <xf numFmtId="37" fontId="13" fillId="0" borderId="2" xfId="0" applyFont="1" applyBorder="1"/>
    <xf numFmtId="37" fontId="13" fillId="0" borderId="3" xfId="0" applyFont="1" applyBorder="1"/>
    <xf numFmtId="37" fontId="25" fillId="0" borderId="0" xfId="0" applyFont="1" applyAlignment="1">
      <alignment horizontal="left"/>
    </xf>
    <xf numFmtId="37" fontId="13" fillId="2" borderId="0" xfId="0" applyFont="1" applyFill="1"/>
    <xf numFmtId="37" fontId="13" fillId="2" borderId="4" xfId="0" applyFont="1" applyFill="1" applyBorder="1"/>
    <xf numFmtId="37" fontId="13" fillId="0" borderId="9" xfId="0" applyFont="1" applyBorder="1"/>
    <xf numFmtId="37" fontId="25" fillId="0" borderId="12" xfId="0" applyFont="1" applyBorder="1" applyAlignment="1">
      <alignment horizontal="left"/>
    </xf>
    <xf numFmtId="37" fontId="25" fillId="0" borderId="10" xfId="0" applyFont="1" applyBorder="1" applyAlignment="1">
      <alignment horizontal="right"/>
    </xf>
    <xf numFmtId="37" fontId="13" fillId="2" borderId="12" xfId="0" applyFont="1" applyFill="1" applyBorder="1"/>
    <xf numFmtId="37" fontId="13" fillId="2" borderId="10" xfId="0" applyFont="1" applyFill="1" applyBorder="1"/>
    <xf numFmtId="37" fontId="17" fillId="0" borderId="0" xfId="0" quotePrefix="1" applyFont="1" applyAlignment="1">
      <alignment horizontal="right"/>
    </xf>
    <xf numFmtId="37" fontId="17" fillId="0" borderId="16" xfId="0" applyFont="1" applyBorder="1"/>
    <xf numFmtId="37" fontId="17" fillId="0" borderId="17" xfId="0" applyFont="1" applyBorder="1"/>
    <xf numFmtId="37" fontId="17" fillId="0" borderId="18" xfId="0" applyFont="1" applyBorder="1"/>
    <xf numFmtId="37" fontId="17" fillId="0" borderId="19" xfId="0" applyFont="1" applyBorder="1"/>
    <xf numFmtId="37" fontId="17" fillId="0" borderId="20" xfId="0" applyFont="1" applyBorder="1"/>
    <xf numFmtId="37" fontId="17" fillId="0" borderId="21" xfId="0" applyFont="1" applyBorder="1"/>
    <xf numFmtId="37" fontId="17" fillId="0" borderId="22" xfId="0" applyFont="1" applyBorder="1"/>
    <xf numFmtId="37" fontId="17" fillId="0" borderId="23" xfId="0" applyFont="1" applyBorder="1"/>
    <xf numFmtId="37" fontId="17" fillId="0" borderId="17" xfId="0" applyFont="1" applyBorder="1" applyAlignment="1">
      <alignment horizontal="center"/>
    </xf>
    <xf numFmtId="37" fontId="17" fillId="0" borderId="17" xfId="0" applyFont="1" applyBorder="1" applyAlignment="1">
      <alignment horizontal="right"/>
    </xf>
    <xf numFmtId="37" fontId="17" fillId="0" borderId="24" xfId="0" applyFont="1" applyBorder="1"/>
    <xf numFmtId="37" fontId="17" fillId="0" borderId="8" xfId="0" applyFont="1" applyBorder="1"/>
    <xf numFmtId="37" fontId="17" fillId="0" borderId="8" xfId="0" applyFont="1" applyBorder="1" applyAlignment="1">
      <alignment horizontal="center"/>
    </xf>
    <xf numFmtId="37" fontId="17" fillId="0" borderId="25" xfId="0" applyFont="1" applyBorder="1"/>
    <xf numFmtId="37" fontId="17" fillId="0" borderId="26" xfId="0" applyFont="1" applyBorder="1"/>
    <xf numFmtId="37" fontId="17" fillId="0" borderId="6" xfId="0" applyFont="1" applyBorder="1"/>
    <xf numFmtId="37" fontId="17" fillId="0" borderId="27" xfId="0" applyFont="1" applyBorder="1"/>
    <xf numFmtId="37" fontId="17" fillId="0" borderId="28" xfId="0" quotePrefix="1" applyFont="1" applyBorder="1" applyAlignment="1">
      <alignment horizontal="left"/>
    </xf>
    <xf numFmtId="37" fontId="17" fillId="0" borderId="12" xfId="0" applyFont="1" applyBorder="1"/>
    <xf numFmtId="37" fontId="17" fillId="0" borderId="29" xfId="0" applyFont="1" applyBorder="1"/>
    <xf numFmtId="37" fontId="17" fillId="0" borderId="28" xfId="0" applyFont="1" applyBorder="1" applyAlignment="1">
      <alignment horizontal="center"/>
    </xf>
    <xf numFmtId="37" fontId="17" fillId="0" borderId="30" xfId="0" applyFont="1" applyBorder="1"/>
    <xf numFmtId="37" fontId="17" fillId="0" borderId="31" xfId="0" applyFont="1" applyBorder="1"/>
    <xf numFmtId="37" fontId="17" fillId="0" borderId="31" xfId="0" applyFont="1" applyBorder="1" applyAlignment="1">
      <alignment horizontal="center"/>
    </xf>
    <xf numFmtId="37" fontId="17" fillId="0" borderId="32" xfId="0" applyFont="1" applyBorder="1"/>
    <xf numFmtId="37" fontId="25" fillId="0" borderId="0" xfId="0" quotePrefix="1" applyFont="1" applyAlignment="1">
      <alignment horizontal="left"/>
    </xf>
    <xf numFmtId="37" fontId="25" fillId="0" borderId="5" xfId="0" applyFont="1" applyBorder="1" applyAlignment="1">
      <alignment horizontal="centerContinuous"/>
    </xf>
    <xf numFmtId="37" fontId="13" fillId="0" borderId="6" xfId="0" applyFont="1" applyBorder="1" applyAlignment="1">
      <alignment horizontal="centerContinuous"/>
    </xf>
    <xf numFmtId="37" fontId="13" fillId="0" borderId="7" xfId="0" applyFont="1" applyBorder="1" applyAlignment="1">
      <alignment horizontal="centerContinuous"/>
    </xf>
    <xf numFmtId="37" fontId="25" fillId="0" borderId="11" xfId="0" applyFont="1" applyBorder="1"/>
    <xf numFmtId="37" fontId="25" fillId="0" borderId="2" xfId="0" quotePrefix="1" applyFont="1" applyBorder="1" applyAlignment="1">
      <alignment horizontal="centerContinuous"/>
    </xf>
    <xf numFmtId="37" fontId="25" fillId="0" borderId="3" xfId="0" applyFont="1" applyBorder="1" applyAlignment="1">
      <alignment horizontal="center"/>
    </xf>
    <xf numFmtId="37" fontId="25" fillId="0" borderId="2" xfId="0" quotePrefix="1" applyFont="1" applyBorder="1"/>
    <xf numFmtId="37" fontId="25" fillId="0" borderId="13" xfId="0" applyFont="1" applyBorder="1" applyAlignment="1">
      <alignment horizontal="center"/>
    </xf>
    <xf numFmtId="37" fontId="25" fillId="0" borderId="0" xfId="0" quotePrefix="1" applyFont="1"/>
    <xf numFmtId="37" fontId="25" fillId="0" borderId="4" xfId="0" quotePrefix="1" applyFont="1" applyBorder="1"/>
    <xf numFmtId="37" fontId="25" fillId="0" borderId="13" xfId="0" applyFont="1" applyBorder="1" applyAlignment="1">
      <alignment horizontal="centerContinuous"/>
    </xf>
    <xf numFmtId="37" fontId="13" fillId="0" borderId="4" xfId="0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4" xfId="0" applyFont="1" applyBorder="1" applyAlignment="1">
      <alignment horizontal="left"/>
    </xf>
    <xf numFmtId="37" fontId="13" fillId="0" borderId="12" xfId="0" applyFont="1" applyBorder="1"/>
    <xf numFmtId="37" fontId="13" fillId="0" borderId="7" xfId="0" applyFont="1" applyBorder="1"/>
    <xf numFmtId="37" fontId="13" fillId="0" borderId="15" xfId="0" applyFont="1" applyBorder="1"/>
    <xf numFmtId="37" fontId="25" fillId="0" borderId="12" xfId="0" quotePrefix="1" applyFont="1" applyBorder="1" applyAlignment="1">
      <alignment horizontal="left"/>
    </xf>
    <xf numFmtId="37" fontId="13" fillId="0" borderId="12" xfId="0" quotePrefix="1" applyFont="1" applyBorder="1"/>
    <xf numFmtId="37" fontId="13" fillId="0" borderId="12" xfId="0" quotePrefix="1" applyFont="1" applyBorder="1" applyAlignment="1">
      <alignment horizontal="left"/>
    </xf>
    <xf numFmtId="37" fontId="25" fillId="0" borderId="0" xfId="0" applyFont="1" applyAlignment="1">
      <alignment horizontal="centerContinuous"/>
    </xf>
    <xf numFmtId="37" fontId="25" fillId="0" borderId="0" xfId="0" quotePrefix="1" applyFont="1" applyAlignment="1">
      <alignment horizontal="center"/>
    </xf>
    <xf numFmtId="37" fontId="25" fillId="0" borderId="9" xfId="0" quotePrefix="1" applyFont="1" applyBorder="1"/>
    <xf numFmtId="37" fontId="25" fillId="0" borderId="9" xfId="0" applyFont="1" applyBorder="1"/>
    <xf numFmtId="37" fontId="13" fillId="0" borderId="1" xfId="0" applyFont="1" applyBorder="1"/>
    <xf numFmtId="37" fontId="25" fillId="0" borderId="4" xfId="0" applyFont="1" applyBorder="1" applyAlignment="1">
      <alignment horizontal="centerContinuous"/>
    </xf>
    <xf numFmtId="37" fontId="25" fillId="0" borderId="6" xfId="0" applyFont="1" applyBorder="1" applyAlignment="1">
      <alignment horizontal="centerContinuous"/>
    </xf>
    <xf numFmtId="37" fontId="25" fillId="0" borderId="1" xfId="0" applyFont="1" applyBorder="1" applyAlignment="1">
      <alignment horizontal="centerContinuous"/>
    </xf>
    <xf numFmtId="37" fontId="13" fillId="0" borderId="0" xfId="0" quotePrefix="1" applyFont="1" applyAlignment="1">
      <alignment horizontal="left"/>
    </xf>
    <xf numFmtId="37" fontId="25" fillId="0" borderId="7" xfId="0" applyFont="1" applyBorder="1"/>
    <xf numFmtId="37" fontId="25" fillId="0" borderId="7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 applyAlignment="1">
      <alignment horizontal="center"/>
    </xf>
    <xf numFmtId="37" fontId="25" fillId="0" borderId="3" xfId="0" applyFont="1" applyBorder="1" applyAlignment="1">
      <alignment horizontal="centerContinuous"/>
    </xf>
    <xf numFmtId="37" fontId="25" fillId="2" borderId="2" xfId="0" applyFont="1" applyFill="1" applyBorder="1"/>
    <xf numFmtId="37" fontId="25" fillId="0" borderId="10" xfId="0" applyFont="1" applyBorder="1"/>
    <xf numFmtId="37" fontId="25" fillId="0" borderId="10" xfId="0" applyFont="1" applyBorder="1" applyAlignment="1">
      <alignment horizontal="center"/>
    </xf>
    <xf numFmtId="164" fontId="25" fillId="0" borderId="2" xfId="0" applyNumberFormat="1" applyFont="1" applyBorder="1"/>
    <xf numFmtId="37" fontId="25" fillId="0" borderId="0" xfId="0" applyFont="1" applyAlignment="1">
      <alignment horizontal="center"/>
    </xf>
    <xf numFmtId="164" fontId="25" fillId="0" borderId="2" xfId="0" applyNumberFormat="1" applyFont="1" applyBorder="1" applyAlignment="1">
      <alignment horizontal="right"/>
    </xf>
    <xf numFmtId="164" fontId="25" fillId="0" borderId="1" xfId="0" applyNumberFormat="1" applyFont="1" applyBorder="1"/>
    <xf numFmtId="164" fontId="25" fillId="0" borderId="3" xfId="0" applyNumberFormat="1" applyFont="1" applyBorder="1"/>
    <xf numFmtId="164" fontId="25" fillId="0" borderId="2" xfId="0" quotePrefix="1" applyNumberFormat="1" applyFont="1" applyBorder="1" applyAlignment="1">
      <alignment horizontal="left"/>
    </xf>
    <xf numFmtId="37" fontId="25" fillId="0" borderId="14" xfId="0" applyFont="1" applyBorder="1" applyAlignment="1">
      <alignment horizontal="center"/>
    </xf>
    <xf numFmtId="37" fontId="25" fillId="0" borderId="8" xfId="0" applyFont="1" applyBorder="1" applyAlignment="1">
      <alignment horizontal="center"/>
    </xf>
    <xf numFmtId="37" fontId="25" fillId="0" borderId="14" xfId="0" applyFont="1" applyBorder="1"/>
    <xf numFmtId="37" fontId="13" fillId="0" borderId="14" xfId="0" applyFont="1" applyBorder="1"/>
    <xf numFmtId="37" fontId="26" fillId="0" borderId="0" xfId="0" applyFont="1" applyAlignment="1">
      <alignment horizontal="centerContinuous"/>
    </xf>
    <xf numFmtId="37" fontId="17" fillId="0" borderId="0" xfId="0" applyFont="1" applyAlignment="1">
      <alignment horizontal="centerContinuous"/>
    </xf>
    <xf numFmtId="37" fontId="26" fillId="0" borderId="0" xfId="0" applyFont="1"/>
    <xf numFmtId="37" fontId="26" fillId="0" borderId="5" xfId="0" applyFont="1" applyBorder="1"/>
    <xf numFmtId="37" fontId="26" fillId="0" borderId="6" xfId="0" quotePrefix="1" applyFont="1" applyBorder="1" applyAlignment="1">
      <alignment horizontal="centerContinuous"/>
    </xf>
    <xf numFmtId="37" fontId="26" fillId="0" borderId="7" xfId="0" applyFont="1" applyBorder="1" applyAlignment="1">
      <alignment horizontal="centerContinuous"/>
    </xf>
    <xf numFmtId="37" fontId="26" fillId="0" borderId="1" xfId="0" applyFont="1" applyBorder="1"/>
    <xf numFmtId="37" fontId="26" fillId="0" borderId="2" xfId="0" applyFont="1" applyBorder="1" applyAlignment="1">
      <alignment horizontal="centerContinuous"/>
    </xf>
    <xf numFmtId="37" fontId="26" fillId="0" borderId="2" xfId="0" applyFont="1" applyBorder="1"/>
    <xf numFmtId="37" fontId="26" fillId="0" borderId="8" xfId="0" applyFont="1" applyBorder="1" applyAlignment="1">
      <alignment horizontal="centerContinuous"/>
    </xf>
    <xf numFmtId="37" fontId="26" fillId="0" borderId="8" xfId="0" applyFont="1" applyBorder="1"/>
    <xf numFmtId="37" fontId="26" fillId="0" borderId="9" xfId="0" applyFont="1" applyBorder="1"/>
    <xf numFmtId="37" fontId="26" fillId="0" borderId="10" xfId="0" applyFont="1" applyBorder="1"/>
    <xf numFmtId="37" fontId="26" fillId="0" borderId="11" xfId="0" applyFont="1" applyBorder="1"/>
    <xf numFmtId="37" fontId="26" fillId="0" borderId="6" xfId="0" applyFont="1" applyBorder="1" applyAlignment="1">
      <alignment horizontal="centerContinuous"/>
    </xf>
    <xf numFmtId="37" fontId="26" fillId="0" borderId="3" xfId="0" applyFont="1" applyBorder="1"/>
    <xf numFmtId="37" fontId="26" fillId="0" borderId="4" xfId="0" applyFont="1" applyBorder="1" applyAlignment="1">
      <alignment horizontal="centerContinuous"/>
    </xf>
    <xf numFmtId="37" fontId="26" fillId="0" borderId="2" xfId="0" quotePrefix="1" applyFont="1" applyBorder="1" applyAlignment="1">
      <alignment horizontal="center"/>
    </xf>
    <xf numFmtId="37" fontId="26" fillId="0" borderId="6" xfId="0" applyFont="1" applyBorder="1" applyAlignment="1">
      <alignment horizontal="center"/>
    </xf>
    <xf numFmtId="37" fontId="26" fillId="0" borderId="7" xfId="0" applyFont="1" applyBorder="1" applyAlignment="1">
      <alignment horizontal="center"/>
    </xf>
    <xf numFmtId="37" fontId="26" fillId="0" borderId="8" xfId="0" applyFont="1" applyBorder="1" applyAlignment="1">
      <alignment horizontal="left"/>
    </xf>
    <xf numFmtId="37" fontId="26" fillId="0" borderId="2" xfId="0" quotePrefix="1" applyFont="1" applyBorder="1"/>
    <xf numFmtId="37" fontId="10" fillId="0" borderId="2" xfId="0" applyFont="1" applyBorder="1"/>
    <xf numFmtId="37" fontId="10" fillId="0" borderId="2" xfId="0" quotePrefix="1" applyFont="1" applyBorder="1"/>
    <xf numFmtId="37" fontId="10" fillId="0" borderId="2" xfId="0" applyFont="1" applyBorder="1" applyAlignment="1">
      <alignment horizontal="left" indent="1"/>
    </xf>
    <xf numFmtId="37" fontId="26" fillId="0" borderId="2" xfId="0" applyFont="1" applyBorder="1" applyAlignment="1">
      <alignment horizontal="left" indent="1"/>
    </xf>
    <xf numFmtId="37" fontId="26" fillId="0" borderId="12" xfId="0" applyFont="1" applyBorder="1"/>
    <xf numFmtId="37" fontId="26" fillId="0" borderId="1" xfId="0" applyFont="1" applyBorder="1" applyAlignment="1">
      <alignment horizontal="right"/>
    </xf>
    <xf numFmtId="37" fontId="17" fillId="0" borderId="14" xfId="0" applyFont="1" applyBorder="1"/>
    <xf numFmtId="37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2" fontId="17" fillId="0" borderId="0" xfId="0" applyNumberFormat="1" applyFont="1"/>
    <xf numFmtId="37" fontId="28" fillId="0" borderId="0" xfId="0" applyFont="1"/>
    <xf numFmtId="43" fontId="17" fillId="7" borderId="0" xfId="547" applyFont="1" applyFill="1"/>
    <xf numFmtId="37" fontId="22" fillId="7" borderId="0" xfId="0" applyFont="1" applyFill="1"/>
    <xf numFmtId="2" fontId="13" fillId="0" borderId="0" xfId="0" applyNumberFormat="1" applyFont="1"/>
    <xf numFmtId="37" fontId="28" fillId="0" borderId="0" xfId="0" applyFont="1" applyProtection="1">
      <protection locked="0"/>
    </xf>
    <xf numFmtId="2" fontId="17" fillId="3" borderId="0" xfId="0" quotePrefix="1" applyNumberFormat="1" applyFont="1" applyFill="1" applyAlignment="1">
      <alignment horizontal="left"/>
    </xf>
    <xf numFmtId="2" fontId="17" fillId="3" borderId="0" xfId="0" applyNumberFormat="1" applyFont="1" applyFill="1"/>
    <xf numFmtId="2" fontId="17" fillId="3" borderId="0" xfId="0" quotePrefix="1" applyNumberFormat="1" applyFont="1" applyFill="1" applyAlignment="1">
      <alignment horizontal="fill"/>
    </xf>
    <xf numFmtId="37" fontId="28" fillId="0" borderId="0" xfId="0" applyFont="1" applyAlignment="1">
      <alignment horizontal="center"/>
    </xf>
    <xf numFmtId="37" fontId="28" fillId="0" borderId="0" xfId="0" applyFont="1" applyAlignment="1">
      <alignment horizontal="left"/>
    </xf>
    <xf numFmtId="164" fontId="28" fillId="0" borderId="0" xfId="0" applyNumberFormat="1" applyFont="1"/>
    <xf numFmtId="37" fontId="28" fillId="0" borderId="0" xfId="0" quotePrefix="1" applyFont="1" applyAlignment="1">
      <alignment horizontal="left"/>
    </xf>
    <xf numFmtId="37" fontId="28" fillId="8" borderId="0" xfId="0" applyFont="1" applyFill="1"/>
    <xf numFmtId="37" fontId="27" fillId="0" borderId="0" xfId="0" applyFont="1"/>
    <xf numFmtId="164" fontId="28" fillId="0" borderId="0" xfId="0" applyNumberFormat="1" applyFont="1" applyAlignment="1">
      <alignment horizontal="left"/>
    </xf>
    <xf numFmtId="37" fontId="28" fillId="9" borderId="0" xfId="0" applyFont="1" applyFill="1"/>
    <xf numFmtId="37" fontId="28" fillId="9" borderId="0" xfId="0" applyFont="1" applyFill="1" applyAlignment="1">
      <alignment horizontal="center"/>
    </xf>
    <xf numFmtId="37" fontId="28" fillId="10" borderId="0" xfId="0" applyFont="1" applyFill="1"/>
    <xf numFmtId="37" fontId="28" fillId="10" borderId="0" xfId="0" applyFont="1" applyFill="1" applyAlignment="1">
      <alignment horizontal="left"/>
    </xf>
    <xf numFmtId="37" fontId="28" fillId="10" borderId="0" xfId="0" applyFont="1" applyFill="1" applyAlignment="1">
      <alignment horizontal="center"/>
    </xf>
    <xf numFmtId="39" fontId="28" fillId="10" borderId="0" xfId="0" applyNumberFormat="1" applyFont="1" applyFill="1"/>
    <xf numFmtId="39" fontId="28" fillId="9" borderId="0" xfId="0" applyNumberFormat="1" applyFont="1" applyFill="1"/>
    <xf numFmtId="37" fontId="17" fillId="7" borderId="0" xfId="0" quotePrefix="1" applyFont="1" applyFill="1" applyAlignment="1">
      <alignment horizontal="fill"/>
    </xf>
    <xf numFmtId="38" fontId="17" fillId="7" borderId="0" xfId="0" applyNumberFormat="1" applyFont="1" applyFill="1"/>
    <xf numFmtId="39" fontId="17" fillId="7" borderId="0" xfId="0" applyNumberFormat="1" applyFont="1" applyFill="1"/>
    <xf numFmtId="2" fontId="17" fillId="7" borderId="0" xfId="0" applyNumberFormat="1" applyFont="1" applyFill="1"/>
    <xf numFmtId="37" fontId="13" fillId="0" borderId="0" xfId="0" applyFont="1" applyAlignment="1">
      <alignment vertical="center"/>
    </xf>
    <xf numFmtId="37" fontId="13" fillId="0" borderId="1" xfId="0" applyFont="1" applyBorder="1" applyAlignment="1">
      <alignment vertical="center"/>
    </xf>
    <xf numFmtId="37" fontId="29" fillId="0" borderId="1" xfId="0" applyFont="1" applyBorder="1"/>
    <xf numFmtId="37" fontId="29" fillId="0" borderId="0" xfId="0" applyFont="1" applyAlignment="1">
      <alignment horizontal="centerContinuous"/>
    </xf>
    <xf numFmtId="37" fontId="30" fillId="0" borderId="0" xfId="0" applyFont="1" applyAlignment="1">
      <alignment horizontal="centerContinuous"/>
    </xf>
    <xf numFmtId="37" fontId="30" fillId="0" borderId="0" xfId="0" applyFont="1"/>
    <xf numFmtId="37" fontId="29" fillId="0" borderId="0" xfId="0" applyFont="1"/>
    <xf numFmtId="37" fontId="29" fillId="0" borderId="0" xfId="0" quotePrefix="1" applyFont="1" applyAlignment="1">
      <alignment horizontal="right"/>
    </xf>
    <xf numFmtId="37" fontId="30" fillId="0" borderId="0" xfId="0" quotePrefix="1" applyFont="1"/>
    <xf numFmtId="37" fontId="31" fillId="0" borderId="0" xfId="0" applyFont="1"/>
    <xf numFmtId="37" fontId="29" fillId="0" borderId="2" xfId="0" applyFont="1" applyBorder="1"/>
    <xf numFmtId="37" fontId="29" fillId="0" borderId="2" xfId="0" quotePrefix="1" applyFont="1" applyBorder="1" applyAlignment="1">
      <alignment horizontal="center"/>
    </xf>
    <xf numFmtId="37" fontId="29" fillId="0" borderId="2" xfId="0" applyFont="1" applyBorder="1" applyAlignment="1">
      <alignment horizontal="center"/>
    </xf>
    <xf numFmtId="37" fontId="29" fillId="0" borderId="3" xfId="0" applyFont="1" applyBorder="1"/>
    <xf numFmtId="37" fontId="29" fillId="0" borderId="4" xfId="0" applyFont="1" applyBorder="1"/>
    <xf numFmtId="37" fontId="29" fillId="0" borderId="4" xfId="0" quotePrefix="1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9" fillId="0" borderId="2" xfId="0" applyNumberFormat="1" applyFont="1" applyBorder="1"/>
    <xf numFmtId="37" fontId="29" fillId="0" borderId="2" xfId="0" quotePrefix="1" applyFont="1" applyBorder="1"/>
    <xf numFmtId="37" fontId="29" fillId="5" borderId="2" xfId="0" applyFont="1" applyFill="1" applyBorder="1"/>
    <xf numFmtId="37" fontId="29" fillId="6" borderId="2" xfId="0" applyFont="1" applyFill="1" applyBorder="1"/>
    <xf numFmtId="37" fontId="32" fillId="0" borderId="0" xfId="0" applyFont="1"/>
    <xf numFmtId="37" fontId="29" fillId="6" borderId="2" xfId="0" applyFont="1" applyFill="1" applyBorder="1" applyAlignment="1">
      <alignment horizontal="center"/>
    </xf>
    <xf numFmtId="37" fontId="33" fillId="0" borderId="0" xfId="0" applyFont="1"/>
    <xf numFmtId="37" fontId="29" fillId="0" borderId="2" xfId="0" quotePrefix="1" applyFont="1" applyBorder="1" applyAlignment="1">
      <alignment horizontal="left"/>
    </xf>
    <xf numFmtId="37" fontId="29" fillId="6" borderId="2" xfId="0" quotePrefix="1" applyFont="1" applyFill="1" applyBorder="1" applyAlignment="1">
      <alignment horizontal="center"/>
    </xf>
    <xf numFmtId="37" fontId="30" fillId="0" borderId="10" xfId="0" applyFont="1" applyBorder="1"/>
    <xf numFmtId="37" fontId="29" fillId="6" borderId="2" xfId="0" quotePrefix="1" applyFont="1" applyFill="1" applyBorder="1"/>
    <xf numFmtId="39" fontId="29" fillId="6" borderId="2" xfId="0" quotePrefix="1" applyNumberFormat="1" applyFont="1" applyFill="1" applyBorder="1" applyAlignment="1">
      <alignment horizontal="center"/>
    </xf>
    <xf numFmtId="3" fontId="29" fillId="0" borderId="2" xfId="0" applyNumberFormat="1" applyFont="1" applyBorder="1"/>
    <xf numFmtId="37" fontId="30" fillId="0" borderId="2" xfId="0" applyFont="1" applyBorder="1" applyAlignment="1">
      <alignment horizontal="center"/>
    </xf>
    <xf numFmtId="37" fontId="30" fillId="0" borderId="4" xfId="0" applyFont="1" applyBorder="1" applyAlignment="1">
      <alignment horizontal="center"/>
    </xf>
    <xf numFmtId="39" fontId="29" fillId="6" borderId="2" xfId="0" applyNumberFormat="1" applyFont="1" applyFill="1" applyBorder="1"/>
    <xf numFmtId="2" fontId="29" fillId="0" borderId="2" xfId="0" applyNumberFormat="1" applyFont="1" applyBorder="1"/>
    <xf numFmtId="3" fontId="29" fillId="6" borderId="2" xfId="0" applyNumberFormat="1" applyFont="1" applyFill="1" applyBorder="1"/>
    <xf numFmtId="37" fontId="17" fillId="7" borderId="0" xfId="547" applyNumberFormat="1" applyFont="1" applyFill="1"/>
    <xf numFmtId="0" fontId="17" fillId="3" borderId="0" xfId="0" quotePrefix="1" applyNumberFormat="1" applyFont="1" applyFill="1" applyAlignment="1">
      <alignment horizontal="fill"/>
    </xf>
    <xf numFmtId="39" fontId="17" fillId="3" borderId="0" xfId="0" quotePrefix="1" applyNumberFormat="1" applyFont="1" applyFill="1" applyAlignment="1">
      <alignment horizontal="fill"/>
    </xf>
    <xf numFmtId="0" fontId="18" fillId="0" borderId="0" xfId="631" applyFont="1">
      <alignment vertical="top"/>
      <protection locked="0"/>
    </xf>
    <xf numFmtId="37" fontId="45" fillId="0" borderId="0" xfId="0" applyFont="1"/>
    <xf numFmtId="37" fontId="46" fillId="0" borderId="0" xfId="0" applyFont="1"/>
    <xf numFmtId="37" fontId="47" fillId="0" borderId="0" xfId="0" applyFont="1"/>
    <xf numFmtId="37" fontId="48" fillId="0" borderId="0" xfId="0" applyFont="1"/>
    <xf numFmtId="2" fontId="17" fillId="0" borderId="0" xfId="0" applyNumberFormat="1" applyFont="1" applyAlignment="1">
      <alignment horizontal="right"/>
    </xf>
    <xf numFmtId="37" fontId="19" fillId="31" borderId="1" xfId="0" applyFont="1" applyFill="1" applyBorder="1" applyProtection="1">
      <protection locked="0"/>
    </xf>
    <xf numFmtId="37" fontId="19" fillId="31" borderId="1" xfId="0" quotePrefix="1" applyFont="1" applyFill="1" applyBorder="1" applyProtection="1">
      <protection locked="0"/>
    </xf>
    <xf numFmtId="2" fontId="19" fillId="31" borderId="1" xfId="547" quotePrefix="1" applyNumberFormat="1" applyFont="1" applyFill="1" applyBorder="1" applyProtection="1">
      <protection locked="0"/>
    </xf>
    <xf numFmtId="37" fontId="19" fillId="31" borderId="1" xfId="547" quotePrefix="1" applyNumberFormat="1" applyFont="1" applyFill="1" applyBorder="1" applyProtection="1">
      <protection locked="0"/>
    </xf>
    <xf numFmtId="37" fontId="19" fillId="31" borderId="1" xfId="547" applyNumberFormat="1" applyFont="1" applyFill="1" applyBorder="1" applyProtection="1">
      <protection locked="0"/>
    </xf>
    <xf numFmtId="2" fontId="19" fillId="31" borderId="1" xfId="0" quotePrefix="1" applyNumberFormat="1" applyFont="1" applyFill="1" applyBorder="1" applyProtection="1">
      <protection locked="0"/>
    </xf>
    <xf numFmtId="2" fontId="19" fillId="31" borderId="1" xfId="939" quotePrefix="1" applyNumberFormat="1" applyFont="1" applyFill="1" applyBorder="1" applyProtection="1">
      <protection locked="0"/>
    </xf>
    <xf numFmtId="2" fontId="19" fillId="31" borderId="1" xfId="547" applyNumberFormat="1" applyFont="1" applyFill="1" applyBorder="1" applyProtection="1">
      <protection locked="0"/>
    </xf>
    <xf numFmtId="37" fontId="19" fillId="31" borderId="1" xfId="939" quotePrefix="1" applyNumberFormat="1" applyFont="1" applyFill="1" applyBorder="1" applyProtection="1">
      <protection locked="0"/>
    </xf>
    <xf numFmtId="1" fontId="19" fillId="31" borderId="1" xfId="0" quotePrefix="1" applyNumberFormat="1" applyFont="1" applyFill="1" applyBorder="1" applyProtection="1">
      <protection locked="0"/>
    </xf>
    <xf numFmtId="37" fontId="19" fillId="30" borderId="1" xfId="0" quotePrefix="1" applyFont="1" applyFill="1" applyBorder="1" applyProtection="1">
      <protection locked="0"/>
    </xf>
    <xf numFmtId="38" fontId="19" fillId="30" borderId="8" xfId="0" applyNumberFormat="1" applyFont="1" applyFill="1" applyBorder="1" applyProtection="1">
      <protection locked="0"/>
    </xf>
    <xf numFmtId="38" fontId="19" fillId="30" borderId="2" xfId="0" applyNumberFormat="1" applyFont="1" applyFill="1" applyBorder="1" applyProtection="1">
      <protection locked="0"/>
    </xf>
    <xf numFmtId="38" fontId="19" fillId="30" borderId="14" xfId="0" applyNumberFormat="1" applyFont="1" applyFill="1" applyBorder="1" applyProtection="1">
      <protection locked="0"/>
    </xf>
    <xf numFmtId="166" fontId="19" fillId="30" borderId="1" xfId="0" quotePrefix="1" applyNumberFormat="1" applyFont="1" applyFill="1" applyBorder="1" applyAlignment="1" applyProtection="1">
      <alignment horizontal="left"/>
      <protection locked="0"/>
    </xf>
    <xf numFmtId="38" fontId="19" fillId="30" borderId="1" xfId="0" applyNumberFormat="1" applyFont="1" applyFill="1" applyBorder="1" applyProtection="1">
      <protection locked="0"/>
    </xf>
    <xf numFmtId="38" fontId="19" fillId="30" borderId="1" xfId="0" applyNumberFormat="1" applyFont="1" applyFill="1" applyBorder="1" applyAlignment="1" applyProtection="1">
      <alignment horizontal="right"/>
      <protection locked="0"/>
    </xf>
    <xf numFmtId="38" fontId="19" fillId="31" borderId="1" xfId="0" applyNumberFormat="1" applyFont="1" applyFill="1" applyBorder="1" applyProtection="1">
      <protection locked="0"/>
    </xf>
    <xf numFmtId="37" fontId="19" fillId="30" borderId="1" xfId="0" applyFont="1" applyFill="1" applyBorder="1" applyProtection="1">
      <protection locked="0"/>
    </xf>
    <xf numFmtId="38" fontId="27" fillId="30" borderId="1" xfId="0" applyNumberFormat="1" applyFont="1" applyFill="1" applyBorder="1" applyProtection="1">
      <protection locked="0"/>
    </xf>
    <xf numFmtId="38" fontId="19" fillId="30" borderId="1" xfId="0" applyNumberFormat="1" applyFont="1" applyFill="1" applyBorder="1" applyAlignment="1" applyProtection="1">
      <alignment horizontal="center"/>
      <protection locked="0"/>
    </xf>
    <xf numFmtId="37" fontId="17" fillId="30" borderId="0" xfId="0" applyFont="1" applyFill="1" applyProtection="1">
      <protection locked="0"/>
    </xf>
    <xf numFmtId="37" fontId="34" fillId="0" borderId="0" xfId="0" quotePrefix="1" applyFont="1" applyAlignment="1">
      <alignment horizontal="left"/>
    </xf>
    <xf numFmtId="37" fontId="9" fillId="0" borderId="0" xfId="0" applyFont="1"/>
    <xf numFmtId="38" fontId="9" fillId="0" borderId="0" xfId="0" applyNumberFormat="1" applyFont="1"/>
    <xf numFmtId="37" fontId="9" fillId="0" borderId="0" xfId="0" quotePrefix="1" applyFont="1" applyAlignment="1">
      <alignment horizontal="left"/>
    </xf>
    <xf numFmtId="37" fontId="8" fillId="0" borderId="0" xfId="0" quotePrefix="1" applyFont="1"/>
    <xf numFmtId="37" fontId="34" fillId="0" borderId="0" xfId="0" applyFont="1"/>
    <xf numFmtId="37" fontId="51" fillId="0" borderId="0" xfId="0" applyFont="1"/>
    <xf numFmtId="0" fontId="52" fillId="0" borderId="0" xfId="631" applyFont="1">
      <alignment vertical="top"/>
      <protection locked="0"/>
    </xf>
    <xf numFmtId="37" fontId="4" fillId="0" borderId="0" xfId="0" quotePrefix="1" applyFont="1" applyAlignment="1">
      <alignment vertical="center" readingOrder="1"/>
    </xf>
    <xf numFmtId="37" fontId="4" fillId="0" borderId="0" xfId="0" applyFont="1" applyAlignment="1">
      <alignment vertical="center" readingOrder="1"/>
    </xf>
    <xf numFmtId="37" fontId="13" fillId="0" borderId="0" xfId="0" quotePrefix="1" applyFont="1"/>
    <xf numFmtId="37" fontId="13" fillId="0" borderId="0" xfId="0" applyFont="1" applyAlignment="1">
      <alignment horizontal="center" vertical="center"/>
    </xf>
    <xf numFmtId="37" fontId="3" fillId="0" borderId="0" xfId="0" applyFont="1"/>
    <xf numFmtId="38" fontId="3" fillId="0" borderId="0" xfId="0" applyNumberFormat="1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 applyAlignment="1">
      <alignment horizontal="left"/>
    </xf>
    <xf numFmtId="37" fontId="3" fillId="0" borderId="0" xfId="0" quotePrefix="1" applyFont="1"/>
    <xf numFmtId="37" fontId="3" fillId="0" borderId="0" xfId="0" applyFont="1" applyAlignment="1">
      <alignment vertical="center" readingOrder="1"/>
    </xf>
    <xf numFmtId="49" fontId="27" fillId="4" borderId="1" xfId="0" quotePrefix="1" applyNumberFormat="1" applyFont="1" applyFill="1" applyBorder="1" applyProtection="1">
      <protection locked="0"/>
    </xf>
    <xf numFmtId="38" fontId="27" fillId="4" borderId="1" xfId="0" quotePrefix="1" applyNumberFormat="1" applyFont="1" applyFill="1" applyBorder="1" applyProtection="1">
      <protection locked="0"/>
    </xf>
    <xf numFmtId="38" fontId="27" fillId="4" borderId="14" xfId="0" applyNumberFormat="1" applyFont="1" applyFill="1" applyBorder="1" applyProtection="1">
      <protection locked="0"/>
    </xf>
    <xf numFmtId="38" fontId="27" fillId="4" borderId="14" xfId="0" quotePrefix="1" applyNumberFormat="1" applyFont="1" applyFill="1" applyBorder="1" applyProtection="1">
      <protection locked="0"/>
    </xf>
    <xf numFmtId="37" fontId="17" fillId="0" borderId="0" xfId="0" applyFont="1" applyProtection="1">
      <protection locked="0"/>
    </xf>
    <xf numFmtId="38" fontId="27" fillId="4" borderId="1" xfId="0" quotePrefix="1" applyNumberFormat="1" applyFont="1" applyFill="1" applyBorder="1" applyAlignment="1" applyProtection="1">
      <alignment horizontal="left"/>
      <protection locked="0"/>
    </xf>
    <xf numFmtId="49" fontId="53" fillId="0" borderId="0" xfId="977" applyNumberFormat="1" applyFont="1" applyAlignment="1">
      <alignment wrapText="1"/>
    </xf>
    <xf numFmtId="168" fontId="53" fillId="0" borderId="0" xfId="977" applyNumberFormat="1" applyFont="1" applyAlignment="1">
      <alignment wrapText="1"/>
    </xf>
    <xf numFmtId="168" fontId="54" fillId="0" borderId="0" xfId="977" applyNumberFormat="1" applyFont="1" applyAlignment="1">
      <alignment wrapText="1"/>
    </xf>
    <xf numFmtId="49" fontId="35" fillId="0" borderId="0" xfId="977" applyNumberFormat="1" applyAlignment="1">
      <alignment wrapText="1"/>
    </xf>
    <xf numFmtId="168" fontId="35" fillId="0" borderId="0" xfId="977" applyNumberFormat="1" applyAlignment="1">
      <alignment wrapText="1"/>
    </xf>
    <xf numFmtId="37" fontId="13" fillId="0" borderId="0" xfId="0" applyFont="1" applyAlignment="1">
      <alignment vertical="center" wrapText="1"/>
    </xf>
    <xf numFmtId="37" fontId="0" fillId="0" borderId="12" xfId="0" applyBorder="1"/>
    <xf numFmtId="168" fontId="35" fillId="0" borderId="12" xfId="977" applyNumberFormat="1" applyBorder="1" applyAlignment="1">
      <alignment wrapText="1"/>
    </xf>
    <xf numFmtId="37" fontId="19" fillId="3" borderId="0" xfId="0" applyFont="1" applyFill="1" applyAlignment="1">
      <alignment horizontal="center" vertical="center"/>
    </xf>
    <xf numFmtId="0" fontId="52" fillId="0" borderId="0" xfId="631" applyFont="1" applyAlignment="1">
      <alignment horizontal="left" vertical="top" wrapText="1"/>
      <protection locked="0"/>
    </xf>
  </cellXfs>
  <cellStyles count="4506">
    <cellStyle name="20% - Accent1" xfId="1033" builtinId="30" customBuiltin="1"/>
    <cellStyle name="20% - Accent1 10" xfId="3894" xr:uid="{ECB11606-566C-448F-8453-16E78A751113}"/>
    <cellStyle name="20% - Accent1 2" xfId="1" xr:uid="{0BCEE55E-FFDB-456B-B892-054764F78BCD}"/>
    <cellStyle name="20% - Accent1 2 10" xfId="1050" xr:uid="{D297734B-A39A-48D5-A287-FF3508960496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2 2 2" xfId="1054" xr:uid="{AA8A6BCA-4F42-4CBC-BD0F-FE6C5B6D45A8}"/>
    <cellStyle name="20% - Accent1 2 2 2 2 3" xfId="1053" xr:uid="{E222F799-22D3-4B28-A8DC-C70B8E259974}"/>
    <cellStyle name="20% - Accent1 2 2 2 3" xfId="6" xr:uid="{26B135B0-DBFD-4C38-A5EC-6D20E6884E6B}"/>
    <cellStyle name="20% - Accent1 2 2 2 3 2" xfId="1055" xr:uid="{23CBAC34-032A-4A6F-BA15-B25B096A83B7}"/>
    <cellStyle name="20% - Accent1 2 2 2 4" xfId="3184" xr:uid="{B7716C1F-3D82-410A-9334-47D941F90B05}"/>
    <cellStyle name="20% - Accent1 2 2 2 5" xfId="1052" xr:uid="{190235C1-F578-484F-BDDA-D634F7257346}"/>
    <cellStyle name="20% - Accent1 2 2 3" xfId="7" xr:uid="{34F5D2DF-3B78-45CA-AF8C-7504DC647A68}"/>
    <cellStyle name="20% - Accent1 2 2 3 2" xfId="8" xr:uid="{C4648ED7-8BBA-4763-8A8C-C5C55F3DF9F3}"/>
    <cellStyle name="20% - Accent1 2 2 3 2 2" xfId="1057" xr:uid="{3E83FF9A-5C1C-40D6-B435-BDC64616B7A6}"/>
    <cellStyle name="20% - Accent1 2 2 3 3" xfId="3517" xr:uid="{6C70A562-7573-4B63-B1A2-6AEAF01EAB64}"/>
    <cellStyle name="20% - Accent1 2 2 3 4" xfId="1056" xr:uid="{1FD3D737-2C22-4DA2-A911-9500665D8D02}"/>
    <cellStyle name="20% - Accent1 2 2 4" xfId="9" xr:uid="{B7D043C1-DD45-4BBD-9896-4711A3F21FE3}"/>
    <cellStyle name="20% - Accent1 2 2 4 2" xfId="1058" xr:uid="{65017403-5D39-4DA7-9DB6-484C2596323C}"/>
    <cellStyle name="20% - Accent1 2 2 5" xfId="3167" xr:uid="{935B2317-2656-418A-985E-185B01E419C1}"/>
    <cellStyle name="20% - Accent1 2 2 6" xfId="1051" xr:uid="{953504BD-3356-4738-BC07-95EF8D99C5EB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2 2 2" xfId="1061" xr:uid="{88458F13-A540-438F-B548-21EFE48B93FC}"/>
    <cellStyle name="20% - Accent1 2 3 2 3" xfId="3212" xr:uid="{0D5AA3EC-F3DA-42D1-864F-EB3904D2C3DC}"/>
    <cellStyle name="20% - Accent1 2 3 2 4" xfId="1060" xr:uid="{0C8C01A4-E0F1-4130-B61A-BE9866BE060D}"/>
    <cellStyle name="20% - Accent1 2 3 3" xfId="13" xr:uid="{8FC03139-8E01-4F15-863D-86507BD2AEFF}"/>
    <cellStyle name="20% - Accent1 2 3 3 2" xfId="1062" xr:uid="{D715FE9D-9E71-4212-945E-1F5C211649F2}"/>
    <cellStyle name="20% - Accent1 2 3 4" xfId="3105" xr:uid="{40E194E4-3AB2-4826-AFEC-D5CCFEF318EF}"/>
    <cellStyle name="20% - Accent1 2 3 5" xfId="1059" xr:uid="{B9E43223-AC77-4E30-A232-C2B79978A0DC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2 2 2" xfId="1065" xr:uid="{A572BA29-22D8-4497-9A1C-3D9B68AD79AC}"/>
    <cellStyle name="20% - Accent1 2 4 2 3" xfId="1064" xr:uid="{ED82DC25-481D-4D0E-9A61-F63D79C44105}"/>
    <cellStyle name="20% - Accent1 2 4 3" xfId="17" xr:uid="{C0B7DE4B-6ECB-4D3B-AC96-111103DC3EE7}"/>
    <cellStyle name="20% - Accent1 2 4 3 2" xfId="1066" xr:uid="{FC04774E-324B-4AB3-90E5-34290DF45E1C}"/>
    <cellStyle name="20% - Accent1 2 4 4" xfId="3129" xr:uid="{1B939C7E-ECF4-4E5E-9B1B-0303C9DEE661}"/>
    <cellStyle name="20% - Accent1 2 4 5" xfId="1063" xr:uid="{7F426637-B045-409C-96B1-0A16B1CEA9B5}"/>
    <cellStyle name="20% - Accent1 2 5" xfId="18" xr:uid="{58B1AA26-8193-43E6-BBF2-C55FD7D65910}"/>
    <cellStyle name="20% - Accent1 2 5 2" xfId="19" xr:uid="{37736DF4-6DF2-4727-A4FF-04F5E070DE0E}"/>
    <cellStyle name="20% - Accent1 2 5 2 2" xfId="1068" xr:uid="{2B138B25-D6D0-40C0-ADE3-F90BE5D20114}"/>
    <cellStyle name="20% - Accent1 2 5 3" xfId="3299" xr:uid="{A78B6D62-C714-4FC3-8993-2BD1F9440996}"/>
    <cellStyle name="20% - Accent1 2 5 4" xfId="1067" xr:uid="{0FB0542F-0199-4C77-B7F9-C1754D0900AA}"/>
    <cellStyle name="20% - Accent1 2 6" xfId="20" xr:uid="{546318D8-AE79-4E37-B145-C0B95A126CFB}"/>
    <cellStyle name="20% - Accent1 2 6 2" xfId="21" xr:uid="{3D451600-FDD9-4816-9338-8C7E1761BC26}"/>
    <cellStyle name="20% - Accent1 2 6 2 2" xfId="1070" xr:uid="{4C4222F3-E4BB-4878-B1AB-98396FB921AE}"/>
    <cellStyle name="20% - Accent1 2 6 3" xfId="3044" xr:uid="{2D1D1EED-6482-445A-AA69-0A57A1EC7171}"/>
    <cellStyle name="20% - Accent1 2 6 4" xfId="1069" xr:uid="{B8DF8B47-CF4B-4D3F-A0D3-2A849C643230}"/>
    <cellStyle name="20% - Accent1 2 7" xfId="22" xr:uid="{25D7F9F4-F515-44CF-9CA8-2C45DE2E61A5}"/>
    <cellStyle name="20% - Accent1 2 7 2" xfId="1071" xr:uid="{314C92A1-8F9E-4708-A1BC-92AF30408800}"/>
    <cellStyle name="20% - Accent1 2 8" xfId="1922" xr:uid="{F21FCF1C-01B0-4451-9B74-F5C729474225}"/>
    <cellStyle name="20% - Accent1 2 9" xfId="3895" xr:uid="{3EBBC909-06F8-4EBC-9565-A8506D6F495B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2 2 2" xfId="2433" xr:uid="{565A6DC1-3C1F-4A1A-85C7-C056E1A7D6B8}"/>
    <cellStyle name="20% - Accent1 3 2 2 2 3" xfId="2938" xr:uid="{768A9448-6CB4-4A59-AEE3-89D42993F649}"/>
    <cellStyle name="20% - Accent1 3 2 2 2 4" xfId="3899" xr:uid="{1D6D811C-50B2-46CC-832A-A836FC866BAF}"/>
    <cellStyle name="20% - Accent1 3 2 2 2 5" xfId="1075" xr:uid="{0BDD33DD-32FC-4B38-836B-1680394D218A}"/>
    <cellStyle name="20% - Accent1 3 2 2 3" xfId="2214" xr:uid="{DDAF78AB-B50C-4EFA-8FFC-D6E05C36AEDA}"/>
    <cellStyle name="20% - Accent1 3 2 2 3 2" xfId="3713" xr:uid="{5231E137-01DF-4C1D-A5E2-243FCF6F4B07}"/>
    <cellStyle name="20% - Accent1 3 2 2 4" xfId="2719" xr:uid="{CD387E6B-741C-45AC-BD5E-E0AA0D2ABEBB}"/>
    <cellStyle name="20% - Accent1 3 2 2 5" xfId="3898" xr:uid="{5C26C3A0-F1A1-4F70-813E-2232F4B5FF9C}"/>
    <cellStyle name="20% - Accent1 3 2 2 6" xfId="1074" xr:uid="{357A4A61-925B-42AC-9FFB-9910D0536528}"/>
    <cellStyle name="20% - Accent1 3 2 3" xfId="27" xr:uid="{915F006D-7270-4E55-A104-6414B38CEE22}"/>
    <cellStyle name="20% - Accent1 3 2 3 2" xfId="2323" xr:uid="{68DF70F9-5E38-4B03-91AE-BF6EAAB6F9B0}"/>
    <cellStyle name="20% - Accent1 3 2 3 3" xfId="2828" xr:uid="{C980A34B-8844-4ED9-A1E8-891B92D66D37}"/>
    <cellStyle name="20% - Accent1 3 2 3 4" xfId="3900" xr:uid="{4C3F46A9-E5BC-44B4-918D-3CCB1997DC32}"/>
    <cellStyle name="20% - Accent1 3 2 3 5" xfId="1076" xr:uid="{1122B8D8-0B82-4CAF-88EE-74EEDA93358B}"/>
    <cellStyle name="20% - Accent1 3 2 4" xfId="2097" xr:uid="{5FBDDE28-B47E-4895-BC89-7C5CDC7E5F94}"/>
    <cellStyle name="20% - Accent1 3 2 4 2" xfId="3712" xr:uid="{839C48E8-A24A-4B79-8E05-1541F9061215}"/>
    <cellStyle name="20% - Accent1 3 2 5" xfId="2609" xr:uid="{179F366F-F706-48EE-829E-3C279B9E27A4}"/>
    <cellStyle name="20% - Accent1 3 2 6" xfId="3897" xr:uid="{09937DCF-909F-41AB-A553-1FF5F1EE2D4C}"/>
    <cellStyle name="20% - Accent1 3 2 7" xfId="1073" xr:uid="{9B5A51DB-C9B0-451C-B3C4-D242EA00EF47}"/>
    <cellStyle name="20% - Accent1 3 3" xfId="28" xr:uid="{1F6A3954-B96E-470E-8071-25CE5EBF3A9D}"/>
    <cellStyle name="20% - Accent1 3 3 2" xfId="29" xr:uid="{B2550B72-EA84-4BE6-AF7B-2C835D64613B}"/>
    <cellStyle name="20% - Accent1 3 3 2 2" xfId="2390" xr:uid="{B123C27E-7052-40DD-A5B1-193A7909E630}"/>
    <cellStyle name="20% - Accent1 3 3 2 3" xfId="2895" xr:uid="{A1ECD3F9-0638-4DD4-BAE3-779CEAC22E91}"/>
    <cellStyle name="20% - Accent1 3 3 2 4" xfId="3902" xr:uid="{69321090-05D0-4F67-B267-B97D9197D269}"/>
    <cellStyle name="20% - Accent1 3 3 2 5" xfId="1078" xr:uid="{F362C1B9-3C9F-4661-B938-03379E273D58}"/>
    <cellStyle name="20% - Accent1 3 3 3" xfId="2171" xr:uid="{A5ABCAE7-98C9-4090-8590-FC9232F4197E}"/>
    <cellStyle name="20% - Accent1 3 3 3 2" xfId="3714" xr:uid="{2EDCF506-4F34-4A7B-B2AC-FE955CF59401}"/>
    <cellStyle name="20% - Accent1 3 3 4" xfId="2676" xr:uid="{0FE8CA47-6892-4401-A861-0501073534D9}"/>
    <cellStyle name="20% - Accent1 3 3 5" xfId="3901" xr:uid="{9C1FD571-24C3-4BFA-94D0-39B83D1B2821}"/>
    <cellStyle name="20% - Accent1 3 3 6" xfId="1077" xr:uid="{1A5D6F44-E498-4D2F-8B43-B6EF840D3F2C}"/>
    <cellStyle name="20% - Accent1 3 4" xfId="30" xr:uid="{A9EFB3CA-FCF6-4567-A86D-8C52AAD7B2E3}"/>
    <cellStyle name="20% - Accent1 3 4 2" xfId="2280" xr:uid="{3A1891BA-8B75-43D6-8F08-B3196BA45E0B}"/>
    <cellStyle name="20% - Accent1 3 4 3" xfId="2785" xr:uid="{41F4AE63-0316-46AE-89A7-27447C688218}"/>
    <cellStyle name="20% - Accent1 3 4 4" xfId="3903" xr:uid="{3BF9C0C4-251A-4BE7-B268-FA4432B2077D}"/>
    <cellStyle name="20% - Accent1 3 4 5" xfId="1079" xr:uid="{419A1AB1-7728-408A-AF49-A9F314FB52B0}"/>
    <cellStyle name="20% - Accent1 3 5" xfId="2049" xr:uid="{BEEFE4E8-525D-44E7-9F19-B22EBDD529CA}"/>
    <cellStyle name="20% - Accent1 3 5 2" xfId="2566" xr:uid="{C172BE4F-91C8-4D58-B5B7-F8240ADDBAC2}"/>
    <cellStyle name="20% - Accent1 3 5 3" xfId="3904" xr:uid="{107014FF-97D9-4451-956F-8BEB9715F335}"/>
    <cellStyle name="20% - Accent1 3 6" xfId="2001" xr:uid="{08B5EA4F-A0DE-4867-ADCB-7186B65059E0}"/>
    <cellStyle name="20% - Accent1 3 7" xfId="2525" xr:uid="{D65AC003-13C5-4932-9FA0-625CA3592E64}"/>
    <cellStyle name="20% - Accent1 3 8" xfId="3896" xr:uid="{4E1BFBCB-9E86-49FA-9737-082C8BFFE213}"/>
    <cellStyle name="20% - Accent1 3 9" xfId="1072" xr:uid="{1B0C7BEF-8BD0-4864-8398-30FFE8362F6B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2 2 2" xfId="2452" xr:uid="{59C666E6-FF73-4BB2-A474-9E40E16995C3}"/>
    <cellStyle name="20% - Accent1 4 2 2 3" xfId="2957" xr:uid="{6763EBFF-EB1E-4AD7-A4B5-364346046CE5}"/>
    <cellStyle name="20% - Accent1 4 2 2 4" xfId="3907" xr:uid="{22F84E57-9C1F-4C09-A3B9-CF773EEE9ADC}"/>
    <cellStyle name="20% - Accent1 4 2 2 5" xfId="1082" xr:uid="{818D180B-FAC5-4CDC-B909-35E02A58B49E}"/>
    <cellStyle name="20% - Accent1 4 2 3" xfId="2233" xr:uid="{A9890190-0D15-4F77-922C-E5EF7F696D0E}"/>
    <cellStyle name="20% - Accent1 4 2 3 2" xfId="3715" xr:uid="{5FFA6630-4893-414F-A691-470A6F85C65F}"/>
    <cellStyle name="20% - Accent1 4 2 4" xfId="2738" xr:uid="{8F5233EE-3265-4065-BE10-97FA7A7132F1}"/>
    <cellStyle name="20% - Accent1 4 2 5" xfId="3906" xr:uid="{7C098B94-72D4-4E3E-BAD5-5F892BD622ED}"/>
    <cellStyle name="20% - Accent1 4 2 6" xfId="1081" xr:uid="{91830C90-264C-49EB-A90D-D01238C05BBB}"/>
    <cellStyle name="20% - Accent1 4 3" xfId="34" xr:uid="{96B4F023-C39D-4BA4-B1AB-3661D47C75B8}"/>
    <cellStyle name="20% - Accent1 4 3 2" xfId="2342" xr:uid="{72B390E6-1467-4BCB-A49D-A6717B840FA1}"/>
    <cellStyle name="20% - Accent1 4 3 2 2" xfId="3228" xr:uid="{FF99292A-129E-485E-B5D3-9B8FFD33C27C}"/>
    <cellStyle name="20% - Accent1 4 3 3" xfId="2847" xr:uid="{E7FECB97-B16F-430D-A01E-E11E69C65918}"/>
    <cellStyle name="20% - Accent1 4 3 4" xfId="3908" xr:uid="{34401BDE-D200-49B5-B7C4-3D265F7CCA34}"/>
    <cellStyle name="20% - Accent1 4 3 5" xfId="1083" xr:uid="{842C4512-5A51-496C-9DAD-E1041DE1EBC2}"/>
    <cellStyle name="20% - Accent1 4 4" xfId="2116" xr:uid="{87EF866E-A7CE-4F23-8C1B-13AF943F13CD}"/>
    <cellStyle name="20% - Accent1 4 4 2" xfId="3155" xr:uid="{6D698E2F-2B49-4625-8C42-45A7D102F51E}"/>
    <cellStyle name="20% - Accent1 4 5" xfId="2628" xr:uid="{023D7A2A-F940-421A-A3CD-253B1DD9AAB1}"/>
    <cellStyle name="20% - Accent1 4 6" xfId="3905" xr:uid="{8A1B4D1D-9EA1-4B8D-A1A1-420D10708BD8}"/>
    <cellStyle name="20% - Accent1 4 7" xfId="1080" xr:uid="{7E3DDE2B-FA8F-4346-A19A-D7EFEB9C500A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2 2 2" xfId="2414" xr:uid="{AC0A9FC0-DBE3-4974-9954-905F02604152}"/>
    <cellStyle name="20% - Accent1 5 2 2 3" xfId="2919" xr:uid="{93926F9C-C489-4F9A-8061-7B8073E50482}"/>
    <cellStyle name="20% - Accent1 5 2 2 4" xfId="3911" xr:uid="{E7916213-444F-459C-9958-C46038E89CD0}"/>
    <cellStyle name="20% - Accent1 5 2 2 5" xfId="1086" xr:uid="{4B698AA7-D4AA-46B9-9341-42B5925D84F8}"/>
    <cellStyle name="20% - Accent1 5 2 3" xfId="2195" xr:uid="{175B059A-8D24-4456-BF21-A9435F738BA8}"/>
    <cellStyle name="20% - Accent1 5 2 4" xfId="2700" xr:uid="{C55B21CA-887A-41AA-8AD7-D09EBF71247E}"/>
    <cellStyle name="20% - Accent1 5 2 5" xfId="3910" xr:uid="{02BA28A0-7C35-49E0-9482-C44AF5410A40}"/>
    <cellStyle name="20% - Accent1 5 2 6" xfId="1085" xr:uid="{8DB4BF80-488C-4658-BE6B-D16B19553DC4}"/>
    <cellStyle name="20% - Accent1 5 3" xfId="38" xr:uid="{CEC706B5-4F10-4E7E-8B73-DE3981B3F7BC}"/>
    <cellStyle name="20% - Accent1 5 3 2" xfId="2304" xr:uid="{D3782D7C-A8C9-43CB-830C-19F85AEDCEB0}"/>
    <cellStyle name="20% - Accent1 5 3 3" xfId="2809" xr:uid="{8F7089F0-75B1-4B39-B83F-08873FA43F83}"/>
    <cellStyle name="20% - Accent1 5 3 4" xfId="3912" xr:uid="{23BC0B9A-2E1C-4D21-9278-8B23F66DF91C}"/>
    <cellStyle name="20% - Accent1 5 3 5" xfId="1087" xr:uid="{2FEA4C32-4098-4251-9C89-3BCB2F026C99}"/>
    <cellStyle name="20% - Accent1 5 4" xfId="2073" xr:uid="{D2C05F14-4CD0-4784-9B54-320C8A8478FE}"/>
    <cellStyle name="20% - Accent1 5 5" xfId="2590" xr:uid="{8D62FC01-3478-4A1E-AB4F-617F8D2A44BD}"/>
    <cellStyle name="20% - Accent1 5 6" xfId="3909" xr:uid="{773079BF-E4BF-4C3D-B722-8D086E2CD92C}"/>
    <cellStyle name="20% - Accent1 5 7" xfId="1084" xr:uid="{10DCCA4C-D358-4E4E-B1E8-461456903063}"/>
    <cellStyle name="20% - Accent1 6" xfId="39" xr:uid="{842F35D3-FF51-4E2E-BAE7-84DCDBA2CF4E}"/>
    <cellStyle name="20% - Accent1 6 2" xfId="40" xr:uid="{1F023914-F1E2-4747-8E4F-A7D8DCEE6E25}"/>
    <cellStyle name="20% - Accent1 6 2 2" xfId="2368" xr:uid="{AC5F63E1-CFD5-407A-9089-35CC715F4260}"/>
    <cellStyle name="20% - Accent1 6 2 3" xfId="2873" xr:uid="{0A9E8200-BD8F-45DF-8C70-1E25589E37E4}"/>
    <cellStyle name="20% - Accent1 6 2 4" xfId="3914" xr:uid="{1C606974-9A45-4706-865A-230ECA4D008C}"/>
    <cellStyle name="20% - Accent1 6 2 5" xfId="1089" xr:uid="{D51D922D-6598-459E-A1E3-D7DD34A9FDB7}"/>
    <cellStyle name="20% - Accent1 6 3" xfId="2147" xr:uid="{EC66F6DB-A8F4-4F07-8BD5-4125FA7013DA}"/>
    <cellStyle name="20% - Accent1 6 4" xfId="2654" xr:uid="{F1F6ED44-4021-408F-979C-C117FDE5FA41}"/>
    <cellStyle name="20% - Accent1 6 5" xfId="3913" xr:uid="{4CE12416-B387-496A-AC7D-4FC5C3585546}"/>
    <cellStyle name="20% - Accent1 6 6" xfId="1088" xr:uid="{F5129C31-ECB4-4A4C-94D0-1D90601DA843}"/>
    <cellStyle name="20% - Accent1 7" xfId="41" xr:uid="{6F00EB95-F44A-4E02-A4A2-66BF32EF93D0}"/>
    <cellStyle name="20% - Accent1 7 2" xfId="42" xr:uid="{086D3584-1284-4CDB-951C-0AF0F7898BCE}"/>
    <cellStyle name="20% - Accent1 7 2 2" xfId="1091" xr:uid="{072077E0-8822-45BF-9E1F-5F267DCC293C}"/>
    <cellStyle name="20% - Accent1 7 3" xfId="2258" xr:uid="{DE5A4C56-F58F-45DA-9D48-204728BFF21E}"/>
    <cellStyle name="20% - Accent1 7 4" xfId="2763" xr:uid="{6753497F-89C6-4EF6-9121-857FD8AE9EB8}"/>
    <cellStyle name="20% - Accent1 7 5" xfId="3915" xr:uid="{917E8A71-05C3-4302-AB7E-6B6FE35F83A2}"/>
    <cellStyle name="20% - Accent1 7 6" xfId="1090" xr:uid="{82F15A66-0D72-428B-AE62-8ADC50D660E7}"/>
    <cellStyle name="20% - Accent1 8" xfId="2025" xr:uid="{27D32DFE-94A7-4AC4-8432-5093AE342F76}"/>
    <cellStyle name="20% - Accent1 8 2" xfId="2544" xr:uid="{D08E3005-6197-4056-8A22-00BA41581963}"/>
    <cellStyle name="20% - Accent1 8 3" xfId="3916" xr:uid="{4A0C61DD-A28F-435A-A0C1-FA011F97DF04}"/>
    <cellStyle name="20% - Accent1 9" xfId="2492" xr:uid="{BD799404-C578-4AC5-A641-0804AFD4B459}"/>
    <cellStyle name="20% - Accent2" xfId="1036" builtinId="34" customBuiltin="1"/>
    <cellStyle name="20% - Accent2 10" xfId="3917" xr:uid="{B98443C1-5726-4E1D-A219-7962368486B4}"/>
    <cellStyle name="20% - Accent2 2" xfId="43" xr:uid="{F81284A1-A5B8-487C-9B41-A1F0D8D634AB}"/>
    <cellStyle name="20% - Accent2 2 10" xfId="1092" xr:uid="{66C0C672-4AEE-4F5E-9E14-9F08984C0209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2 2 2" xfId="1096" xr:uid="{DECEE2E6-1D21-4409-A9EE-94F9C53BBEDB}"/>
    <cellStyle name="20% - Accent2 2 2 2 2 3" xfId="1095" xr:uid="{51CAD5FB-6CBA-4854-A586-49322255E4C9}"/>
    <cellStyle name="20% - Accent2 2 2 2 3" xfId="48" xr:uid="{7244480A-65E0-4EA4-9387-F45579C204D5}"/>
    <cellStyle name="20% - Accent2 2 2 2 3 2" xfId="1097" xr:uid="{F420A7BA-3818-4558-8497-186ABECD2DBD}"/>
    <cellStyle name="20% - Accent2 2 2 2 4" xfId="3186" xr:uid="{433E5E51-6B86-47E2-AAE9-51CEE827610F}"/>
    <cellStyle name="20% - Accent2 2 2 2 5" xfId="1094" xr:uid="{1C3E7EB0-9912-497F-8A46-F2779E13EEBF}"/>
    <cellStyle name="20% - Accent2 2 2 3" xfId="49" xr:uid="{DDF33C4C-23FD-44C0-85CA-CAE1ED3FEC71}"/>
    <cellStyle name="20% - Accent2 2 2 3 2" xfId="50" xr:uid="{8B11CEA3-28DE-4658-A806-AD36D8417B14}"/>
    <cellStyle name="20% - Accent2 2 2 3 2 2" xfId="1099" xr:uid="{1BACE2E2-C591-4127-BE50-82607A7DF2B9}"/>
    <cellStyle name="20% - Accent2 2 2 3 3" xfId="3334" xr:uid="{FDF3C476-8316-4FCE-B87F-0337BEE3E8A2}"/>
    <cellStyle name="20% - Accent2 2 2 3 4" xfId="1098" xr:uid="{4176F014-7704-4581-9F13-5F34C914CC18}"/>
    <cellStyle name="20% - Accent2 2 2 4" xfId="51" xr:uid="{B7FF2C2D-815B-41A8-8B42-4DB583DB47A2}"/>
    <cellStyle name="20% - Accent2 2 2 4 2" xfId="1100" xr:uid="{124C5DCF-9206-4F36-9911-CCEE5A22858B}"/>
    <cellStyle name="20% - Accent2 2 2 5" xfId="3098" xr:uid="{714D007F-3C4A-4894-ABEB-600DFB847B97}"/>
    <cellStyle name="20% - Accent2 2 2 6" xfId="1093" xr:uid="{33EA0F08-C20A-429F-9690-DB14F8D66E9B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2 2 2" xfId="1103" xr:uid="{C98338D4-7B4B-4FF1-A246-3136EA0068A3}"/>
    <cellStyle name="20% - Accent2 2 3 2 3" xfId="3214" xr:uid="{90BF4FBD-68DF-4CAF-9547-448755A1181A}"/>
    <cellStyle name="20% - Accent2 2 3 2 4" xfId="1102" xr:uid="{C7C6478D-A1EF-4B8C-8F3D-352A12D486E1}"/>
    <cellStyle name="20% - Accent2 2 3 3" xfId="55" xr:uid="{95AE32F4-8DDA-4B1D-9212-7506CA167704}"/>
    <cellStyle name="20% - Accent2 2 3 3 2" xfId="1104" xr:uid="{D1C053EA-E2EA-4248-BCF2-FA37FD14BCAF}"/>
    <cellStyle name="20% - Accent2 2 3 4" xfId="3071" xr:uid="{01D5B7B4-2F7F-40A9-A1B9-1A0551DF1E7C}"/>
    <cellStyle name="20% - Accent2 2 3 5" xfId="1101" xr:uid="{53A882F1-0896-438C-920F-D9C0FC9BE772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2 2 2" xfId="1107" xr:uid="{E29CBDBB-0B4C-4C84-8E12-459929EE468E}"/>
    <cellStyle name="20% - Accent2 2 4 2 3" xfId="1106" xr:uid="{02E602D1-E2CF-4D2E-948D-E35677D42A88}"/>
    <cellStyle name="20% - Accent2 2 4 3" xfId="59" xr:uid="{C213FAFE-5142-445B-BA47-88BF4FE7D849}"/>
    <cellStyle name="20% - Accent2 2 4 3 2" xfId="1108" xr:uid="{B3633F03-9B71-4495-AACC-3DACF3930B5E}"/>
    <cellStyle name="20% - Accent2 2 4 4" xfId="3115" xr:uid="{43B16AE1-D33B-4459-8963-9A1DDAE04219}"/>
    <cellStyle name="20% - Accent2 2 4 5" xfId="1105" xr:uid="{82F60599-2C43-48EA-B06A-49BEC8FE347E}"/>
    <cellStyle name="20% - Accent2 2 5" xfId="60" xr:uid="{50F9AD3F-06F7-499E-B5B2-DBE13CEA8349}"/>
    <cellStyle name="20% - Accent2 2 5 2" xfId="61" xr:uid="{033CC59D-B5E7-4060-8CA4-72033EBE92CF}"/>
    <cellStyle name="20% - Accent2 2 5 2 2" xfId="1110" xr:uid="{49570305-DBC8-4ADE-899F-0343621EC167}"/>
    <cellStyle name="20% - Accent2 2 5 3" xfId="3412" xr:uid="{8A8FB394-3F6A-4878-8BC3-A1DE393DA768}"/>
    <cellStyle name="20% - Accent2 2 5 4" xfId="1109" xr:uid="{D13CFAF0-A187-4EE7-8FF5-BCAC3FF69D55}"/>
    <cellStyle name="20% - Accent2 2 6" xfId="62" xr:uid="{0F43AF63-D2E8-4CA8-8F99-70A3DA69682F}"/>
    <cellStyle name="20% - Accent2 2 6 2" xfId="63" xr:uid="{398F51DF-FA74-4B59-8C4F-F922359FEF55}"/>
    <cellStyle name="20% - Accent2 2 6 2 2" xfId="1112" xr:uid="{D9C9EC19-3733-42CA-AC5B-82B0C120FE0E}"/>
    <cellStyle name="20% - Accent2 2 6 3" xfId="3151" xr:uid="{7A193D0F-42FE-424E-BF7D-6A91B7FB40D8}"/>
    <cellStyle name="20% - Accent2 2 6 4" xfId="1111" xr:uid="{C41E549F-4E71-4792-B0EC-1805F49F4ABE}"/>
    <cellStyle name="20% - Accent2 2 7" xfId="64" xr:uid="{95D3EA1B-DB6B-4696-A849-D90133B1255C}"/>
    <cellStyle name="20% - Accent2 2 7 2" xfId="1113" xr:uid="{5F086DD0-08FA-4DA8-9DB6-200013CACFFD}"/>
    <cellStyle name="20% - Accent2 2 8" xfId="1923" xr:uid="{AD4869C6-492A-4C93-A10C-601E5014D38D}"/>
    <cellStyle name="20% - Accent2 2 9" xfId="3918" xr:uid="{D84534FA-1557-4EA5-B0B0-39C63991CA1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2 2 2" xfId="2435" xr:uid="{81A7D914-2F1A-4B4A-8505-EE0342641DB7}"/>
    <cellStyle name="20% - Accent2 3 2 2 2 3" xfId="2940" xr:uid="{F550E523-FB76-429B-B896-8973FCB7194A}"/>
    <cellStyle name="20% - Accent2 3 2 2 2 4" xfId="3922" xr:uid="{6FD5C42E-28B5-43B8-8F3E-0B2E3773C114}"/>
    <cellStyle name="20% - Accent2 3 2 2 2 5" xfId="1117" xr:uid="{E0ED5560-143A-4862-A715-6229473CAB0E}"/>
    <cellStyle name="20% - Accent2 3 2 2 3" xfId="2216" xr:uid="{2D4E5347-0111-4731-9849-E862C0BFF2F3}"/>
    <cellStyle name="20% - Accent2 3 2 2 3 2" xfId="3717" xr:uid="{53359710-79E3-421E-831A-70DF2749211C}"/>
    <cellStyle name="20% - Accent2 3 2 2 4" xfId="2721" xr:uid="{F24E71FA-2320-4079-931A-99928827AA39}"/>
    <cellStyle name="20% - Accent2 3 2 2 5" xfId="3921" xr:uid="{639A7C9A-204E-472A-9053-A698560C51A3}"/>
    <cellStyle name="20% - Accent2 3 2 2 6" xfId="1116" xr:uid="{ABD4EC91-D624-437E-86B8-3020DDF712CA}"/>
    <cellStyle name="20% - Accent2 3 2 3" xfId="69" xr:uid="{52C6F2E7-8514-4A46-8C05-0D0F608B75F9}"/>
    <cellStyle name="20% - Accent2 3 2 3 2" xfId="2325" xr:uid="{5A576DEA-07F4-46C6-8436-4BE109183752}"/>
    <cellStyle name="20% - Accent2 3 2 3 3" xfId="2830" xr:uid="{1BE473A0-445A-4C45-8616-828DC912836A}"/>
    <cellStyle name="20% - Accent2 3 2 3 4" xfId="3923" xr:uid="{8D610D77-DCA2-4AF6-9E63-84A25587AC96}"/>
    <cellStyle name="20% - Accent2 3 2 3 5" xfId="1118" xr:uid="{EC0B0C9F-9C15-4A65-8E4E-60B4CE1F2ED9}"/>
    <cellStyle name="20% - Accent2 3 2 4" xfId="2099" xr:uid="{C54C542E-AA2C-46F6-86DC-FD7C15F556E6}"/>
    <cellStyle name="20% - Accent2 3 2 4 2" xfId="3716" xr:uid="{FC60532C-8AA1-4591-8FFE-A212EF7519E7}"/>
    <cellStyle name="20% - Accent2 3 2 5" xfId="2611" xr:uid="{C540C7C0-C5B1-4CB8-9270-C3EECDC5D72A}"/>
    <cellStyle name="20% - Accent2 3 2 6" xfId="3920" xr:uid="{33B2857A-4EC2-4C29-A9A0-F0A8F1A145F8}"/>
    <cellStyle name="20% - Accent2 3 2 7" xfId="1115" xr:uid="{B4369191-716B-4BA5-BCC7-40D8E26E5E11}"/>
    <cellStyle name="20% - Accent2 3 3" xfId="70" xr:uid="{1491CE4D-5C03-4F94-AE3D-DBA968D0D958}"/>
    <cellStyle name="20% - Accent2 3 3 2" xfId="71" xr:uid="{C329CA93-655B-4FB1-96B3-6F5EB0163AE4}"/>
    <cellStyle name="20% - Accent2 3 3 2 2" xfId="2392" xr:uid="{0A12BFEB-C20B-49C7-A88D-745E748CA7CE}"/>
    <cellStyle name="20% - Accent2 3 3 2 3" xfId="2897" xr:uid="{CDCDCD1C-19D9-4367-B7AD-D9F5BA60651E}"/>
    <cellStyle name="20% - Accent2 3 3 2 4" xfId="3925" xr:uid="{ACEB4F50-481C-452B-A439-3087E4643E8B}"/>
    <cellStyle name="20% - Accent2 3 3 2 5" xfId="1120" xr:uid="{25C4527C-B073-4C5E-866C-A3F1A3EEF88D}"/>
    <cellStyle name="20% - Accent2 3 3 3" xfId="2173" xr:uid="{464E3DA4-4B36-4FD5-BC18-893F96FF9026}"/>
    <cellStyle name="20% - Accent2 3 3 3 2" xfId="3718" xr:uid="{2A135CC7-855A-4E16-93B7-BA13CC43AF2F}"/>
    <cellStyle name="20% - Accent2 3 3 4" xfId="2678" xr:uid="{A56A62BC-03AB-4C41-9F46-778984268035}"/>
    <cellStyle name="20% - Accent2 3 3 5" xfId="3924" xr:uid="{92747C90-5936-43E8-BF77-33CFB3622D8F}"/>
    <cellStyle name="20% - Accent2 3 3 6" xfId="1119" xr:uid="{2B1D0078-298C-40D1-992F-E82DB793A846}"/>
    <cellStyle name="20% - Accent2 3 4" xfId="72" xr:uid="{DC7E5E7B-1789-4A23-960D-9A98ACD9779D}"/>
    <cellStyle name="20% - Accent2 3 4 2" xfId="2282" xr:uid="{9281E323-A053-46A6-86C1-3A37EA69799A}"/>
    <cellStyle name="20% - Accent2 3 4 3" xfId="2787" xr:uid="{DEDF121D-A0D4-4C11-8F00-D5B283E5D734}"/>
    <cellStyle name="20% - Accent2 3 4 4" xfId="3926" xr:uid="{4F11DA7C-8350-4848-81F7-C3DBE343093A}"/>
    <cellStyle name="20% - Accent2 3 4 5" xfId="1121" xr:uid="{3EEEE393-AA31-4D08-B414-6824C83FE6FB}"/>
    <cellStyle name="20% - Accent2 3 5" xfId="2051" xr:uid="{D0E3D533-35CE-402A-B799-DBB25915ABE7}"/>
    <cellStyle name="20% - Accent2 3 5 2" xfId="2568" xr:uid="{C86C7204-436C-4397-A98B-342A107D8AA1}"/>
    <cellStyle name="20% - Accent2 3 5 3" xfId="3927" xr:uid="{643C7831-CC94-430D-A44B-8DA08097923F}"/>
    <cellStyle name="20% - Accent2 3 6" xfId="2003" xr:uid="{53F1FEEE-F5EB-4CE2-B975-D20144E5C841}"/>
    <cellStyle name="20% - Accent2 3 7" xfId="2527" xr:uid="{07819715-E0B1-4DCB-B759-05BB0E58CC85}"/>
    <cellStyle name="20% - Accent2 3 8" xfId="3919" xr:uid="{F5DE4F15-E4A0-4DA6-BA62-0EBFFAC04D61}"/>
    <cellStyle name="20% - Accent2 3 9" xfId="1114" xr:uid="{F1D7F611-7660-47F2-8C0B-C335AC106F41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2 2 2" xfId="2454" xr:uid="{094223DE-B100-465A-B186-8A4677D0CE18}"/>
    <cellStyle name="20% - Accent2 4 2 2 3" xfId="2959" xr:uid="{F9AF8E3D-588C-4EB9-94D1-1D7C4CECB37A}"/>
    <cellStyle name="20% - Accent2 4 2 2 4" xfId="3930" xr:uid="{D7BDE69B-96AF-4473-A797-0D9167B5B510}"/>
    <cellStyle name="20% - Accent2 4 2 2 5" xfId="1124" xr:uid="{4BFBD85E-0B22-464B-9B7D-4C6E3C8889A2}"/>
    <cellStyle name="20% - Accent2 4 2 3" xfId="2235" xr:uid="{43C871E4-45D5-4B62-BAB2-57BFA8557D60}"/>
    <cellStyle name="20% - Accent2 4 2 3 2" xfId="3719" xr:uid="{980ADF40-E7AC-4A9E-9FF2-1775691D75BE}"/>
    <cellStyle name="20% - Accent2 4 2 4" xfId="2740" xr:uid="{D56A002D-7015-48FC-83E2-0B8BE1C38364}"/>
    <cellStyle name="20% - Accent2 4 2 5" xfId="3929" xr:uid="{0F58266D-9AD1-45A7-880F-00EC676F837C}"/>
    <cellStyle name="20% - Accent2 4 2 6" xfId="1123" xr:uid="{B1DFE51B-55FE-44A2-8C8D-29FF11E603AB}"/>
    <cellStyle name="20% - Accent2 4 3" xfId="76" xr:uid="{64D18BD1-190F-4D3F-9F0E-F5C4930C8057}"/>
    <cellStyle name="20% - Accent2 4 3 2" xfId="2344" xr:uid="{2BCE3361-A3CC-4DC4-8FBE-5102C4EFD114}"/>
    <cellStyle name="20% - Accent2 4 3 2 2" xfId="3230" xr:uid="{6611830A-2AF7-4EA3-8F2D-153B950EE1DA}"/>
    <cellStyle name="20% - Accent2 4 3 3" xfId="2849" xr:uid="{2453D258-A8BC-4E36-A110-2E6F37A08EFF}"/>
    <cellStyle name="20% - Accent2 4 3 4" xfId="3931" xr:uid="{96745D8E-5165-4F95-A666-6DCDE2FE4943}"/>
    <cellStyle name="20% - Accent2 4 3 5" xfId="1125" xr:uid="{FF53DC15-B32C-43EE-A3F9-5276D27358E0}"/>
    <cellStyle name="20% - Accent2 4 4" xfId="2118" xr:uid="{189A94FD-402A-4DCA-AB55-DE8F39F9DD66}"/>
    <cellStyle name="20% - Accent2 4 4 2" xfId="3035" xr:uid="{C210B166-5785-40A6-BB78-9A3C8B512F30}"/>
    <cellStyle name="20% - Accent2 4 5" xfId="2630" xr:uid="{3A637B00-95F7-48C4-8B78-1C774C72EF6A}"/>
    <cellStyle name="20% - Accent2 4 6" xfId="3928" xr:uid="{7E3048FC-FA85-400A-99F7-4ECFBF2AB5C9}"/>
    <cellStyle name="20% - Accent2 4 7" xfId="1122" xr:uid="{96850C13-156E-412D-AC4A-FD68D2988A32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2 2 2" xfId="2416" xr:uid="{08D7AD03-4246-42A9-87AC-8FB692304725}"/>
    <cellStyle name="20% - Accent2 5 2 2 3" xfId="2921" xr:uid="{46F776F0-F6A0-4C66-B25A-A61DEF9B695A}"/>
    <cellStyle name="20% - Accent2 5 2 2 4" xfId="3934" xr:uid="{B993F394-C86F-42B1-BFFD-F8AE568BD667}"/>
    <cellStyle name="20% - Accent2 5 2 2 5" xfId="1128" xr:uid="{5465D04C-3AEF-4D35-9922-32513CD3F4A6}"/>
    <cellStyle name="20% - Accent2 5 2 3" xfId="2197" xr:uid="{F57ABBCF-E660-4B7D-940F-34E3040F132D}"/>
    <cellStyle name="20% - Accent2 5 2 4" xfId="2702" xr:uid="{F90C92EB-0269-46D6-B3C0-D487A142BF96}"/>
    <cellStyle name="20% - Accent2 5 2 5" xfId="3933" xr:uid="{83E05F73-A67D-419A-9A12-0D9B5F662D43}"/>
    <cellStyle name="20% - Accent2 5 2 6" xfId="1127" xr:uid="{C4DA9F33-8BD9-4F71-9D2A-5A2FB3740A69}"/>
    <cellStyle name="20% - Accent2 5 3" xfId="80" xr:uid="{7D4E7CFD-BC5D-43BD-A4E3-FB3118B12FD5}"/>
    <cellStyle name="20% - Accent2 5 3 2" xfId="2306" xr:uid="{F207981D-89D9-49FC-8B1D-C4C227CDE7D3}"/>
    <cellStyle name="20% - Accent2 5 3 3" xfId="2811" xr:uid="{62431764-9D25-4B38-8D7F-D518D292DDBA}"/>
    <cellStyle name="20% - Accent2 5 3 4" xfId="3935" xr:uid="{CA6B1409-C8C6-4459-A3DA-85937C3160D5}"/>
    <cellStyle name="20% - Accent2 5 3 5" xfId="1129" xr:uid="{C3DB1B6B-5062-4CA5-B854-03CEBB1F0082}"/>
    <cellStyle name="20% - Accent2 5 4" xfId="2075" xr:uid="{367DCB1A-F3AE-4C75-9ADE-8596D9C1ED34}"/>
    <cellStyle name="20% - Accent2 5 5" xfId="2592" xr:uid="{4B0953C6-A2C5-407E-9CF2-1999DA21432A}"/>
    <cellStyle name="20% - Accent2 5 6" xfId="3932" xr:uid="{DB7B5E5F-9444-4925-836D-4A2C9F5600F6}"/>
    <cellStyle name="20% - Accent2 5 7" xfId="1126" xr:uid="{8DB488D7-B18F-4B4E-B33E-70D45559C1CF}"/>
    <cellStyle name="20% - Accent2 6" xfId="81" xr:uid="{22237C09-BE89-4E4F-8E35-32B2192A6E41}"/>
    <cellStyle name="20% - Accent2 6 2" xfId="82" xr:uid="{43D901A5-C3C5-47F2-80AB-DAAA3E3E7EA2}"/>
    <cellStyle name="20% - Accent2 6 2 2" xfId="2370" xr:uid="{AC554BA5-F968-4DDC-91D1-2B499994CF6A}"/>
    <cellStyle name="20% - Accent2 6 2 3" xfId="2875" xr:uid="{7FC2F528-0DC4-4527-8B12-A7B8DA0ADA61}"/>
    <cellStyle name="20% - Accent2 6 2 4" xfId="3937" xr:uid="{14235AF9-D262-4483-8E19-829FD1719C8F}"/>
    <cellStyle name="20% - Accent2 6 2 5" xfId="1131" xr:uid="{433041F3-2B02-4424-B482-14CFD04741D2}"/>
    <cellStyle name="20% - Accent2 6 3" xfId="2149" xr:uid="{2941EA11-5477-469E-B72D-7FD12E9E7F31}"/>
    <cellStyle name="20% - Accent2 6 4" xfId="2656" xr:uid="{C5837959-CF05-465F-9C38-7608F470B56D}"/>
    <cellStyle name="20% - Accent2 6 5" xfId="3936" xr:uid="{B21FE145-EED8-4CC5-8784-0AE807FA5D5E}"/>
    <cellStyle name="20% - Accent2 6 6" xfId="1130" xr:uid="{8882C08E-B68A-400C-9086-65D40037F0F3}"/>
    <cellStyle name="20% - Accent2 7" xfId="83" xr:uid="{E967E575-DDD1-416D-B2C6-DD2EE53D1FD7}"/>
    <cellStyle name="20% - Accent2 7 2" xfId="84" xr:uid="{A2970169-0F62-4ACA-AF43-831E258D563F}"/>
    <cellStyle name="20% - Accent2 7 2 2" xfId="1133" xr:uid="{19D88604-59DE-4216-B4F9-F258A264A086}"/>
    <cellStyle name="20% - Accent2 7 3" xfId="2260" xr:uid="{87510325-FB30-4356-A323-B9A4E0A9F141}"/>
    <cellStyle name="20% - Accent2 7 4" xfId="2765" xr:uid="{DB92E2C4-5F51-40B6-95C6-649965E494E7}"/>
    <cellStyle name="20% - Accent2 7 5" xfId="3938" xr:uid="{527A8C32-656E-40AC-94DD-C0B047D8820E}"/>
    <cellStyle name="20% - Accent2 7 6" xfId="1132" xr:uid="{EC6745CF-CCCA-41B8-8D6B-07500CBD5292}"/>
    <cellStyle name="20% - Accent2 8" xfId="2027" xr:uid="{AC3551DB-9BB5-48B9-A2B6-973149AC0452}"/>
    <cellStyle name="20% - Accent2 8 2" xfId="2546" xr:uid="{A986DF36-DC34-4626-A88C-3F3B97BBE6FD}"/>
    <cellStyle name="20% - Accent2 8 3" xfId="3939" xr:uid="{64FE0630-4A84-4530-A75F-186ABDD76B60}"/>
    <cellStyle name="20% - Accent2 9" xfId="2494" xr:uid="{2B65FFEF-A7AB-417B-981F-7230E79411F6}"/>
    <cellStyle name="20% - Accent3" xfId="1039" builtinId="38" customBuiltin="1"/>
    <cellStyle name="20% - Accent3 10" xfId="3940" xr:uid="{C5822EF3-C887-4CFC-8EAD-855597BE7DD0}"/>
    <cellStyle name="20% - Accent3 2" xfId="85" xr:uid="{C1D89D31-A64A-4931-9BF2-099D9535940F}"/>
    <cellStyle name="20% - Accent3 2 10" xfId="1134" xr:uid="{3740F974-D5C6-4341-9187-0617DA794E1B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2 2 2" xfId="1138" xr:uid="{C1C69CF5-C667-4AE9-99C1-52B9976EDC7F}"/>
    <cellStyle name="20% - Accent3 2 2 2 2 3" xfId="1137" xr:uid="{006BC47A-0242-4BF6-BB43-CCC6E9B39D44}"/>
    <cellStyle name="20% - Accent3 2 2 2 3" xfId="90" xr:uid="{B7125913-5576-41E4-AC0B-86ABB0911581}"/>
    <cellStyle name="20% - Accent3 2 2 2 3 2" xfId="1139" xr:uid="{470ADBBB-52E6-424C-A77D-B8795972FCB5}"/>
    <cellStyle name="20% - Accent3 2 2 2 4" xfId="3188" xr:uid="{92D22379-8E96-4536-B53F-43F42308217E}"/>
    <cellStyle name="20% - Accent3 2 2 2 5" xfId="1136" xr:uid="{AE1B3882-38A7-4C6A-A73F-EF9D3F93E082}"/>
    <cellStyle name="20% - Accent3 2 2 3" xfId="91" xr:uid="{10A9E037-A1B2-408E-AFEA-D065DC60D38C}"/>
    <cellStyle name="20% - Accent3 2 2 3 2" xfId="92" xr:uid="{0F0EB2F4-F9C3-42F6-8151-9D1F230EE4B5}"/>
    <cellStyle name="20% - Accent3 2 2 3 2 2" xfId="1141" xr:uid="{27B0CB29-13B4-4C77-9C54-BBDED6B2033E}"/>
    <cellStyle name="20% - Accent3 2 2 3 3" xfId="3384" xr:uid="{60ECC52E-0390-4106-A7EE-C14A00AB59BD}"/>
    <cellStyle name="20% - Accent3 2 2 3 4" xfId="1140" xr:uid="{5464675A-09DF-4B58-9A2F-03F51E4B6784}"/>
    <cellStyle name="20% - Accent3 2 2 4" xfId="93" xr:uid="{DD2ECE43-93A4-4ADA-A8B0-DA2E2E088019}"/>
    <cellStyle name="20% - Accent3 2 2 4 2" xfId="1142" xr:uid="{741D0D99-FC77-423A-B979-24432605A750}"/>
    <cellStyle name="20% - Accent3 2 2 5" xfId="3061" xr:uid="{0F567267-978C-4D96-9488-980E964D907D}"/>
    <cellStyle name="20% - Accent3 2 2 6" xfId="1135" xr:uid="{8D0CFB70-A123-40CD-A05D-3AF9BCC1E5D0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2 2 2" xfId="1145" xr:uid="{DEF1E041-376F-4306-B303-19C538C87EF1}"/>
    <cellStyle name="20% - Accent3 2 3 2 3" xfId="3216" xr:uid="{23B232B0-99F1-443B-9718-2ABE66866444}"/>
    <cellStyle name="20% - Accent3 2 3 2 4" xfId="1144" xr:uid="{AACEE7CB-3E3A-4A29-BFFF-E16CE536C057}"/>
    <cellStyle name="20% - Accent3 2 3 3" xfId="97" xr:uid="{B4590507-E60C-41FD-B818-3574350D107D}"/>
    <cellStyle name="20% - Accent3 2 3 3 2" xfId="1146" xr:uid="{070C5AAE-7568-40FD-9D59-2C2CC54A7F97}"/>
    <cellStyle name="20% - Accent3 2 3 4" xfId="2994" xr:uid="{9CD9FFF9-E4A1-40CE-8CA0-104E1CAA854F}"/>
    <cellStyle name="20% - Accent3 2 3 5" xfId="1143" xr:uid="{3ADD9616-FD7C-4483-8FE2-5C4CA7587C79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2 2 2" xfId="1149" xr:uid="{1BEEAC74-A787-48D1-9ACF-CBE52A84314E}"/>
    <cellStyle name="20% - Accent3 2 4 2 3" xfId="1148" xr:uid="{EFD3D969-5B6A-47DB-86C8-061A9F0E1AEF}"/>
    <cellStyle name="20% - Accent3 2 4 3" xfId="101" xr:uid="{826CE6AF-95AD-4615-85DB-C319CD372777}"/>
    <cellStyle name="20% - Accent3 2 4 3 2" xfId="1150" xr:uid="{D130ED5C-1DD4-4390-86F1-85676F305113}"/>
    <cellStyle name="20% - Accent3 2 4 4" xfId="3077" xr:uid="{FCA50E5F-2A3B-4EB5-AE1E-C46F03930D0D}"/>
    <cellStyle name="20% - Accent3 2 4 5" xfId="1147" xr:uid="{352C0288-9300-42AD-B429-D522020C7EDD}"/>
    <cellStyle name="20% - Accent3 2 5" xfId="102" xr:uid="{4099871A-0779-4E7E-83E9-B7F9ED2E58CA}"/>
    <cellStyle name="20% - Accent3 2 5 2" xfId="103" xr:uid="{B3BC5D0B-BC38-448D-9423-F584A89AEC4B}"/>
    <cellStyle name="20% - Accent3 2 5 2 2" xfId="1152" xr:uid="{93EB7642-8816-4AC8-B991-AADA955E656F}"/>
    <cellStyle name="20% - Accent3 2 5 3" xfId="3565" xr:uid="{F16EAF69-BC18-4432-82A9-A53D76117615}"/>
    <cellStyle name="20% - Accent3 2 5 4" xfId="1151" xr:uid="{FB742BA5-DFD2-46F2-B4E4-675A6EC812BA}"/>
    <cellStyle name="20% - Accent3 2 6" xfId="104" xr:uid="{3DFCD6B4-4223-4D84-BE4D-F61DF549F95B}"/>
    <cellStyle name="20% - Accent3 2 6 2" xfId="105" xr:uid="{243FC673-335E-49CE-B62B-9EB7812BE798}"/>
    <cellStyle name="20% - Accent3 2 6 2 2" xfId="1154" xr:uid="{BB7F9C99-4051-424A-A0F4-2865FA837EFD}"/>
    <cellStyle name="20% - Accent3 2 6 3" xfId="3031" xr:uid="{0A06A76F-EAF4-4E1B-8CF3-53C3B8FF1DD2}"/>
    <cellStyle name="20% - Accent3 2 6 4" xfId="1153" xr:uid="{C25B5754-9455-4374-A72E-3C82826FC09B}"/>
    <cellStyle name="20% - Accent3 2 7" xfId="106" xr:uid="{DF7D5641-1181-4297-B5BC-0093C49A119F}"/>
    <cellStyle name="20% - Accent3 2 7 2" xfId="1155" xr:uid="{C9D2585B-6D8E-4B59-BA7A-643439FC962B}"/>
    <cellStyle name="20% - Accent3 2 8" xfId="1924" xr:uid="{90CFADC3-4531-4D79-A5BC-CD1F8FD75FFF}"/>
    <cellStyle name="20% - Accent3 2 9" xfId="3941" xr:uid="{9360886D-ABAA-47BA-A09B-2A22AA8B7F23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2 2 2" xfId="2437" xr:uid="{CA1DD949-89E5-4E76-88C2-376E9C6E81B8}"/>
    <cellStyle name="20% - Accent3 3 2 2 2 3" xfId="2942" xr:uid="{0DC2BB59-5738-449E-94A5-23F982281AF7}"/>
    <cellStyle name="20% - Accent3 3 2 2 2 4" xfId="3945" xr:uid="{25C54879-8E9D-499C-8691-AF84E3AB92F0}"/>
    <cellStyle name="20% - Accent3 3 2 2 2 5" xfId="1159" xr:uid="{837BCEBB-3B5C-4053-9E9F-913F04910983}"/>
    <cellStyle name="20% - Accent3 3 2 2 3" xfId="2218" xr:uid="{FB5963F0-FBCF-4F33-97C6-5CA2077EC674}"/>
    <cellStyle name="20% - Accent3 3 2 2 3 2" xfId="3721" xr:uid="{7FD9F2A1-3902-4FDA-AC6B-D5D0A4C11612}"/>
    <cellStyle name="20% - Accent3 3 2 2 4" xfId="2723" xr:uid="{56D22424-6BA5-4C60-805F-75BA88FCDAF8}"/>
    <cellStyle name="20% - Accent3 3 2 2 5" xfId="3944" xr:uid="{60057EAA-D050-4BBB-8800-6E9482E09C95}"/>
    <cellStyle name="20% - Accent3 3 2 2 6" xfId="1158" xr:uid="{E1AD45F9-01D8-4986-9468-3D2087978E1C}"/>
    <cellStyle name="20% - Accent3 3 2 3" xfId="111" xr:uid="{153224D8-4C0E-4CD5-96EF-05BD44E1B201}"/>
    <cellStyle name="20% - Accent3 3 2 3 2" xfId="2327" xr:uid="{FA4723E4-DC56-4EA5-8156-EAF2A3447C2A}"/>
    <cellStyle name="20% - Accent3 3 2 3 3" xfId="2832" xr:uid="{5AB8D5A2-732C-4382-A99E-BAAA1B499BDD}"/>
    <cellStyle name="20% - Accent3 3 2 3 4" xfId="3946" xr:uid="{BE530212-D200-4B5B-9A61-4DE3E2B70CC7}"/>
    <cellStyle name="20% - Accent3 3 2 3 5" xfId="1160" xr:uid="{AFBDD8AB-4B1A-4E44-A2C9-FD394D448EA7}"/>
    <cellStyle name="20% - Accent3 3 2 4" xfId="2101" xr:uid="{124B42CD-6F70-419A-8AD2-016D63802F51}"/>
    <cellStyle name="20% - Accent3 3 2 4 2" xfId="3720" xr:uid="{B866B186-77CD-4527-B187-27FA10A63FEE}"/>
    <cellStyle name="20% - Accent3 3 2 5" xfId="2613" xr:uid="{7C926AA5-079A-43B0-99CA-E6D85551A484}"/>
    <cellStyle name="20% - Accent3 3 2 6" xfId="3943" xr:uid="{51881CC3-DBD1-4B0D-8570-91C120C45C6B}"/>
    <cellStyle name="20% - Accent3 3 2 7" xfId="1157" xr:uid="{FCDDEFD3-AA5B-4671-9256-350CD84DD658}"/>
    <cellStyle name="20% - Accent3 3 3" xfId="112" xr:uid="{B9CD084E-C0ED-4B83-A0CE-52ABE7B0A06E}"/>
    <cellStyle name="20% - Accent3 3 3 2" xfId="113" xr:uid="{038D385C-4F44-4FEF-BDF9-831303BAAC81}"/>
    <cellStyle name="20% - Accent3 3 3 2 2" xfId="2394" xr:uid="{07F2F790-D8B0-43EE-8883-44ED14EACDAF}"/>
    <cellStyle name="20% - Accent3 3 3 2 3" xfId="2899" xr:uid="{119FBD07-DBD8-4CB1-B60E-A64F1173F978}"/>
    <cellStyle name="20% - Accent3 3 3 2 4" xfId="3948" xr:uid="{2FA9DCC2-6ACB-472F-8B40-01A8B025D3BE}"/>
    <cellStyle name="20% - Accent3 3 3 2 5" xfId="1162" xr:uid="{DEA514D1-37BB-4821-A547-20F5C9FBB1B6}"/>
    <cellStyle name="20% - Accent3 3 3 3" xfId="2175" xr:uid="{8E5F05F7-57C8-48D7-AFD1-171A93CF2F67}"/>
    <cellStyle name="20% - Accent3 3 3 3 2" xfId="3722" xr:uid="{C348EDB2-3A65-4AAB-BD05-622404328AEF}"/>
    <cellStyle name="20% - Accent3 3 3 4" xfId="2680" xr:uid="{6D15EB8F-8090-40CF-99F0-392125CEBF26}"/>
    <cellStyle name="20% - Accent3 3 3 5" xfId="3947" xr:uid="{B2A56393-F25F-426A-AEFD-B9D77A468B49}"/>
    <cellStyle name="20% - Accent3 3 3 6" xfId="1161" xr:uid="{46004413-D820-44F9-944F-D246BEA8E66C}"/>
    <cellStyle name="20% - Accent3 3 4" xfId="114" xr:uid="{A5D50AF0-3C74-4E64-85A8-EED6DB808E5A}"/>
    <cellStyle name="20% - Accent3 3 4 2" xfId="2284" xr:uid="{CFAA1123-800A-4B1C-9B95-F6421E877292}"/>
    <cellStyle name="20% - Accent3 3 4 3" xfId="2789" xr:uid="{0D1F6576-C4F1-4330-BD74-050337770AAB}"/>
    <cellStyle name="20% - Accent3 3 4 4" xfId="3949" xr:uid="{DA6BAEC2-00EB-4A9C-9771-5125106B2D93}"/>
    <cellStyle name="20% - Accent3 3 4 5" xfId="1163" xr:uid="{8472E17A-5EA6-44B4-B20D-AC1DDF81B921}"/>
    <cellStyle name="20% - Accent3 3 5" xfId="2053" xr:uid="{256AF608-1BDF-47E4-9134-EEDE4203BAA7}"/>
    <cellStyle name="20% - Accent3 3 5 2" xfId="2570" xr:uid="{C4FCA3B8-DC31-4F34-83CA-609872005CA0}"/>
    <cellStyle name="20% - Accent3 3 5 3" xfId="3950" xr:uid="{EDF286B5-74B9-4C65-9A7F-7CEEA792718F}"/>
    <cellStyle name="20% - Accent3 3 6" xfId="2005" xr:uid="{515BDDB0-9D83-4302-95BB-D372135C38BF}"/>
    <cellStyle name="20% - Accent3 3 7" xfId="2529" xr:uid="{A6BC22FA-900C-43C8-88B3-E5B6637D6E1C}"/>
    <cellStyle name="20% - Accent3 3 8" xfId="3942" xr:uid="{1B8F583B-5AFD-4794-96EF-774BA406F6F7}"/>
    <cellStyle name="20% - Accent3 3 9" xfId="1156" xr:uid="{3B550B73-B634-4D34-A991-70BC66FE8EB5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2 2 2" xfId="2456" xr:uid="{380C3DB3-D201-4B94-861C-20D5E039B3F5}"/>
    <cellStyle name="20% - Accent3 4 2 2 3" xfId="2961" xr:uid="{7B623C00-EA69-45C6-BCF5-2A3631DFE35E}"/>
    <cellStyle name="20% - Accent3 4 2 2 4" xfId="3953" xr:uid="{F20737D3-9936-4038-A5A9-5313E78517A7}"/>
    <cellStyle name="20% - Accent3 4 2 2 5" xfId="1166" xr:uid="{8EDF7E3B-431A-48C5-8F95-94F5C43EAE0E}"/>
    <cellStyle name="20% - Accent3 4 2 3" xfId="2237" xr:uid="{AE4D58F4-F401-4E9E-8172-13B9856D3712}"/>
    <cellStyle name="20% - Accent3 4 2 3 2" xfId="3723" xr:uid="{177A6BCC-7013-4149-8DD3-2556C25FF74A}"/>
    <cellStyle name="20% - Accent3 4 2 4" xfId="2742" xr:uid="{12139104-3E6D-4AD2-89DF-5D63050760A3}"/>
    <cellStyle name="20% - Accent3 4 2 5" xfId="3952" xr:uid="{13FD3D17-BA7C-4796-A700-A8A97A68D537}"/>
    <cellStyle name="20% - Accent3 4 2 6" xfId="1165" xr:uid="{4072E75B-66F2-4F74-8F5C-7D2BB11CF78E}"/>
    <cellStyle name="20% - Accent3 4 3" xfId="118" xr:uid="{5C026BCF-5367-44D4-8FC1-75F6D18E8A62}"/>
    <cellStyle name="20% - Accent3 4 3 2" xfId="2346" xr:uid="{525B2AF7-B60E-4E38-A08C-39060D4B3F37}"/>
    <cellStyle name="20% - Accent3 4 3 2 2" xfId="3232" xr:uid="{30F57FFD-4A7D-4384-9F93-66E656F951F5}"/>
    <cellStyle name="20% - Accent3 4 3 3" xfId="2851" xr:uid="{70EAFCCF-B3B0-4326-A9CF-6D7FED2D3CC5}"/>
    <cellStyle name="20% - Accent3 4 3 4" xfId="3954" xr:uid="{C998CCD0-670D-493F-9794-536FE8DBD10E}"/>
    <cellStyle name="20% - Accent3 4 3 5" xfId="1167" xr:uid="{E280A139-CB06-4D58-BE9E-FA04E65C430D}"/>
    <cellStyle name="20% - Accent3 4 4" xfId="2120" xr:uid="{B3D58AA9-B3AB-446C-B189-8152FEF7D221}"/>
    <cellStyle name="20% - Accent3 4 4 2" xfId="3142" xr:uid="{07D34158-0D47-4270-8D9C-255984C7C241}"/>
    <cellStyle name="20% - Accent3 4 5" xfId="2632" xr:uid="{0A1384D8-6ED1-499A-BFC9-B34752DCBDC5}"/>
    <cellStyle name="20% - Accent3 4 6" xfId="3951" xr:uid="{8B66D301-7F4A-41EB-813E-C63971F1C0F7}"/>
    <cellStyle name="20% - Accent3 4 7" xfId="1164" xr:uid="{3DD5674A-6D9A-493B-A048-B215A6BD994C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2 2 2" xfId="2418" xr:uid="{A43072C0-98A1-4564-B4B0-10B80C43EBDE}"/>
    <cellStyle name="20% - Accent3 5 2 2 3" xfId="2923" xr:uid="{18AB9C10-3294-4937-9B43-30594DB28737}"/>
    <cellStyle name="20% - Accent3 5 2 2 4" xfId="3957" xr:uid="{457EE425-3421-46C0-A07F-87F60055DEC5}"/>
    <cellStyle name="20% - Accent3 5 2 2 5" xfId="1170" xr:uid="{2BC8AB99-C77D-4372-96E9-D54523ABAB4C}"/>
    <cellStyle name="20% - Accent3 5 2 3" xfId="2199" xr:uid="{39E6D0C5-6C02-4FC4-AED6-70FFD7FEB4BD}"/>
    <cellStyle name="20% - Accent3 5 2 4" xfId="2704" xr:uid="{61F27CF5-9730-4258-8E9E-76CCD99643FB}"/>
    <cellStyle name="20% - Accent3 5 2 5" xfId="3956" xr:uid="{8C4D9AD7-08AB-444E-B96D-C92A3D8C8534}"/>
    <cellStyle name="20% - Accent3 5 2 6" xfId="1169" xr:uid="{A143C1F3-7C45-40F6-815E-D76239392188}"/>
    <cellStyle name="20% - Accent3 5 3" xfId="122" xr:uid="{1E91EA4A-E022-44D7-86A9-A79352E38091}"/>
    <cellStyle name="20% - Accent3 5 3 2" xfId="2308" xr:uid="{411E25B0-2FF4-41B5-8A12-FBF67100A5FC}"/>
    <cellStyle name="20% - Accent3 5 3 3" xfId="2813" xr:uid="{AC42E392-A5A0-4C3A-8324-9573FB8E3F6E}"/>
    <cellStyle name="20% - Accent3 5 3 4" xfId="3958" xr:uid="{9FED78BE-AD5E-44EE-A294-C4C56ABE2E5A}"/>
    <cellStyle name="20% - Accent3 5 3 5" xfId="1171" xr:uid="{4DD5D3B7-D2A0-40F0-A080-0DF18B17C6E6}"/>
    <cellStyle name="20% - Accent3 5 4" xfId="2077" xr:uid="{0EE67343-800A-4932-998F-F35D248B9B1B}"/>
    <cellStyle name="20% - Accent3 5 5" xfId="2594" xr:uid="{EA1B4469-0536-4D84-9526-AC595A98A173}"/>
    <cellStyle name="20% - Accent3 5 6" xfId="3955" xr:uid="{73E8116D-63C3-436D-8236-9AFD1ADC1D74}"/>
    <cellStyle name="20% - Accent3 5 7" xfId="1168" xr:uid="{6AEEFB3D-3DD8-4633-84C2-50A85D700704}"/>
    <cellStyle name="20% - Accent3 6" xfId="123" xr:uid="{9276889E-8E59-4273-A464-A8AE33988C93}"/>
    <cellStyle name="20% - Accent3 6 2" xfId="124" xr:uid="{04EDD7CF-27B9-4D34-B71B-227C5BC5C838}"/>
    <cellStyle name="20% - Accent3 6 2 2" xfId="2372" xr:uid="{808FE4C5-7B1B-4C6B-A3F1-CE63FDBCF1EE}"/>
    <cellStyle name="20% - Accent3 6 2 3" xfId="2877" xr:uid="{0BBAFBEA-AC02-493E-9F1A-DC24226A8A5B}"/>
    <cellStyle name="20% - Accent3 6 2 4" xfId="3960" xr:uid="{9CDD0DA9-4EED-45E2-8B22-68F6AFC128ED}"/>
    <cellStyle name="20% - Accent3 6 2 5" xfId="1173" xr:uid="{E60E375A-9356-4DB1-B77E-9D263896CD06}"/>
    <cellStyle name="20% - Accent3 6 3" xfId="2151" xr:uid="{44640187-9632-4177-BFCF-1C6677F27DE7}"/>
    <cellStyle name="20% - Accent3 6 4" xfId="2658" xr:uid="{76B7822E-19AF-4E5F-881A-856F56DB06F8}"/>
    <cellStyle name="20% - Accent3 6 5" xfId="3959" xr:uid="{97646C5D-6F46-4A79-991B-53E463AFDFE9}"/>
    <cellStyle name="20% - Accent3 6 6" xfId="1172" xr:uid="{DA78A5F9-D4CF-4F2F-985D-7C492726A025}"/>
    <cellStyle name="20% - Accent3 7" xfId="125" xr:uid="{3AECE89B-3D1C-4B37-9CB3-5E13CAC0B49C}"/>
    <cellStyle name="20% - Accent3 7 2" xfId="126" xr:uid="{D34F51AF-A0AE-4C9D-90A6-BEC693580D29}"/>
    <cellStyle name="20% - Accent3 7 2 2" xfId="1175" xr:uid="{2D0A3EFB-7AD5-4194-AD34-95F126E17BA9}"/>
    <cellStyle name="20% - Accent3 7 3" xfId="2262" xr:uid="{6CF09DAF-F792-43AE-8888-EE2B5FE02744}"/>
    <cellStyle name="20% - Accent3 7 4" xfId="2767" xr:uid="{632AF202-D2FF-44D2-ADD3-2C8076A44224}"/>
    <cellStyle name="20% - Accent3 7 5" xfId="3961" xr:uid="{D12A6E51-7F05-4769-BD05-95997D719A8C}"/>
    <cellStyle name="20% - Accent3 7 6" xfId="1174" xr:uid="{FC39C729-D32E-4E16-84A0-3031029C300D}"/>
    <cellStyle name="20% - Accent3 8" xfId="2029" xr:uid="{FB8266DE-7240-4DE5-8E41-0DCAA777D97A}"/>
    <cellStyle name="20% - Accent3 8 2" xfId="2548" xr:uid="{EAA92B40-8F79-450F-9602-0473C164EE79}"/>
    <cellStyle name="20% - Accent3 8 3" xfId="3962" xr:uid="{37624295-B061-4597-B606-D9E811F618D4}"/>
    <cellStyle name="20% - Accent3 9" xfId="2496" xr:uid="{A909137B-EA76-4430-A58E-80B10909518C}"/>
    <cellStyle name="20% - Accent4" xfId="1042" builtinId="42" customBuiltin="1"/>
    <cellStyle name="20% - Accent4 10" xfId="3963" xr:uid="{D8DF782A-5F58-4F28-93CF-211895D5118A}"/>
    <cellStyle name="20% - Accent4 2" xfId="127" xr:uid="{6F252E6B-C1D5-4146-A7DF-AEE3465B354E}"/>
    <cellStyle name="20% - Accent4 2 10" xfId="1176" xr:uid="{B13751EA-9C1E-478A-A0BB-17B73446A637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2 2 2" xfId="1180" xr:uid="{342D0BCF-118E-416C-B014-3B9C6E6BC074}"/>
    <cellStyle name="20% - Accent4 2 2 2 2 3" xfId="1179" xr:uid="{6FC5DAD4-6769-4BD6-82CD-A4E6E0D53003}"/>
    <cellStyle name="20% - Accent4 2 2 2 3" xfId="132" xr:uid="{6BF44937-4509-40C1-B364-2E1132A4C706}"/>
    <cellStyle name="20% - Accent4 2 2 2 3 2" xfId="1181" xr:uid="{BA2401D2-D7EC-4864-B251-D2C447731183}"/>
    <cellStyle name="20% - Accent4 2 2 2 4" xfId="3190" xr:uid="{8AD4CA96-4C26-4A8E-818A-F6148A14ADF9}"/>
    <cellStyle name="20% - Accent4 2 2 2 5" xfId="1178" xr:uid="{041A7D9D-1130-4EC1-A2AC-5D509E12EDEB}"/>
    <cellStyle name="20% - Accent4 2 2 3" xfId="133" xr:uid="{3BBC5F0E-CADD-444A-8D75-ED294FCF82A9}"/>
    <cellStyle name="20% - Accent4 2 2 3 2" xfId="134" xr:uid="{B805CBE9-9F10-4E7A-9595-90643D01085C}"/>
    <cellStyle name="20% - Accent4 2 2 3 2 2" xfId="1183" xr:uid="{3D978CCA-E912-452E-9C61-6EC1BF7203E7}"/>
    <cellStyle name="20% - Accent4 2 2 3 3" xfId="3423" xr:uid="{6B081E85-DF92-40CF-BEFD-86D9955587BA}"/>
    <cellStyle name="20% - Accent4 2 2 3 4" xfId="1182" xr:uid="{A8D35E41-2B49-4413-8390-7B596E45A213}"/>
    <cellStyle name="20% - Accent4 2 2 4" xfId="135" xr:uid="{EAEECCD9-D7BC-4127-B19B-536027F0B459}"/>
    <cellStyle name="20% - Accent4 2 2 4 2" xfId="1184" xr:uid="{186ED7CD-A3B0-4353-A218-D0D268905231}"/>
    <cellStyle name="20% - Accent4 2 2 5" xfId="3119" xr:uid="{D2F6B6D9-44B8-4A2C-A648-26932011F680}"/>
    <cellStyle name="20% - Accent4 2 2 6" xfId="1177" xr:uid="{F5B6A01F-7544-47C3-AA7F-6D99950DD608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2 2 2" xfId="1187" xr:uid="{2384367F-AB17-4E43-9F22-E6DA756C5A2A}"/>
    <cellStyle name="20% - Accent4 2 3 2 3" xfId="3218" xr:uid="{52516DB5-5EC8-41A3-8B74-DD5C31242504}"/>
    <cellStyle name="20% - Accent4 2 3 2 4" xfId="1186" xr:uid="{9BE95909-66E4-4498-9297-3F49379075D1}"/>
    <cellStyle name="20% - Accent4 2 3 3" xfId="139" xr:uid="{65479BCD-170C-429D-B21C-9343CE2D0078}"/>
    <cellStyle name="20% - Accent4 2 3 3 2" xfId="1188" xr:uid="{FD281756-6254-4571-901C-F71699F0BE5A}"/>
    <cellStyle name="20% - Accent4 2 3 4" xfId="3092" xr:uid="{3891FECC-4797-4D00-9DC8-17F79298734C}"/>
    <cellStyle name="20% - Accent4 2 3 5" xfId="1185" xr:uid="{85328AFC-0AAE-4C6D-9F5E-ED6E59637776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2 2 2" xfId="1191" xr:uid="{574FDAA7-2C38-4E7F-A68A-B173CA4A1683}"/>
    <cellStyle name="20% - Accent4 2 4 2 3" xfId="1190" xr:uid="{A61A17B8-7813-4EF9-90DC-066DE30A93C1}"/>
    <cellStyle name="20% - Accent4 2 4 3" xfId="143" xr:uid="{96F15470-D07F-447B-A7AE-C39A098825C5}"/>
    <cellStyle name="20% - Accent4 2 4 3 2" xfId="1192" xr:uid="{B592810D-B666-441E-B6F2-AF25CCE7D8EB}"/>
    <cellStyle name="20% - Accent4 2 4 4" xfId="3103" xr:uid="{619E6E81-B73E-44EE-875D-D5A2D1A74DFF}"/>
    <cellStyle name="20% - Accent4 2 4 5" xfId="1189" xr:uid="{18A98D69-E35A-4E9D-BDE1-C3CCDC5428F5}"/>
    <cellStyle name="20% - Accent4 2 5" xfId="144" xr:uid="{2361583A-9289-4407-8AE8-2A4DF52DD5A4}"/>
    <cellStyle name="20% - Accent4 2 5 2" xfId="145" xr:uid="{7C5F27C5-55BE-4CCD-9A42-8BA5FE41A663}"/>
    <cellStyle name="20% - Accent4 2 5 2 2" xfId="1194" xr:uid="{625033C6-0D59-4CD6-BABA-B844F9227DDF}"/>
    <cellStyle name="20% - Accent4 2 5 3" xfId="3390" xr:uid="{FC2DCC1D-1016-4795-A70D-1CA6D979952A}"/>
    <cellStyle name="20% - Accent4 2 5 4" xfId="1193" xr:uid="{E01592B8-9DBE-4DD6-B413-3E5DA48E30BF}"/>
    <cellStyle name="20% - Accent4 2 6" xfId="146" xr:uid="{B7D85DAD-B7BE-4963-BF99-C08500D024D1}"/>
    <cellStyle name="20% - Accent4 2 6 2" xfId="147" xr:uid="{CD9F1B37-5784-4AC4-8F0D-9FC258AF452E}"/>
    <cellStyle name="20% - Accent4 2 6 2 2" xfId="1196" xr:uid="{ECEB54B5-0960-42C1-9C4F-A3F0B4A90FE6}"/>
    <cellStyle name="20% - Accent4 2 6 3" xfId="3047" xr:uid="{7FD0A9DC-2DBF-49DA-A088-D5F8A77362F6}"/>
    <cellStyle name="20% - Accent4 2 6 4" xfId="1195" xr:uid="{356E7958-B69F-4444-B2BB-7B061D3D1CE9}"/>
    <cellStyle name="20% - Accent4 2 7" xfId="148" xr:uid="{13D27386-34CB-424C-BA0C-3D688808ED93}"/>
    <cellStyle name="20% - Accent4 2 7 2" xfId="1197" xr:uid="{8BB96024-5AE9-45FA-BA82-94B8AEE2415C}"/>
    <cellStyle name="20% - Accent4 2 8" xfId="1925" xr:uid="{4C769C91-FE6F-4AD5-A275-0F8D6A65D74B}"/>
    <cellStyle name="20% - Accent4 2 9" xfId="3964" xr:uid="{3D3C118A-66EE-445C-A721-76D8EDAB6B4B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2 2 2" xfId="2439" xr:uid="{B240EFF9-3CB3-40C0-AEDA-ACC2CBE755FA}"/>
    <cellStyle name="20% - Accent4 3 2 2 2 3" xfId="2944" xr:uid="{0781E429-F38D-4B47-A312-B7D0B925FDC4}"/>
    <cellStyle name="20% - Accent4 3 2 2 2 4" xfId="3968" xr:uid="{50E97460-3BFD-4E23-9F33-38818243B060}"/>
    <cellStyle name="20% - Accent4 3 2 2 2 5" xfId="1201" xr:uid="{27E92CAD-7592-4C59-BFF4-367BD3BBA932}"/>
    <cellStyle name="20% - Accent4 3 2 2 3" xfId="2220" xr:uid="{133EECCD-F1DF-4FD2-B11E-C7091ED00C62}"/>
    <cellStyle name="20% - Accent4 3 2 2 3 2" xfId="3725" xr:uid="{F9F3BC0F-84AB-4D87-B352-6A5C7791E02C}"/>
    <cellStyle name="20% - Accent4 3 2 2 4" xfId="2725" xr:uid="{C298D5AB-1D7D-43E4-974C-8DA828AAA721}"/>
    <cellStyle name="20% - Accent4 3 2 2 5" xfId="3967" xr:uid="{DDEF52BD-4F0A-49A2-87B7-073DF980F761}"/>
    <cellStyle name="20% - Accent4 3 2 2 6" xfId="1200" xr:uid="{381A23C2-E62A-4345-9A45-5E6366CB0FC4}"/>
    <cellStyle name="20% - Accent4 3 2 3" xfId="153" xr:uid="{D1EC1766-09BC-4965-BC68-547AF19AC6E3}"/>
    <cellStyle name="20% - Accent4 3 2 3 2" xfId="2329" xr:uid="{E67369C4-8BF6-42A0-A097-CC91B3484C48}"/>
    <cellStyle name="20% - Accent4 3 2 3 3" xfId="2834" xr:uid="{23B5C974-5FC2-4BE5-ADE9-9E1944E029C7}"/>
    <cellStyle name="20% - Accent4 3 2 3 4" xfId="3969" xr:uid="{A46E2836-EABA-44E5-B64C-902CAF1D394C}"/>
    <cellStyle name="20% - Accent4 3 2 3 5" xfId="1202" xr:uid="{12A9A303-AE59-4881-83E6-EAA038CFFB06}"/>
    <cellStyle name="20% - Accent4 3 2 4" xfId="2103" xr:uid="{4B1BDD45-C34F-459F-ABAA-A709E2B85FF3}"/>
    <cellStyle name="20% - Accent4 3 2 4 2" xfId="3724" xr:uid="{1D12B21B-847F-4A4E-896F-09525C1D6D2C}"/>
    <cellStyle name="20% - Accent4 3 2 5" xfId="2615" xr:uid="{E76C1BC6-9C56-44E1-AFB2-49A0EBC0B3AF}"/>
    <cellStyle name="20% - Accent4 3 2 6" xfId="3966" xr:uid="{B30CB774-D84B-4016-B9B7-9F8B40B94355}"/>
    <cellStyle name="20% - Accent4 3 2 7" xfId="1199" xr:uid="{F74DA5C4-4AC3-4014-B16B-CC1221775A86}"/>
    <cellStyle name="20% - Accent4 3 3" xfId="154" xr:uid="{BD53A6F4-6246-4A40-8E09-3116F6D7607E}"/>
    <cellStyle name="20% - Accent4 3 3 2" xfId="155" xr:uid="{04B5C08A-9BF6-4A73-B132-630C4CF3A406}"/>
    <cellStyle name="20% - Accent4 3 3 2 2" xfId="2396" xr:uid="{924AFF20-9C59-477F-8D72-03780B3A0FED}"/>
    <cellStyle name="20% - Accent4 3 3 2 3" xfId="2901" xr:uid="{41AF8BF6-6D73-48A9-B80D-8FAFB26D4591}"/>
    <cellStyle name="20% - Accent4 3 3 2 4" xfId="3971" xr:uid="{866E34C1-AB1E-4122-8987-380C58E0CC55}"/>
    <cellStyle name="20% - Accent4 3 3 2 5" xfId="1204" xr:uid="{B99ED74D-A0FE-4FCC-A034-6E7529CCC12B}"/>
    <cellStyle name="20% - Accent4 3 3 3" xfId="2177" xr:uid="{96B0C7E1-2605-4161-85D5-6F6BFA1A45FC}"/>
    <cellStyle name="20% - Accent4 3 3 3 2" xfId="3726" xr:uid="{97E652F0-378D-4115-A538-4C2F9EA45D24}"/>
    <cellStyle name="20% - Accent4 3 3 4" xfId="2682" xr:uid="{2C3D9DCB-320F-4CEF-84A2-03BF3F82F63A}"/>
    <cellStyle name="20% - Accent4 3 3 5" xfId="3970" xr:uid="{37C24E06-60EE-47B9-AE00-0A4F772B935E}"/>
    <cellStyle name="20% - Accent4 3 3 6" xfId="1203" xr:uid="{4FCB92EF-D34D-4145-BA7D-090C4A03E68B}"/>
    <cellStyle name="20% - Accent4 3 4" xfId="156" xr:uid="{6AD688DC-1241-44F8-88F5-FB0F738D0BB4}"/>
    <cellStyle name="20% - Accent4 3 4 2" xfId="2286" xr:uid="{EF5C3F08-7BC6-44B9-BBDB-B20A71DDB2FA}"/>
    <cellStyle name="20% - Accent4 3 4 3" xfId="2791" xr:uid="{5EB62EF7-F5DF-4DA1-B24E-EFC80BF8003D}"/>
    <cellStyle name="20% - Accent4 3 4 4" xfId="3972" xr:uid="{1B362ED7-9F39-46C5-8758-DA56345AF720}"/>
    <cellStyle name="20% - Accent4 3 4 5" xfId="1205" xr:uid="{22C41DC0-B8D2-460C-A746-DD736DA3B270}"/>
    <cellStyle name="20% - Accent4 3 5" xfId="2055" xr:uid="{E9B5A779-F8AB-40FD-921E-E885E9F0C77F}"/>
    <cellStyle name="20% - Accent4 3 5 2" xfId="2572" xr:uid="{8FFEC53C-544F-4D4B-B7F2-5BDEB037C0BA}"/>
    <cellStyle name="20% - Accent4 3 5 3" xfId="3973" xr:uid="{7A67C9CE-B07B-4AD1-92F6-BFA3D5C7ADDF}"/>
    <cellStyle name="20% - Accent4 3 6" xfId="2007" xr:uid="{5A8ADC69-5992-47FE-B999-43BBF592380F}"/>
    <cellStyle name="20% - Accent4 3 7" xfId="2531" xr:uid="{973FE42A-2293-44B0-BC6E-41A73371656A}"/>
    <cellStyle name="20% - Accent4 3 8" xfId="3965" xr:uid="{CF6506FC-1B21-401F-A4A5-CC1D4DDFF7C4}"/>
    <cellStyle name="20% - Accent4 3 9" xfId="1198" xr:uid="{CD78CA03-C46E-4E6C-AC23-A50AD8885977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2 2 2" xfId="2458" xr:uid="{A7477652-87AA-4DDA-A11F-87E9ACE14669}"/>
    <cellStyle name="20% - Accent4 4 2 2 3" xfId="2963" xr:uid="{4B2F771D-CA90-452E-8869-7E14A6F6D88C}"/>
    <cellStyle name="20% - Accent4 4 2 2 4" xfId="3976" xr:uid="{0AF9CCB1-C881-41D0-AA1B-207087B035F4}"/>
    <cellStyle name="20% - Accent4 4 2 2 5" xfId="1208" xr:uid="{1BE9989C-9077-43E8-BBEC-CA02505911A5}"/>
    <cellStyle name="20% - Accent4 4 2 3" xfId="2239" xr:uid="{346F21B6-2A4F-419F-8EA4-FE1638F90EE5}"/>
    <cellStyle name="20% - Accent4 4 2 3 2" xfId="3727" xr:uid="{F0DA9A31-5397-4E98-AF74-B810E395643A}"/>
    <cellStyle name="20% - Accent4 4 2 4" xfId="2744" xr:uid="{E48F8B6B-E18E-41EE-8568-42A1756D8445}"/>
    <cellStyle name="20% - Accent4 4 2 5" xfId="3975" xr:uid="{325BE4D8-FF8D-4DFF-9790-E5FC40D09992}"/>
    <cellStyle name="20% - Accent4 4 2 6" xfId="1207" xr:uid="{26661357-DC21-4485-9D42-AFA768AA2722}"/>
    <cellStyle name="20% - Accent4 4 3" xfId="160" xr:uid="{8468E94A-49EF-4D76-B755-9667CA20DFD4}"/>
    <cellStyle name="20% - Accent4 4 3 2" xfId="2348" xr:uid="{82EDCDBD-3F9D-412B-885B-11DE6439BC75}"/>
    <cellStyle name="20% - Accent4 4 3 2 2" xfId="3234" xr:uid="{2E2CF8B0-F971-4F5B-86A4-33E32956EF29}"/>
    <cellStyle name="20% - Accent4 4 3 3" xfId="2853" xr:uid="{681AA7D4-1EF1-4C97-BCC3-1A1492FD2C79}"/>
    <cellStyle name="20% - Accent4 4 3 4" xfId="3977" xr:uid="{6963DD49-630D-460F-AA2E-7CD9F2B6C79E}"/>
    <cellStyle name="20% - Accent4 4 3 5" xfId="1209" xr:uid="{A60FEAED-B127-43F8-8D5D-DBB0E439AF38}"/>
    <cellStyle name="20% - Accent4 4 4" xfId="2123" xr:uid="{6BD23008-0DF1-427A-B572-F4FEBB5CCD5A}"/>
    <cellStyle name="20% - Accent4 4 4 2" xfId="3024" xr:uid="{DCD2F3D4-378F-450F-A905-C292236E70A4}"/>
    <cellStyle name="20% - Accent4 4 5" xfId="2634" xr:uid="{3DE30BCC-9816-4E6E-B7A8-581FFABD2DFD}"/>
    <cellStyle name="20% - Accent4 4 6" xfId="3974" xr:uid="{504FCFDF-F157-4541-AF22-AC7BDB8CB775}"/>
    <cellStyle name="20% - Accent4 4 7" xfId="1206" xr:uid="{64717D88-4456-4B3B-89B4-B8B3A014C41D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2 2 2" xfId="2420" xr:uid="{9606B444-4C82-4537-82B0-C29975A909E7}"/>
    <cellStyle name="20% - Accent4 5 2 2 3" xfId="2925" xr:uid="{A4F09B3C-5BFA-42A0-B33C-9CEE7B9BD5F9}"/>
    <cellStyle name="20% - Accent4 5 2 2 4" xfId="3980" xr:uid="{17D47618-EA98-4FEB-A57B-0E22E5BAD620}"/>
    <cellStyle name="20% - Accent4 5 2 2 5" xfId="1212" xr:uid="{A5962758-F534-4010-A10E-828B9935510F}"/>
    <cellStyle name="20% - Accent4 5 2 3" xfId="2201" xr:uid="{C1C4A6E4-92B9-4F31-A894-31EB4BE2E896}"/>
    <cellStyle name="20% - Accent4 5 2 4" xfId="2706" xr:uid="{276ECCA8-F05F-49DE-B7BB-395E5356008E}"/>
    <cellStyle name="20% - Accent4 5 2 5" xfId="3979" xr:uid="{0476AA81-66D2-422B-ADEC-9C65A1DC7EC0}"/>
    <cellStyle name="20% - Accent4 5 2 6" xfId="1211" xr:uid="{3FA07712-F528-4890-AF5D-28E6FDE38A41}"/>
    <cellStyle name="20% - Accent4 5 3" xfId="164" xr:uid="{36A8BD4A-1F35-40FD-9630-854D3A3E164E}"/>
    <cellStyle name="20% - Accent4 5 3 2" xfId="2310" xr:uid="{5A37C0C5-AB1F-43E2-93EB-CF080EFDD68D}"/>
    <cellStyle name="20% - Accent4 5 3 3" xfId="2815" xr:uid="{E1E5F38D-F762-440A-8F88-506BE6332E29}"/>
    <cellStyle name="20% - Accent4 5 3 4" xfId="3981" xr:uid="{DFCCAF0F-AD5F-41D9-ACF0-1207D5980B89}"/>
    <cellStyle name="20% - Accent4 5 3 5" xfId="1213" xr:uid="{76823CCA-CBA5-4B68-A9B3-7A1439B222AC}"/>
    <cellStyle name="20% - Accent4 5 4" xfId="2079" xr:uid="{7083722D-21CA-445B-819B-BE605F9B4B92}"/>
    <cellStyle name="20% - Accent4 5 5" xfId="2596" xr:uid="{FA544C04-2855-4574-AD70-06E8A8EE8666}"/>
    <cellStyle name="20% - Accent4 5 6" xfId="3978" xr:uid="{60E6282C-DC35-4E53-A746-443B7E195BE3}"/>
    <cellStyle name="20% - Accent4 5 7" xfId="1210" xr:uid="{95B67360-695A-4744-9DF5-33B84606BE1D}"/>
    <cellStyle name="20% - Accent4 6" xfId="165" xr:uid="{7C12A55B-0156-41AD-AC65-AB142561D03F}"/>
    <cellStyle name="20% - Accent4 6 2" xfId="166" xr:uid="{5757D283-FAE5-439F-B3D9-AF1B42CAD711}"/>
    <cellStyle name="20% - Accent4 6 2 2" xfId="2374" xr:uid="{08383A4B-8FD5-4CF4-A7E6-4B06C18F12EA}"/>
    <cellStyle name="20% - Accent4 6 2 3" xfId="2879" xr:uid="{ACC8C6E1-FAD2-4630-B69C-2C86C5C7FDCB}"/>
    <cellStyle name="20% - Accent4 6 2 4" xfId="3983" xr:uid="{3C8BE4BE-D847-4122-89B4-BF80392CA938}"/>
    <cellStyle name="20% - Accent4 6 2 5" xfId="1215" xr:uid="{C9309EE7-97B7-4D53-A45E-3A08501EF924}"/>
    <cellStyle name="20% - Accent4 6 3" xfId="2153" xr:uid="{DBFC0BE7-1B5C-4EDE-9C26-EBA5496F3FDA}"/>
    <cellStyle name="20% - Accent4 6 4" xfId="2660" xr:uid="{9C0EB257-D5F2-4DE3-B274-52F78AFDEBB3}"/>
    <cellStyle name="20% - Accent4 6 5" xfId="3982" xr:uid="{4AC83394-0171-4573-B0AB-0DF77BCFACC6}"/>
    <cellStyle name="20% - Accent4 6 6" xfId="1214" xr:uid="{9135611E-8A60-4BF9-94DE-577F52D9DB15}"/>
    <cellStyle name="20% - Accent4 7" xfId="167" xr:uid="{383F3CBF-C2A4-4980-97D2-65758AF9B8FA}"/>
    <cellStyle name="20% - Accent4 7 2" xfId="168" xr:uid="{EE6224D7-EC37-46FC-90EA-9F50E45172AC}"/>
    <cellStyle name="20% - Accent4 7 2 2" xfId="1217" xr:uid="{ACEFF423-E5D7-4234-AEFF-21B797688479}"/>
    <cellStyle name="20% - Accent4 7 3" xfId="2264" xr:uid="{9E4D4936-8E9F-407F-8BAB-82AC06A56E8D}"/>
    <cellStyle name="20% - Accent4 7 4" xfId="2769" xr:uid="{1B323089-4209-49C1-99AE-D481460EEFFF}"/>
    <cellStyle name="20% - Accent4 7 5" xfId="3984" xr:uid="{D35D3A77-B17B-4E06-A6DA-3C436BF6A5FC}"/>
    <cellStyle name="20% - Accent4 7 6" xfId="1216" xr:uid="{2C1BA3D2-C163-4411-B72B-BF88CE908D30}"/>
    <cellStyle name="20% - Accent4 8" xfId="2031" xr:uid="{5D62474F-A449-4F3C-A1C6-072EF88A6AEB}"/>
    <cellStyle name="20% - Accent4 8 2" xfId="2550" xr:uid="{EEF29213-F3C5-4848-AF89-41E7C4F052FD}"/>
    <cellStyle name="20% - Accent4 8 3" xfId="3985" xr:uid="{C65A90A7-A7A0-4049-B029-7B726D02D9A6}"/>
    <cellStyle name="20% - Accent4 9" xfId="2498" xr:uid="{8D814AC8-FC04-47B7-8A09-70CB7B4CC77C}"/>
    <cellStyle name="20% - Accent5" xfId="1045" builtinId="46" customBuiltin="1"/>
    <cellStyle name="20% - Accent5 10" xfId="3986" xr:uid="{7E7EF884-F1DB-4FE3-BD2A-C4EECF79C521}"/>
    <cellStyle name="20% - Accent5 2" xfId="169" xr:uid="{24617419-08D2-479B-9B18-36945512B335}"/>
    <cellStyle name="20% - Accent5 2 10" xfId="1218" xr:uid="{675B6A8A-A3D8-4053-9C32-D5778F5E7C39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2 2 2" xfId="1222" xr:uid="{CCEEBEB0-F7EE-46DE-AAD6-2B2B6D350135}"/>
    <cellStyle name="20% - Accent5 2 2 2 2 3" xfId="1221" xr:uid="{F47C0D6D-290B-41C2-86F4-6AA59E29C455}"/>
    <cellStyle name="20% - Accent5 2 2 2 3" xfId="174" xr:uid="{6BD9DC75-5558-4D03-9656-3564A97EB146}"/>
    <cellStyle name="20% - Accent5 2 2 2 3 2" xfId="1223" xr:uid="{EBB3C2A5-E129-403B-BE13-213372B8EF1B}"/>
    <cellStyle name="20% - Accent5 2 2 2 4" xfId="3192" xr:uid="{03E93580-6BB3-49BC-AB96-9D6EB80CD437}"/>
    <cellStyle name="20% - Accent5 2 2 2 5" xfId="1220" xr:uid="{48BF16A7-D562-46C2-8CD9-5E8A58C2C516}"/>
    <cellStyle name="20% - Accent5 2 2 3" xfId="175" xr:uid="{FC602D45-3507-49FB-A1DE-E29FF75FB002}"/>
    <cellStyle name="20% - Accent5 2 2 3 2" xfId="176" xr:uid="{58A9FF09-4DD4-45B7-8832-17325360A466}"/>
    <cellStyle name="20% - Accent5 2 2 3 2 2" xfId="1225" xr:uid="{35801D0D-D222-406C-984A-AD2FBBA21BA6}"/>
    <cellStyle name="20% - Accent5 2 2 3 3" xfId="3363" xr:uid="{59C8AF71-6BC0-4AD3-B12C-9EB0BEAD0BAA}"/>
    <cellStyle name="20% - Accent5 2 2 3 4" xfId="1224" xr:uid="{1ED7B5EC-D254-4AC8-BA6A-45F1D41A57C1}"/>
    <cellStyle name="20% - Accent5 2 2 4" xfId="177" xr:uid="{CC587974-EAD5-43DB-87E1-209399EAF932}"/>
    <cellStyle name="20% - Accent5 2 2 4 2" xfId="1226" xr:uid="{7948D5DC-A9D7-469D-9F7C-DE34FBB8BEBF}"/>
    <cellStyle name="20% - Accent5 2 2 5" xfId="3083" xr:uid="{C668D581-C28C-4794-8117-3F5373C3C30E}"/>
    <cellStyle name="20% - Accent5 2 2 6" xfId="1219" xr:uid="{2A2ADD8D-CE2C-4A5B-ABDE-CC8CF95AD093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2 2 2" xfId="1229" xr:uid="{F8BABCF3-D618-49B6-BF6D-9FDC43C71A49}"/>
    <cellStyle name="20% - Accent5 2 3 2 3" xfId="3220" xr:uid="{307910D7-71C3-4529-9579-B80BF5BBE121}"/>
    <cellStyle name="20% - Accent5 2 3 2 4" xfId="1228" xr:uid="{8B3B4FAF-A76A-4885-B5DA-7874B78DC46C}"/>
    <cellStyle name="20% - Accent5 2 3 3" xfId="181" xr:uid="{C5C6DFE8-57D9-4522-ACCD-834E7BF49FF5}"/>
    <cellStyle name="20% - Accent5 2 3 3 2" xfId="1230" xr:uid="{CB9F24A4-8259-4AFF-BADB-0B7B115C0956}"/>
    <cellStyle name="20% - Accent5 2 3 4" xfId="3055" xr:uid="{0F0F65DE-E7DB-4C0C-95F4-2A118DE2980E}"/>
    <cellStyle name="20% - Accent5 2 3 5" xfId="1227" xr:uid="{893DA084-8DCB-4CF2-8CBE-EAEBCDB2C32F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2 2 2" xfId="1233" xr:uid="{F8EAF585-81DB-430D-A31F-00C329A8AE83}"/>
    <cellStyle name="20% - Accent5 2 4 2 3" xfId="1232" xr:uid="{BE24F1AC-6A3C-4087-8FA5-30BB7C5E2041}"/>
    <cellStyle name="20% - Accent5 2 4 3" xfId="185" xr:uid="{1CA06B35-E07A-46C3-A518-259C1FBC3122}"/>
    <cellStyle name="20% - Accent5 2 4 3 2" xfId="1234" xr:uid="{F7BB4E2E-623D-426A-B4FD-84912CDE7FF6}"/>
    <cellStyle name="20% - Accent5 2 4 4" xfId="3068" xr:uid="{F91B444D-7BA9-4CD1-AD6B-D1E28039DD8E}"/>
    <cellStyle name="20% - Accent5 2 4 5" xfId="1231" xr:uid="{C5C18741-60CE-4AD2-9768-5AA263A6266C}"/>
    <cellStyle name="20% - Accent5 2 5" xfId="186" xr:uid="{791FC132-8C16-4823-A457-7BE811B53C9E}"/>
    <cellStyle name="20% - Accent5 2 5 2" xfId="187" xr:uid="{972653D4-B8BE-4089-8089-90E5B01D5566}"/>
    <cellStyle name="20% - Accent5 2 5 2 2" xfId="1236" xr:uid="{10CE6360-21C3-4F53-A8F9-9C6CBA369EEA}"/>
    <cellStyle name="20% - Accent5 2 5 3" xfId="3307" xr:uid="{2B1B94A2-4163-491C-B3C1-95FB53C7A7B7}"/>
    <cellStyle name="20% - Accent5 2 5 4" xfId="1235" xr:uid="{557B152E-A7A3-4511-A9BC-655AA864EC74}"/>
    <cellStyle name="20% - Accent5 2 6" xfId="188" xr:uid="{1ADAD278-6136-4846-9E71-45A9ABA8D9AC}"/>
    <cellStyle name="20% - Accent5 2 6 2" xfId="189" xr:uid="{22356EAA-C913-4C5C-8383-8FE0DCD55975}"/>
    <cellStyle name="20% - Accent5 2 6 2 2" xfId="1238" xr:uid="{6A120FC8-B664-45E2-9273-1C1B7C9CA455}"/>
    <cellStyle name="20% - Accent5 2 6 3" xfId="3058" xr:uid="{A167F09D-1183-4ADC-8F1F-4B31819135A2}"/>
    <cellStyle name="20% - Accent5 2 6 4" xfId="1237" xr:uid="{91106FE2-17FB-4D1C-94E8-EFA8DF7F62AA}"/>
    <cellStyle name="20% - Accent5 2 7" xfId="190" xr:uid="{55BC07F6-2D33-47D2-9F6F-735001AC9F99}"/>
    <cellStyle name="20% - Accent5 2 7 2" xfId="1239" xr:uid="{9F5F1598-C8D8-4CF7-A0DF-2EB5D180B9DA}"/>
    <cellStyle name="20% - Accent5 2 8" xfId="1926" xr:uid="{76AB45C4-52CF-4285-BDCA-771B79CDEBB0}"/>
    <cellStyle name="20% - Accent5 2 9" xfId="3987" xr:uid="{0D12D0A6-85A0-4458-B684-6FA90DEFBD3E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2 2 2" xfId="2441" xr:uid="{CCC09759-A675-4308-BF6B-32AEFC3633E2}"/>
    <cellStyle name="20% - Accent5 3 2 2 2 3" xfId="2946" xr:uid="{66B215CA-EFD6-417A-85DB-DE79042234B4}"/>
    <cellStyle name="20% - Accent5 3 2 2 2 4" xfId="3991" xr:uid="{61C75DE0-D409-45C1-9211-221FCC0892BC}"/>
    <cellStyle name="20% - Accent5 3 2 2 2 5" xfId="1243" xr:uid="{9CD360FC-FCD9-48F3-BDA9-B96267BBAF8D}"/>
    <cellStyle name="20% - Accent5 3 2 2 3" xfId="2222" xr:uid="{42AE04D0-E948-4E2C-86D0-88C066E2FAFB}"/>
    <cellStyle name="20% - Accent5 3 2 2 3 2" xfId="3729" xr:uid="{992F1E84-B98D-46D2-9E87-965E11CD0804}"/>
    <cellStyle name="20% - Accent5 3 2 2 4" xfId="2727" xr:uid="{C7BEBC1C-05AD-4565-898C-F2EE0DC31C3C}"/>
    <cellStyle name="20% - Accent5 3 2 2 5" xfId="3990" xr:uid="{622B7CEA-C34E-4300-8878-7A403B43778E}"/>
    <cellStyle name="20% - Accent5 3 2 2 6" xfId="1242" xr:uid="{A1DA338B-B25C-444F-94A9-D4F37E73D885}"/>
    <cellStyle name="20% - Accent5 3 2 3" xfId="195" xr:uid="{DF45CF19-E2B1-4591-A3B9-E1E81E2B6FFB}"/>
    <cellStyle name="20% - Accent5 3 2 3 2" xfId="2331" xr:uid="{1E8A3DB8-0556-44B6-9E28-95DAD9EE2E71}"/>
    <cellStyle name="20% - Accent5 3 2 3 3" xfId="2836" xr:uid="{97A30ADA-D313-49B8-9B47-B7C8969BE8F8}"/>
    <cellStyle name="20% - Accent5 3 2 3 4" xfId="3992" xr:uid="{1142FCAF-5F2C-4E9F-861D-03347A28DE30}"/>
    <cellStyle name="20% - Accent5 3 2 3 5" xfId="1244" xr:uid="{FDAFC6F6-1DBE-4908-92D3-EEED1334C40A}"/>
    <cellStyle name="20% - Accent5 3 2 4" xfId="2105" xr:uid="{A65E36D4-7CC8-41E1-AB86-D062BB0E38FC}"/>
    <cellStyle name="20% - Accent5 3 2 4 2" xfId="3728" xr:uid="{84EFC784-6149-48CE-9B5E-104C55910E22}"/>
    <cellStyle name="20% - Accent5 3 2 5" xfId="2617" xr:uid="{32CB928A-86E8-47A0-956C-E62D15C7A517}"/>
    <cellStyle name="20% - Accent5 3 2 6" xfId="3989" xr:uid="{58432B34-179D-421C-8633-FF81699261F6}"/>
    <cellStyle name="20% - Accent5 3 2 7" xfId="1241" xr:uid="{34AD8549-76FB-452D-81F3-6A23EE1AC400}"/>
    <cellStyle name="20% - Accent5 3 3" xfId="196" xr:uid="{6802D7DE-4604-45E7-8B0A-6D995E754FF0}"/>
    <cellStyle name="20% - Accent5 3 3 2" xfId="197" xr:uid="{35D0C6B7-12E8-45AD-86F8-0F8FDBEB9312}"/>
    <cellStyle name="20% - Accent5 3 3 2 2" xfId="2398" xr:uid="{501AEF35-B6DC-4657-96D5-F7F8C916BC3D}"/>
    <cellStyle name="20% - Accent5 3 3 2 3" xfId="2903" xr:uid="{E8D9DCEC-1AD5-42A6-B32D-44E6951F56BB}"/>
    <cellStyle name="20% - Accent5 3 3 2 4" xfId="3994" xr:uid="{53586374-EC58-4919-B57E-84D73936857D}"/>
    <cellStyle name="20% - Accent5 3 3 2 5" xfId="1246" xr:uid="{3BA66AD5-8AD0-490C-A946-0A38A3EBA1F5}"/>
    <cellStyle name="20% - Accent5 3 3 3" xfId="2179" xr:uid="{FD11A209-B4D7-4476-85E1-4F18DDAAEEDC}"/>
    <cellStyle name="20% - Accent5 3 3 3 2" xfId="3730" xr:uid="{9CE06029-A02E-4C49-80A4-F117B1D08DD8}"/>
    <cellStyle name="20% - Accent5 3 3 4" xfId="2684" xr:uid="{8116B3F3-F62E-4379-87D8-BD5B42F8A743}"/>
    <cellStyle name="20% - Accent5 3 3 5" xfId="3993" xr:uid="{E9587D20-4F34-45D6-997C-1088C30E75B5}"/>
    <cellStyle name="20% - Accent5 3 3 6" xfId="1245" xr:uid="{EA261692-B7D7-4E87-BA76-F44CFCA43392}"/>
    <cellStyle name="20% - Accent5 3 4" xfId="198" xr:uid="{3A2C23E3-5098-4841-8620-60A4BC635EC2}"/>
    <cellStyle name="20% - Accent5 3 4 2" xfId="2288" xr:uid="{5FF9FA66-F67D-4387-A86D-43AAC1E181ED}"/>
    <cellStyle name="20% - Accent5 3 4 3" xfId="2793" xr:uid="{EC6C0FE2-AC6F-44F3-BC25-3818F10A2362}"/>
    <cellStyle name="20% - Accent5 3 4 4" xfId="3995" xr:uid="{312F73C9-2A46-4892-8E3D-BA0E36CA1905}"/>
    <cellStyle name="20% - Accent5 3 4 5" xfId="1247" xr:uid="{22D20004-6A55-4615-8C08-FC7AF55D42B7}"/>
    <cellStyle name="20% - Accent5 3 5" xfId="2057" xr:uid="{3D7C580E-CA5A-493D-AA4A-B7B688106926}"/>
    <cellStyle name="20% - Accent5 3 5 2" xfId="2574" xr:uid="{B3AC0F10-071C-4072-A762-97DFF6217290}"/>
    <cellStyle name="20% - Accent5 3 5 3" xfId="3996" xr:uid="{B4297251-4556-4B26-8236-787626EE7944}"/>
    <cellStyle name="20% - Accent5 3 6" xfId="2009" xr:uid="{55347A95-046C-4AAD-A44C-DF7AFB6BD142}"/>
    <cellStyle name="20% - Accent5 3 7" xfId="2533" xr:uid="{A939F24A-2458-4734-A67E-EAC375418276}"/>
    <cellStyle name="20% - Accent5 3 8" xfId="3988" xr:uid="{96476B89-78B0-493F-A4F3-37E47656D4C3}"/>
    <cellStyle name="20% - Accent5 3 9" xfId="1240" xr:uid="{AF860C6B-F006-4078-B242-31F0CDFB3BD4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2 2 2" xfId="2460" xr:uid="{A6958F61-E0E4-4798-B466-44ACE66D4DB9}"/>
    <cellStyle name="20% - Accent5 4 2 2 3" xfId="2965" xr:uid="{FCA2A2A3-92C3-4884-8056-B5DB356476F4}"/>
    <cellStyle name="20% - Accent5 4 2 2 4" xfId="3999" xr:uid="{926667CB-E5AF-42A8-91D1-15EC7157309B}"/>
    <cellStyle name="20% - Accent5 4 2 2 5" xfId="1250" xr:uid="{3491DA4F-3159-41B1-8A9F-D489565B5E25}"/>
    <cellStyle name="20% - Accent5 4 2 3" xfId="2241" xr:uid="{0F63D01E-648E-4BF9-904F-07DA87779C48}"/>
    <cellStyle name="20% - Accent5 4 2 3 2" xfId="3731" xr:uid="{4D4788F6-39C7-48CA-B36C-A651BB03E33E}"/>
    <cellStyle name="20% - Accent5 4 2 4" xfId="2746" xr:uid="{EA04C28B-5D61-4406-BD43-6309CD565DEE}"/>
    <cellStyle name="20% - Accent5 4 2 5" xfId="3998" xr:uid="{7ABC1124-F54F-4243-A993-8796EECB78E7}"/>
    <cellStyle name="20% - Accent5 4 2 6" xfId="1249" xr:uid="{85928129-C9DF-48F4-8BE2-6E787B5AD73D}"/>
    <cellStyle name="20% - Accent5 4 3" xfId="202" xr:uid="{27B5E4E5-5DD8-41B4-977D-6B7A14C31919}"/>
    <cellStyle name="20% - Accent5 4 3 2" xfId="2350" xr:uid="{21AA5C86-9A10-4C50-B59B-D18D8BA5B161}"/>
    <cellStyle name="20% - Accent5 4 3 2 2" xfId="3236" xr:uid="{7A6C9A52-26A7-4C67-9A12-2EEB8E11D86E}"/>
    <cellStyle name="20% - Accent5 4 3 3" xfId="2855" xr:uid="{7789A764-F70B-4DCD-B9DC-3161A3540438}"/>
    <cellStyle name="20% - Accent5 4 3 4" xfId="4000" xr:uid="{3736BD49-AE6C-4A98-881C-7BE40B3ED05C}"/>
    <cellStyle name="20% - Accent5 4 3 5" xfId="1251" xr:uid="{F39D934F-5DA5-40A7-AC18-AC9E01DFA026}"/>
    <cellStyle name="20% - Accent5 4 4" xfId="2125" xr:uid="{E875775A-E24C-44F1-A098-EBE03C3F9035}"/>
    <cellStyle name="20% - Accent5 4 4 2" xfId="2509" xr:uid="{DD1E0E58-E415-4C83-BD21-1A62E0864C69}"/>
    <cellStyle name="20% - Accent5 4 5" xfId="2636" xr:uid="{0E4575CD-55EF-4A53-9937-FB6C6C5C22F8}"/>
    <cellStyle name="20% - Accent5 4 6" xfId="3997" xr:uid="{EC608D0A-8797-4C9F-9AEC-600FF50F5716}"/>
    <cellStyle name="20% - Accent5 4 7" xfId="1248" xr:uid="{A736195C-99E6-4FE8-B877-AF4C20BD75A8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2 2 2" xfId="2422" xr:uid="{918DF562-20BE-4D3B-8C38-81D82BB19BF5}"/>
    <cellStyle name="20% - Accent5 5 2 2 3" xfId="2927" xr:uid="{C2A32368-750E-4808-8B52-A2BAEEE91BEE}"/>
    <cellStyle name="20% - Accent5 5 2 2 4" xfId="4003" xr:uid="{9439A7CB-9F1A-4A8D-BF34-680688C8976D}"/>
    <cellStyle name="20% - Accent5 5 2 2 5" xfId="1254" xr:uid="{88BFD722-C2E4-40EB-A7B3-985A5AC26920}"/>
    <cellStyle name="20% - Accent5 5 2 3" xfId="2203" xr:uid="{8DACE8F3-51B2-4107-9230-1A0A6A93036D}"/>
    <cellStyle name="20% - Accent5 5 2 4" xfId="2708" xr:uid="{99A1573E-FB20-49EB-A850-1F26CA76FCAE}"/>
    <cellStyle name="20% - Accent5 5 2 5" xfId="4002" xr:uid="{07B8943C-DA45-4B8E-9708-F71B63CBB6B5}"/>
    <cellStyle name="20% - Accent5 5 2 6" xfId="1253" xr:uid="{917C4639-A47B-48C4-AD31-08D3CB675DB2}"/>
    <cellStyle name="20% - Accent5 5 3" xfId="206" xr:uid="{15852968-FA1A-49AF-B363-04FFAEC8C114}"/>
    <cellStyle name="20% - Accent5 5 3 2" xfId="2312" xr:uid="{BF08D3EE-6575-4234-A172-6BF48171252F}"/>
    <cellStyle name="20% - Accent5 5 3 3" xfId="2817" xr:uid="{B8BA8C28-4C47-4A0E-B859-ED514C68DB56}"/>
    <cellStyle name="20% - Accent5 5 3 4" xfId="4004" xr:uid="{04CFF704-D4FF-425E-93B6-3E7C9FF4D862}"/>
    <cellStyle name="20% - Accent5 5 3 5" xfId="1255" xr:uid="{A2F7D72B-0ED6-473B-AF36-2038B1693AD9}"/>
    <cellStyle name="20% - Accent5 5 4" xfId="2081" xr:uid="{011B6AB1-E498-417B-A40F-52FCA8BB92C7}"/>
    <cellStyle name="20% - Accent5 5 5" xfId="2598" xr:uid="{C1AC528F-5F64-4A29-B13F-AC283B6342BC}"/>
    <cellStyle name="20% - Accent5 5 6" xfId="4001" xr:uid="{F1D3C338-C54B-4162-A153-A4F4396BF387}"/>
    <cellStyle name="20% - Accent5 5 7" xfId="1252" xr:uid="{0BDD3293-7F39-45D4-96BF-7FDDE1686694}"/>
    <cellStyle name="20% - Accent5 6" xfId="207" xr:uid="{3B347272-4A8E-4B5E-8E59-B018A1E8407A}"/>
    <cellStyle name="20% - Accent5 6 2" xfId="208" xr:uid="{E3FBC8CF-01A1-4BE8-98E0-E0F3F6C98ED5}"/>
    <cellStyle name="20% - Accent5 6 2 2" xfId="2376" xr:uid="{EF6C159E-0857-41D6-90CF-408EEEC3B90F}"/>
    <cellStyle name="20% - Accent5 6 2 3" xfId="2881" xr:uid="{647EAE51-A492-4E73-8112-BD9DAE732144}"/>
    <cellStyle name="20% - Accent5 6 2 4" xfId="4006" xr:uid="{D7651838-5C6E-409E-A81F-8AB6183FC81F}"/>
    <cellStyle name="20% - Accent5 6 2 5" xfId="1257" xr:uid="{F9AA5537-F5D7-49EF-871B-3ABBEEF4604E}"/>
    <cellStyle name="20% - Accent5 6 3" xfId="2155" xr:uid="{C5EC86C2-10D7-448B-9508-2DB5E784D2FA}"/>
    <cellStyle name="20% - Accent5 6 4" xfId="2662" xr:uid="{7CF14983-D90C-40E9-9C77-2A64D6D03229}"/>
    <cellStyle name="20% - Accent5 6 5" xfId="4005" xr:uid="{B2CC0285-70EA-49ED-95CE-DC05E7CE9BC3}"/>
    <cellStyle name="20% - Accent5 6 6" xfId="1256" xr:uid="{9C6723B8-3AA1-4F04-891F-74903AE10614}"/>
    <cellStyle name="20% - Accent5 7" xfId="209" xr:uid="{D1A74165-20A5-412F-880E-1E3E12681512}"/>
    <cellStyle name="20% - Accent5 7 2" xfId="210" xr:uid="{95230AA6-5975-4556-9B67-C6DC9B99C511}"/>
    <cellStyle name="20% - Accent5 7 2 2" xfId="1259" xr:uid="{A53B7AC0-0DD3-44E2-81F1-A0F71C206C72}"/>
    <cellStyle name="20% - Accent5 7 3" xfId="2266" xr:uid="{D311F0DE-92E8-4995-9C98-60334C803A2E}"/>
    <cellStyle name="20% - Accent5 7 4" xfId="2771" xr:uid="{8DA396B5-407E-4A7E-AF31-709D95AABE33}"/>
    <cellStyle name="20% - Accent5 7 5" xfId="4007" xr:uid="{3F14CE71-8C1E-401D-8D7B-A04961398F3E}"/>
    <cellStyle name="20% - Accent5 7 6" xfId="1258" xr:uid="{72BF7931-70BC-4F71-8B3C-36B2DAB6AFEE}"/>
    <cellStyle name="20% - Accent5 8" xfId="2033" xr:uid="{0A6475B0-E8D1-42DD-89E9-A5F858DD7257}"/>
    <cellStyle name="20% - Accent5 8 2" xfId="2552" xr:uid="{673BDD39-4B09-4249-B982-6B9C15943BEF}"/>
    <cellStyle name="20% - Accent5 8 3" xfId="4008" xr:uid="{12D2261F-A52D-46FD-82FD-42CFBBC04CD9}"/>
    <cellStyle name="20% - Accent5 9" xfId="2500" xr:uid="{EAD9AAAB-721B-4780-A2D8-2023A9879D37}"/>
    <cellStyle name="20% - Accent6" xfId="1048" builtinId="50" customBuiltin="1"/>
    <cellStyle name="20% - Accent6 10" xfId="4009" xr:uid="{8CD68D0D-3800-43CA-846B-BCAC4C44582D}"/>
    <cellStyle name="20% - Accent6 2" xfId="211" xr:uid="{A7DE9E4A-09FB-4A28-8372-AEE9D537D578}"/>
    <cellStyle name="20% - Accent6 2 10" xfId="1260" xr:uid="{A5070270-E52E-4076-B825-D67AADBAB8FE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2 2 2" xfId="1264" xr:uid="{6C9BC78C-D1BE-465C-8EB4-0F41E6F753EB}"/>
    <cellStyle name="20% - Accent6 2 2 2 2 3" xfId="1263" xr:uid="{D718FA7A-D023-4D6F-8B43-6534BDA94C41}"/>
    <cellStyle name="20% - Accent6 2 2 2 3" xfId="216" xr:uid="{77C4630A-E5F5-4DB4-AA39-1FB7E3F657E5}"/>
    <cellStyle name="20% - Accent6 2 2 2 3 2" xfId="1265" xr:uid="{73D4306C-F5D8-4138-B0FC-4E07AAFF1E8E}"/>
    <cellStyle name="20% - Accent6 2 2 2 4" xfId="3194" xr:uid="{C373A2EE-8CE5-466E-BEDC-FF7FBCFD6647}"/>
    <cellStyle name="20% - Accent6 2 2 2 5" xfId="1262" xr:uid="{6645C7F5-E32A-41ED-8734-CB6C6425F9D7}"/>
    <cellStyle name="20% - Accent6 2 2 3" xfId="217" xr:uid="{505F7625-9546-4B27-A21D-5BDFFF7B86DE}"/>
    <cellStyle name="20% - Accent6 2 2 3 2" xfId="218" xr:uid="{EF891727-30E3-4F26-B98C-6D57577C89AE}"/>
    <cellStyle name="20% - Accent6 2 2 3 2 2" xfId="1267" xr:uid="{541EB686-18A9-4673-9D06-4FDCBD93A0E3}"/>
    <cellStyle name="20% - Accent6 2 2 3 3" xfId="3535" xr:uid="{358B2925-BA23-4E08-B652-9451F220C309}"/>
    <cellStyle name="20% - Accent6 2 2 3 4" xfId="1266" xr:uid="{34EB30E6-7F77-4505-8909-AC7ED9132A21}"/>
    <cellStyle name="20% - Accent6 2 2 4" xfId="219" xr:uid="{612A2DB5-4CAF-4AF0-A530-559A8D4308FE}"/>
    <cellStyle name="20% - Accent6 2 2 4 2" xfId="1268" xr:uid="{B669E376-61F2-4AED-8E49-DCBEDD515370}"/>
    <cellStyle name="20% - Accent6 2 2 5" xfId="3108" xr:uid="{0F543729-3BFE-4F35-BECE-5C60CA4378D0}"/>
    <cellStyle name="20% - Accent6 2 2 6" xfId="1261" xr:uid="{1FBB4072-68D8-4663-9CF7-BA35B7661C79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2 2 2" xfId="1271" xr:uid="{279A6B69-77F9-420F-A7F5-C710488B4E02}"/>
    <cellStyle name="20% - Accent6 2 3 2 3" xfId="3222" xr:uid="{91849E05-E67D-4625-A836-73A82F6A7661}"/>
    <cellStyle name="20% - Accent6 2 3 2 4" xfId="1270" xr:uid="{12EF56D0-2973-4D5B-86F5-867507B0BB0F}"/>
    <cellStyle name="20% - Accent6 2 3 3" xfId="223" xr:uid="{47559E48-956C-4E6A-894F-B7C3B5D0057A}"/>
    <cellStyle name="20% - Accent6 2 3 3 2" xfId="1272" xr:uid="{0F7A430E-8F96-4508-8E8D-6C2057BCBB70}"/>
    <cellStyle name="20% - Accent6 2 3 4" xfId="3158" xr:uid="{CA7FB1FA-0B3B-4395-A2FE-039BD72FA511}"/>
    <cellStyle name="20% - Accent6 2 3 5" xfId="1269" xr:uid="{743FBA07-2DD8-4019-ACEA-2FCFF1CC6B78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2 2 2" xfId="1275" xr:uid="{33E91045-90B6-430B-9B6A-54A945268FCD}"/>
    <cellStyle name="20% - Accent6 2 4 2 3" xfId="1274" xr:uid="{C36AD2BA-13C0-43F2-A2C5-8F2896D06D94}"/>
    <cellStyle name="20% - Accent6 2 4 3" xfId="227" xr:uid="{E4A0CB5D-B2A3-4C28-B05C-7097D4A4D0DD}"/>
    <cellStyle name="20% - Accent6 2 4 3 2" xfId="1276" xr:uid="{50D704C7-9C4D-4B28-A36D-11692C2CCA41}"/>
    <cellStyle name="20% - Accent6 2 4 4" xfId="2992" xr:uid="{4B78EEBC-8114-42BC-8237-B6D084D39050}"/>
    <cellStyle name="20% - Accent6 2 4 5" xfId="1273" xr:uid="{C6887CCD-6C71-4049-9D93-2E4B8FBEDA56}"/>
    <cellStyle name="20% - Accent6 2 5" xfId="228" xr:uid="{54FFED0F-1832-4481-803A-E9B80938EF66}"/>
    <cellStyle name="20% - Accent6 2 5 2" xfId="229" xr:uid="{FA1CB3DE-BFE6-451B-8271-A81A040142CF}"/>
    <cellStyle name="20% - Accent6 2 5 2 2" xfId="1278" xr:uid="{E45CD275-A43E-4508-B106-384631F2277F}"/>
    <cellStyle name="20% - Accent6 2 5 3" xfId="3360" xr:uid="{290B677D-14F8-45D1-9D54-CC9CA1A80440}"/>
    <cellStyle name="20% - Accent6 2 5 4" xfId="1277" xr:uid="{B2012CCC-B02A-4B18-A7B7-FA9311D609D1}"/>
    <cellStyle name="20% - Accent6 2 6" xfId="230" xr:uid="{2FCCED9E-B857-44AD-A77F-73B1AA4B7192}"/>
    <cellStyle name="20% - Accent6 2 6 2" xfId="231" xr:uid="{562EF24D-5D80-4D0F-B172-32C3C86F18E9}"/>
    <cellStyle name="20% - Accent6 2 6 2 2" xfId="1280" xr:uid="{1835156A-3A52-47AC-9255-C6D548760FB2}"/>
    <cellStyle name="20% - Accent6 2 6 3" xfId="3086" xr:uid="{13187D57-A694-46E1-8043-0216DBD80EF5}"/>
    <cellStyle name="20% - Accent6 2 6 4" xfId="1279" xr:uid="{7C7140F8-9C08-4615-A964-6EE1E4DA8A8D}"/>
    <cellStyle name="20% - Accent6 2 7" xfId="232" xr:uid="{F980843A-E4E5-4F70-B5D5-EB516EB72A57}"/>
    <cellStyle name="20% - Accent6 2 7 2" xfId="1281" xr:uid="{49F6CF6E-3D11-451D-B68D-1A873CC1082F}"/>
    <cellStyle name="20% - Accent6 2 8" xfId="1927" xr:uid="{A8EAF0EB-9318-491D-92D3-33FE6D4978B4}"/>
    <cellStyle name="20% - Accent6 2 9" xfId="4010" xr:uid="{85F160D3-710D-4E3E-AD0C-5288CAABA180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2 2 2" xfId="2443" xr:uid="{E5508414-F7B8-4580-BE2B-A1349368A605}"/>
    <cellStyle name="20% - Accent6 3 2 2 2 3" xfId="2948" xr:uid="{51758E63-CB65-4689-9F4A-705A40B9BB8E}"/>
    <cellStyle name="20% - Accent6 3 2 2 2 4" xfId="4014" xr:uid="{B92261CF-5ECA-44B0-AC93-0766ABAC681E}"/>
    <cellStyle name="20% - Accent6 3 2 2 2 5" xfId="1285" xr:uid="{8A810F72-BB78-4A8E-A142-2FE3DD6CB288}"/>
    <cellStyle name="20% - Accent6 3 2 2 3" xfId="2224" xr:uid="{F1071CFF-7C6F-4CC1-AAFC-9751E69964EF}"/>
    <cellStyle name="20% - Accent6 3 2 2 3 2" xfId="3733" xr:uid="{DF46BEC5-842A-439B-9BD0-B59FCF2B8D81}"/>
    <cellStyle name="20% - Accent6 3 2 2 4" xfId="2729" xr:uid="{55C964ED-6031-4FE9-9BD8-EC55EAEB3CF1}"/>
    <cellStyle name="20% - Accent6 3 2 2 5" xfId="4013" xr:uid="{90CFA339-877F-41CD-8DB3-ECBA8B200A50}"/>
    <cellStyle name="20% - Accent6 3 2 2 6" xfId="1284" xr:uid="{7237846F-6ADC-42F2-A789-BC9008E23657}"/>
    <cellStyle name="20% - Accent6 3 2 3" xfId="237" xr:uid="{8D315B0F-CFC3-4B74-BA7A-3A2700984CF4}"/>
    <cellStyle name="20% - Accent6 3 2 3 2" xfId="2333" xr:uid="{B699C510-7120-4A77-8AFB-9D5C5BFDC0AF}"/>
    <cellStyle name="20% - Accent6 3 2 3 3" xfId="2838" xr:uid="{856B47C5-4EA9-4B7B-B8C0-9DDB515FF37B}"/>
    <cellStyle name="20% - Accent6 3 2 3 4" xfId="4015" xr:uid="{AF45049E-DEE3-4699-816D-81CC8CC74FF1}"/>
    <cellStyle name="20% - Accent6 3 2 3 5" xfId="1286" xr:uid="{ECD68296-B643-4D48-AC9B-F83144563305}"/>
    <cellStyle name="20% - Accent6 3 2 4" xfId="2107" xr:uid="{A7C6CB5F-B76D-4F2D-80E6-2E67F0AD7AD0}"/>
    <cellStyle name="20% - Accent6 3 2 4 2" xfId="3732" xr:uid="{982E46DF-5CB8-4CE9-95D2-FA3C5AC8C25B}"/>
    <cellStyle name="20% - Accent6 3 2 5" xfId="2619" xr:uid="{26BAED24-690C-4935-9BE1-8D900AA204A0}"/>
    <cellStyle name="20% - Accent6 3 2 6" xfId="4012" xr:uid="{20507BA4-C2F3-49C3-9FDE-44DFC51B9EDD}"/>
    <cellStyle name="20% - Accent6 3 2 7" xfId="1283" xr:uid="{BF8F9C2D-4AD1-4CCA-BAB4-E1A583D73FFC}"/>
    <cellStyle name="20% - Accent6 3 3" xfId="238" xr:uid="{1209D388-3077-4568-BD81-75C9DD442709}"/>
    <cellStyle name="20% - Accent6 3 3 2" xfId="239" xr:uid="{82357551-57F7-4DF8-9971-96727CEC30BC}"/>
    <cellStyle name="20% - Accent6 3 3 2 2" xfId="2400" xr:uid="{BC0ECAAF-E4A6-451D-AE39-F1BBBF99C4EA}"/>
    <cellStyle name="20% - Accent6 3 3 2 3" xfId="2905" xr:uid="{B9E8F7A3-E17D-4FB8-ABC6-D2357BA0C822}"/>
    <cellStyle name="20% - Accent6 3 3 2 4" xfId="4017" xr:uid="{FB3EC363-DBA6-464B-90EF-959E860A24D9}"/>
    <cellStyle name="20% - Accent6 3 3 2 5" xfId="1288" xr:uid="{F528652E-6878-4E14-8F59-0554AF710691}"/>
    <cellStyle name="20% - Accent6 3 3 3" xfId="2181" xr:uid="{67A8FFB6-848E-4B63-A7E9-2969613FAAD1}"/>
    <cellStyle name="20% - Accent6 3 3 3 2" xfId="3734" xr:uid="{322CAD23-2E58-401D-BAEB-CD867F446095}"/>
    <cellStyle name="20% - Accent6 3 3 4" xfId="2686" xr:uid="{BDB998FD-7513-4E47-8F9B-1B678209F4FE}"/>
    <cellStyle name="20% - Accent6 3 3 5" xfId="4016" xr:uid="{8AC126D2-850B-4E11-AF3C-6B54C3A79553}"/>
    <cellStyle name="20% - Accent6 3 3 6" xfId="1287" xr:uid="{5458E812-F718-4694-8357-2AC46BCA7339}"/>
    <cellStyle name="20% - Accent6 3 4" xfId="240" xr:uid="{B336D7C0-D9B0-44CC-AF87-8A6CDDA2A2FE}"/>
    <cellStyle name="20% - Accent6 3 4 2" xfId="2290" xr:uid="{6372E370-1F2C-49D0-9621-1B1E8D3981F4}"/>
    <cellStyle name="20% - Accent6 3 4 3" xfId="2795" xr:uid="{42A4FFCC-F19B-4915-A1E2-7B5225370056}"/>
    <cellStyle name="20% - Accent6 3 4 4" xfId="4018" xr:uid="{241187A3-694B-4E52-9513-9EF3CD7A70E8}"/>
    <cellStyle name="20% - Accent6 3 4 5" xfId="1289" xr:uid="{F3302664-9221-45F1-9F15-A207D88CB21E}"/>
    <cellStyle name="20% - Accent6 3 5" xfId="2059" xr:uid="{663C24F4-E8B8-45A7-ABC7-7784626E8C5B}"/>
    <cellStyle name="20% - Accent6 3 5 2" xfId="2576" xr:uid="{0A394927-E8C0-434D-9BC2-FFE3D1783A1A}"/>
    <cellStyle name="20% - Accent6 3 5 3" xfId="4019" xr:uid="{74539EFD-BD81-4FE1-999B-2B4971F543A9}"/>
    <cellStyle name="20% - Accent6 3 6" xfId="2011" xr:uid="{150183D5-A931-4B1E-8F3E-F9CC82665B10}"/>
    <cellStyle name="20% - Accent6 3 7" xfId="2535" xr:uid="{ECFB747D-834C-4491-AB83-84E1BBE0FC55}"/>
    <cellStyle name="20% - Accent6 3 8" xfId="4011" xr:uid="{6B2E2BEE-2C2A-4070-BFB7-2D4190037317}"/>
    <cellStyle name="20% - Accent6 3 9" xfId="1282" xr:uid="{11EAA940-6739-4DAA-B605-692A37081C82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2 2 2" xfId="2462" xr:uid="{5E4744F1-0D2B-4244-B048-9D0E8A95BA52}"/>
    <cellStyle name="20% - Accent6 4 2 2 3" xfId="2967" xr:uid="{71473637-F602-41C8-B60D-0AE2C3B02386}"/>
    <cellStyle name="20% - Accent6 4 2 2 4" xfId="4022" xr:uid="{5919BDF6-43B1-4355-A831-8157EC31CC04}"/>
    <cellStyle name="20% - Accent6 4 2 2 5" xfId="1292" xr:uid="{D374F899-1CEC-4DFD-8D35-B56B4BC9C3EC}"/>
    <cellStyle name="20% - Accent6 4 2 3" xfId="2243" xr:uid="{5100EE03-10C8-4604-90ED-1B9AE5208D8B}"/>
    <cellStyle name="20% - Accent6 4 2 3 2" xfId="3735" xr:uid="{8AE046CD-E175-4BCB-9F32-14F8EAA416D7}"/>
    <cellStyle name="20% - Accent6 4 2 4" xfId="2748" xr:uid="{C5B5F8E4-16B3-49C1-A1AE-D98FFEE59EC9}"/>
    <cellStyle name="20% - Accent6 4 2 5" xfId="4021" xr:uid="{4EAD12BA-7936-4254-B7F5-083EB41D35FC}"/>
    <cellStyle name="20% - Accent6 4 2 6" xfId="1291" xr:uid="{99AB9BE5-EEC1-4852-BACC-6DF28EFB8353}"/>
    <cellStyle name="20% - Accent6 4 3" xfId="244" xr:uid="{A352790D-5F34-4974-BA14-05B9B1104C61}"/>
    <cellStyle name="20% - Accent6 4 3 2" xfId="2352" xr:uid="{26C7E111-66C0-4F38-A044-F4721315573C}"/>
    <cellStyle name="20% - Accent6 4 3 2 2" xfId="3238" xr:uid="{8D3B49B4-019F-4852-A865-DE2B357F740E}"/>
    <cellStyle name="20% - Accent6 4 3 3" xfId="2857" xr:uid="{83766DF5-D0F8-4005-905B-E6F9B063FA39}"/>
    <cellStyle name="20% - Accent6 4 3 4" xfId="4023" xr:uid="{CFA8A4A5-2392-490A-BF38-BBBE11C96264}"/>
    <cellStyle name="20% - Accent6 4 3 5" xfId="1293" xr:uid="{6917CEF8-FA13-41B4-B57E-76A924713972}"/>
    <cellStyle name="20% - Accent6 4 4" xfId="2127" xr:uid="{64FC0BBD-1490-4C17-84FF-B174D0CE5108}"/>
    <cellStyle name="20% - Accent6 4 4 2" xfId="3170" xr:uid="{43C236D1-B6ED-4BAE-A011-CBC99A1E14D8}"/>
    <cellStyle name="20% - Accent6 4 5" xfId="2638" xr:uid="{FCC0B2E0-22B1-4D49-A80B-781B91A5DDE1}"/>
    <cellStyle name="20% - Accent6 4 6" xfId="4020" xr:uid="{32251A4B-4A6E-476D-9DC3-C254F66DFB09}"/>
    <cellStyle name="20% - Accent6 4 7" xfId="1290" xr:uid="{9A0599C0-BB2F-4618-B678-67EC822256AC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2 2 2" xfId="2424" xr:uid="{28CBACBF-5AE3-4768-969E-1D77030BE0A6}"/>
    <cellStyle name="20% - Accent6 5 2 2 3" xfId="2929" xr:uid="{7D1147AB-5C03-4F63-9737-C08F9ADB1AEF}"/>
    <cellStyle name="20% - Accent6 5 2 2 4" xfId="4026" xr:uid="{896B2F21-DEE3-4939-A65E-E67EC52090EC}"/>
    <cellStyle name="20% - Accent6 5 2 2 5" xfId="1296" xr:uid="{B9432448-E0AC-42E0-ACD4-9F9839CCFB9D}"/>
    <cellStyle name="20% - Accent6 5 2 3" xfId="2205" xr:uid="{EB4831C2-BC5A-407F-BEA8-034450D0E6CE}"/>
    <cellStyle name="20% - Accent6 5 2 4" xfId="2710" xr:uid="{6629AF43-5514-48DF-ADD3-B502848A078B}"/>
    <cellStyle name="20% - Accent6 5 2 5" xfId="4025" xr:uid="{D4AF59A9-08BB-4542-94EC-5F3BCD9A0E2F}"/>
    <cellStyle name="20% - Accent6 5 2 6" xfId="1295" xr:uid="{7CF12DFA-1DCC-4CEA-AC5C-4EF9C82051E5}"/>
    <cellStyle name="20% - Accent6 5 3" xfId="248" xr:uid="{0BC18E39-33EF-4062-A830-D88F64C27C68}"/>
    <cellStyle name="20% - Accent6 5 3 2" xfId="2314" xr:uid="{C6BE646E-011F-40CE-A915-5E79A3025BD6}"/>
    <cellStyle name="20% - Accent6 5 3 3" xfId="2819" xr:uid="{04B66965-185A-464C-81F5-EE6170D568D2}"/>
    <cellStyle name="20% - Accent6 5 3 4" xfId="4027" xr:uid="{2265FEA7-AF73-4106-B10A-1F319289EC5B}"/>
    <cellStyle name="20% - Accent6 5 3 5" xfId="1297" xr:uid="{26A8E2C9-101A-4011-9A42-51E2B2E1EF59}"/>
    <cellStyle name="20% - Accent6 5 4" xfId="2083" xr:uid="{E62F5AE6-A4A7-48D3-8162-511ED3BAAE4A}"/>
    <cellStyle name="20% - Accent6 5 5" xfId="2600" xr:uid="{A4B67080-E16C-4412-BB00-2E953F98A84E}"/>
    <cellStyle name="20% - Accent6 5 6" xfId="4024" xr:uid="{A22671B7-8717-4684-A976-8A5737DA918F}"/>
    <cellStyle name="20% - Accent6 5 7" xfId="1294" xr:uid="{629EBEAB-9D60-43D5-8294-1B359CFB2BEB}"/>
    <cellStyle name="20% - Accent6 6" xfId="249" xr:uid="{AE56B88F-61EF-42D8-BC9B-B388C938737E}"/>
    <cellStyle name="20% - Accent6 6 2" xfId="250" xr:uid="{73B7AEC2-E3AB-43E5-8518-3CD6DC285C55}"/>
    <cellStyle name="20% - Accent6 6 2 2" xfId="2378" xr:uid="{615CC309-FDBC-4AD6-B081-24FCA18A18F5}"/>
    <cellStyle name="20% - Accent6 6 2 3" xfId="2883" xr:uid="{91BAFDF1-D4A2-45DA-B755-E838A76E59F6}"/>
    <cellStyle name="20% - Accent6 6 2 4" xfId="4029" xr:uid="{346673D4-8B6C-44F4-9250-2AC660AB6C64}"/>
    <cellStyle name="20% - Accent6 6 2 5" xfId="1299" xr:uid="{6DF66526-D9E6-4FEA-AF6A-44D3A3C99344}"/>
    <cellStyle name="20% - Accent6 6 3" xfId="2157" xr:uid="{CFB24181-796B-4D96-968D-2C74855F5CD5}"/>
    <cellStyle name="20% - Accent6 6 4" xfId="2664" xr:uid="{C5393C73-4C8A-4D30-A434-134508932AFE}"/>
    <cellStyle name="20% - Accent6 6 5" xfId="4028" xr:uid="{8486DC7D-E623-4CF7-99A9-26A3C6106BC1}"/>
    <cellStyle name="20% - Accent6 6 6" xfId="1298" xr:uid="{C04E5AA2-8EB8-4BB9-90DD-76179C668857}"/>
    <cellStyle name="20% - Accent6 7" xfId="251" xr:uid="{C511CF5A-03F0-4050-BE7E-39B7091022AD}"/>
    <cellStyle name="20% - Accent6 7 2" xfId="252" xr:uid="{98B169E4-5E1A-4AC9-A18B-2B5B8DF52F41}"/>
    <cellStyle name="20% - Accent6 7 2 2" xfId="1301" xr:uid="{AE97FB55-4D14-4116-A036-61644A4DA91E}"/>
    <cellStyle name="20% - Accent6 7 3" xfId="2268" xr:uid="{9E1B8085-6CE3-4082-9E6A-06B2B6AE981E}"/>
    <cellStyle name="20% - Accent6 7 4" xfId="2773" xr:uid="{39EA8177-A88E-4EAF-86F8-4439AF2E4CFF}"/>
    <cellStyle name="20% - Accent6 7 5" xfId="4030" xr:uid="{541F09D0-FD81-4288-AAD7-548F8E748793}"/>
    <cellStyle name="20% - Accent6 7 6" xfId="1300" xr:uid="{46B22E9F-755A-48FE-AD9F-74904E52FD32}"/>
    <cellStyle name="20% - Accent6 8" xfId="2035" xr:uid="{11C33972-2ABB-409B-A24C-CF41D724B63A}"/>
    <cellStyle name="20% - Accent6 8 2" xfId="2554" xr:uid="{9686441B-248E-4D22-8EA8-C5160C614609}"/>
    <cellStyle name="20% - Accent6 8 3" xfId="4031" xr:uid="{B78B8373-3740-4C01-AC7D-64EC9D6538F5}"/>
    <cellStyle name="20% - Accent6 9" xfId="2502" xr:uid="{92C23A5E-270C-43AF-A4A3-516B4AD6026E}"/>
    <cellStyle name="40% - Accent1" xfId="1034" builtinId="31" customBuiltin="1"/>
    <cellStyle name="40% - Accent1 10" xfId="4032" xr:uid="{1AF3FB5C-655C-4B5C-8774-F81DC55C30D3}"/>
    <cellStyle name="40% - Accent1 2" xfId="253" xr:uid="{73BA494F-6932-4719-9CDF-3237AA54CC29}"/>
    <cellStyle name="40% - Accent1 2 10" xfId="1302" xr:uid="{69584E6B-7210-4027-94F8-BF092D568340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2 2 2" xfId="1306" xr:uid="{BA414D46-64B9-4365-99D0-A62DD0A31940}"/>
    <cellStyle name="40% - Accent1 2 2 2 2 3" xfId="1305" xr:uid="{072D6FB4-84DE-4F97-90C4-65091AC4FCC1}"/>
    <cellStyle name="40% - Accent1 2 2 2 3" xfId="258" xr:uid="{57497C4C-E059-4C6B-A888-917AA1BE497E}"/>
    <cellStyle name="40% - Accent1 2 2 2 3 2" xfId="1307" xr:uid="{1718494A-38C4-4AF9-A40E-F44BC481C91B}"/>
    <cellStyle name="40% - Accent1 2 2 2 4" xfId="3185" xr:uid="{17BDED26-8CE0-4BFB-922E-ED73DB5AFA1C}"/>
    <cellStyle name="40% - Accent1 2 2 2 5" xfId="1304" xr:uid="{24B9342D-4F56-4FB8-87A4-7BE9AAFA6217}"/>
    <cellStyle name="40% - Accent1 2 2 3" xfId="259" xr:uid="{5EB4BCB1-2BCD-4B26-9130-0D1D09A44F15}"/>
    <cellStyle name="40% - Accent1 2 2 3 2" xfId="260" xr:uid="{7A9C30D0-AEC9-4C3F-AFFD-DBF19DD24FAD}"/>
    <cellStyle name="40% - Accent1 2 2 3 2 2" xfId="1309" xr:uid="{72AA0D99-8E7D-44DA-A371-75209CD7405B}"/>
    <cellStyle name="40% - Accent1 2 2 3 3" xfId="3298" xr:uid="{705CAD87-C969-4996-A551-37B706708002}"/>
    <cellStyle name="40% - Accent1 2 2 3 4" xfId="1308" xr:uid="{C82DB57B-0C29-4140-A7B9-66DC975EAE11}"/>
    <cellStyle name="40% - Accent1 2 2 4" xfId="261" xr:uid="{A9B37054-72CC-4F1E-AFD5-A7CADBE2DF6C}"/>
    <cellStyle name="40% - Accent1 2 2 4 2" xfId="1310" xr:uid="{7AC6B4BE-3AF8-42E5-976C-765BBCE4D78D}"/>
    <cellStyle name="40% - Accent1 2 2 5" xfId="3087" xr:uid="{0375BB84-143E-48E8-9E38-64D6E6308FBE}"/>
    <cellStyle name="40% - Accent1 2 2 6" xfId="1303" xr:uid="{36D22DEC-E5FE-49CA-AA8B-D05A8E119CD3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2 2 2" xfId="1313" xr:uid="{989B1A8D-F231-46A8-B49C-571530883274}"/>
    <cellStyle name="40% - Accent1 2 3 2 3" xfId="3213" xr:uid="{7BBDA188-7B60-4BC4-97F9-BCCC29CB17F9}"/>
    <cellStyle name="40% - Accent1 2 3 2 4" xfId="1312" xr:uid="{1EA5D1DC-5BD4-4028-8859-53C954179895}"/>
    <cellStyle name="40% - Accent1 2 3 3" xfId="265" xr:uid="{10FB5A83-6803-4684-A8AB-78DDB02E1435}"/>
    <cellStyle name="40% - Accent1 2 3 3 2" xfId="1314" xr:uid="{BC33D6D2-78F8-47C6-86E2-315C358A3FE0}"/>
    <cellStyle name="40% - Accent1 2 3 4" xfId="3149" xr:uid="{D6BACE14-7621-4D28-96B0-4722FCA74FDC}"/>
    <cellStyle name="40% - Accent1 2 3 5" xfId="1311" xr:uid="{490C30BE-1D0E-46DA-BF0C-30CF26820538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2 2 2" xfId="1317" xr:uid="{EF38F199-FEE3-4B21-9705-3663062595E5}"/>
    <cellStyle name="40% - Accent1 2 4 2 3" xfId="1316" xr:uid="{F147C45C-3B77-491D-90B7-40BABFAA99B7}"/>
    <cellStyle name="40% - Accent1 2 4 3" xfId="269" xr:uid="{A6DFA4F7-A909-4E76-93B0-E511EE959F56}"/>
    <cellStyle name="40% - Accent1 2 4 3 2" xfId="1318" xr:uid="{A420481C-B158-4C1A-B689-66B2F1B12892}"/>
    <cellStyle name="40% - Accent1 2 4 4" xfId="3054" xr:uid="{C9743AFD-CA69-4982-8D19-34CF9B19A890}"/>
    <cellStyle name="40% - Accent1 2 4 5" xfId="1315" xr:uid="{595A3897-F2B5-48C8-91A8-B79D539A8937}"/>
    <cellStyle name="40% - Accent1 2 5" xfId="270" xr:uid="{657CEBE8-61E6-46EE-A79A-9AB1EBA6682A}"/>
    <cellStyle name="40% - Accent1 2 5 2" xfId="271" xr:uid="{8C1FF0B5-A3D6-4076-AF3C-55D1E8BD47F3}"/>
    <cellStyle name="40% - Accent1 2 5 2 2" xfId="1320" xr:uid="{A29A209C-4E05-4802-A051-4133426ABD78}"/>
    <cellStyle name="40% - Accent1 2 5 3" xfId="3481" xr:uid="{88860BBE-9E4A-4250-A224-FC03343F4371}"/>
    <cellStyle name="40% - Accent1 2 5 4" xfId="1319" xr:uid="{DFAD3BA1-FCB0-4C9C-9575-695277BF1428}"/>
    <cellStyle name="40% - Accent1 2 6" xfId="272" xr:uid="{8936E1AB-0754-4BB4-AADD-C3DE9A827A55}"/>
    <cellStyle name="40% - Accent1 2 6 2" xfId="273" xr:uid="{ABBCD039-65DC-48ED-9FBF-F7FD0BDDC2B6}"/>
    <cellStyle name="40% - Accent1 2 6 2 2" xfId="1322" xr:uid="{D5CEFCA7-DF98-462E-AE81-D8CB92C647AE}"/>
    <cellStyle name="40% - Accent1 2 6 3" xfId="3109" xr:uid="{B587FD9F-B1E6-4EBD-A709-3CD28C0ED427}"/>
    <cellStyle name="40% - Accent1 2 6 4" xfId="1321" xr:uid="{0AE40BB3-C2E3-427D-98FF-48830AD5CCC4}"/>
    <cellStyle name="40% - Accent1 2 7" xfId="274" xr:uid="{BC8A76FC-8DD7-4F83-A495-6208A3C95CA9}"/>
    <cellStyle name="40% - Accent1 2 7 2" xfId="1323" xr:uid="{8F4823E3-45E5-4A30-9B45-925CB948177A}"/>
    <cellStyle name="40% - Accent1 2 8" xfId="1928" xr:uid="{CDD94CC1-91E3-4C0E-BC37-523A57F2A241}"/>
    <cellStyle name="40% - Accent1 2 9" xfId="4033" xr:uid="{144F2A4E-F849-4905-9711-D4037EA5447A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2 2 2" xfId="2434" xr:uid="{DB937038-234A-4AEA-93B3-AFEFB30BDB42}"/>
    <cellStyle name="40% - Accent1 3 2 2 2 3" xfId="2939" xr:uid="{C52298FE-3029-4E72-8AC4-4A426BE98CC5}"/>
    <cellStyle name="40% - Accent1 3 2 2 2 4" xfId="4037" xr:uid="{BF6683CE-DC13-4444-BBC6-4F1F7CCB0D35}"/>
    <cellStyle name="40% - Accent1 3 2 2 2 5" xfId="1327" xr:uid="{E411D908-038D-4106-8879-0ABEB1E992CA}"/>
    <cellStyle name="40% - Accent1 3 2 2 3" xfId="2215" xr:uid="{7F37DA63-5FD1-49EE-ACD9-21573124A11A}"/>
    <cellStyle name="40% - Accent1 3 2 2 3 2" xfId="3737" xr:uid="{30914094-4EAD-410B-9085-755071FF694E}"/>
    <cellStyle name="40% - Accent1 3 2 2 4" xfId="2720" xr:uid="{72AF55BB-A8E3-4098-AEF7-0DEFA3505492}"/>
    <cellStyle name="40% - Accent1 3 2 2 5" xfId="4036" xr:uid="{885DC804-1A82-43C1-933D-89E19772B667}"/>
    <cellStyle name="40% - Accent1 3 2 2 6" xfId="1326" xr:uid="{4EB47DCF-F99B-43BA-B7B8-C8757A09D7F8}"/>
    <cellStyle name="40% - Accent1 3 2 3" xfId="279" xr:uid="{6BE6EC7A-FC27-4ACF-AABA-051E492FB45F}"/>
    <cellStyle name="40% - Accent1 3 2 3 2" xfId="2324" xr:uid="{231102FF-F3B8-451C-8AA3-F87CACF5E1D9}"/>
    <cellStyle name="40% - Accent1 3 2 3 3" xfId="2829" xr:uid="{C7EF885B-5846-4687-BECA-78E44451047E}"/>
    <cellStyle name="40% - Accent1 3 2 3 4" xfId="4038" xr:uid="{6246484E-A631-474D-A7F9-692B8C93A1C8}"/>
    <cellStyle name="40% - Accent1 3 2 3 5" xfId="1328" xr:uid="{C7BB07C2-8A8E-446C-BA82-3244FA5FEAD2}"/>
    <cellStyle name="40% - Accent1 3 2 4" xfId="2098" xr:uid="{708E7739-6BAF-49D2-BAD7-9E1807137EB3}"/>
    <cellStyle name="40% - Accent1 3 2 4 2" xfId="3736" xr:uid="{17F6C741-6A03-4E13-B2BF-129B55C4D0C6}"/>
    <cellStyle name="40% - Accent1 3 2 5" xfId="2610" xr:uid="{D5CCA2A1-476C-4D86-BC72-CBF756A14270}"/>
    <cellStyle name="40% - Accent1 3 2 6" xfId="4035" xr:uid="{365FA7B2-1BE3-4D4F-8617-C24717DA52D7}"/>
    <cellStyle name="40% - Accent1 3 2 7" xfId="1325" xr:uid="{7445ABFF-CCC5-4E74-A85A-445EC50C6F90}"/>
    <cellStyle name="40% - Accent1 3 3" xfId="280" xr:uid="{28AF3D3C-66F1-4669-96EF-8F89F132583E}"/>
    <cellStyle name="40% - Accent1 3 3 2" xfId="281" xr:uid="{D3FD9086-0CE7-4D6A-ABB1-8DC0CCF46217}"/>
    <cellStyle name="40% - Accent1 3 3 2 2" xfId="2391" xr:uid="{A5FFC717-AEEC-4348-9C19-4586A57F4BBB}"/>
    <cellStyle name="40% - Accent1 3 3 2 3" xfId="2896" xr:uid="{1C90BA0A-1B3E-48A3-8A19-74AD6A721001}"/>
    <cellStyle name="40% - Accent1 3 3 2 4" xfId="4040" xr:uid="{7B445C66-3F0C-4ACD-BDA2-208D167B52EC}"/>
    <cellStyle name="40% - Accent1 3 3 2 5" xfId="1330" xr:uid="{C6CDC86E-0516-4374-8EC5-B685C3941814}"/>
    <cellStyle name="40% - Accent1 3 3 3" xfId="2172" xr:uid="{498A5C2A-6F02-498D-BACE-D3DBB29A3E46}"/>
    <cellStyle name="40% - Accent1 3 3 3 2" xfId="3738" xr:uid="{7D6AF35D-CD4D-4B48-8A3A-B8FD2FE46C7A}"/>
    <cellStyle name="40% - Accent1 3 3 4" xfId="2677" xr:uid="{496297B6-9647-4DCA-A16D-40F71DF57A43}"/>
    <cellStyle name="40% - Accent1 3 3 5" xfId="4039" xr:uid="{9E0C85B9-5198-45D7-AB51-888413781F02}"/>
    <cellStyle name="40% - Accent1 3 3 6" xfId="1329" xr:uid="{2961F73F-E172-40E5-BE30-EA9CEF5023E7}"/>
    <cellStyle name="40% - Accent1 3 4" xfId="282" xr:uid="{F11A53C2-0265-4E5F-814C-2A5E845F9DF6}"/>
    <cellStyle name="40% - Accent1 3 4 2" xfId="2281" xr:uid="{FD2BF79E-F6C7-4E6E-8CC9-F14D01C79ED1}"/>
    <cellStyle name="40% - Accent1 3 4 3" xfId="2786" xr:uid="{A3FA81B7-C231-406E-8695-425FD6D78C63}"/>
    <cellStyle name="40% - Accent1 3 4 4" xfId="4041" xr:uid="{750B7190-4B3E-4B93-9AD4-A635C4A089DA}"/>
    <cellStyle name="40% - Accent1 3 4 5" xfId="1331" xr:uid="{88A0B24E-E3A3-4FAE-9569-9FAA5D45FC43}"/>
    <cellStyle name="40% - Accent1 3 5" xfId="2050" xr:uid="{44A0E50E-4868-4A77-862A-619E27440EFF}"/>
    <cellStyle name="40% - Accent1 3 5 2" xfId="2567" xr:uid="{012A5B82-2BF8-4753-B2B8-7A3B14CDAC6B}"/>
    <cellStyle name="40% - Accent1 3 5 3" xfId="4042" xr:uid="{73F8147B-08D0-4100-988F-4321F3D974CD}"/>
    <cellStyle name="40% - Accent1 3 6" xfId="2002" xr:uid="{1DEB1F37-5626-4EEB-AFA5-322C18F04A1C}"/>
    <cellStyle name="40% - Accent1 3 7" xfId="2526" xr:uid="{B6156FD0-0D0A-4650-A93F-52F3AD7B73BC}"/>
    <cellStyle name="40% - Accent1 3 8" xfId="4034" xr:uid="{A33BD1E1-B31C-4E1D-93C5-0654EEB74B6C}"/>
    <cellStyle name="40% - Accent1 3 9" xfId="1324" xr:uid="{D3928CC0-F202-40B4-99C8-EB87245CB410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2 2 2" xfId="2453" xr:uid="{B9231F00-C4FF-43DB-93A1-C0BEF13DC0B2}"/>
    <cellStyle name="40% - Accent1 4 2 2 3" xfId="2958" xr:uid="{B6616525-D800-4186-8140-169B77FA1488}"/>
    <cellStyle name="40% - Accent1 4 2 2 4" xfId="4045" xr:uid="{F94E0A73-1DAA-43C8-8CB5-9CC2858E6D3F}"/>
    <cellStyle name="40% - Accent1 4 2 2 5" xfId="1334" xr:uid="{C3E21EE2-E19F-4298-A0DA-4AA663ABCBC6}"/>
    <cellStyle name="40% - Accent1 4 2 3" xfId="2234" xr:uid="{5211C136-7F98-44C1-999A-39AE7AC33D43}"/>
    <cellStyle name="40% - Accent1 4 2 3 2" xfId="3739" xr:uid="{1C077394-CB57-468F-A5BF-4C423D44DD7C}"/>
    <cellStyle name="40% - Accent1 4 2 4" xfId="2739" xr:uid="{5DABB03E-D6CE-4EA8-ADC7-748E0AF0317E}"/>
    <cellStyle name="40% - Accent1 4 2 5" xfId="4044" xr:uid="{49000C56-DC05-40B4-8976-02834768049D}"/>
    <cellStyle name="40% - Accent1 4 2 6" xfId="1333" xr:uid="{7FB91F0C-65AA-4330-B913-A7D64647AB77}"/>
    <cellStyle name="40% - Accent1 4 3" xfId="286" xr:uid="{9AC79106-45BF-466A-9C83-A54A702096D1}"/>
    <cellStyle name="40% - Accent1 4 3 2" xfId="2343" xr:uid="{CBCED785-C658-43A9-B977-82FB729281B5}"/>
    <cellStyle name="40% - Accent1 4 3 2 2" xfId="3229" xr:uid="{7DFAB532-AC91-48F5-BFF3-60CB2A45F79D}"/>
    <cellStyle name="40% - Accent1 4 3 3" xfId="2848" xr:uid="{E681B151-F8DA-4656-99E4-4D05646EDF76}"/>
    <cellStyle name="40% - Accent1 4 3 4" xfId="4046" xr:uid="{C72DCDAA-BB0E-4A40-9A66-1A82C4404762}"/>
    <cellStyle name="40% - Accent1 4 3 5" xfId="1335" xr:uid="{87A998D7-9485-40E4-AC50-508D16BB0CF3}"/>
    <cellStyle name="40% - Accent1 4 4" xfId="2117" xr:uid="{0C092362-8F89-43E9-A10A-0D3CD6C99BFF}"/>
    <cellStyle name="40% - Accent1 4 4 2" xfId="3075" xr:uid="{C2BA5B27-F47D-4C90-8435-B18F7F180D83}"/>
    <cellStyle name="40% - Accent1 4 5" xfId="2629" xr:uid="{FEF423D1-DAA3-4C62-A420-FC792D792A9A}"/>
    <cellStyle name="40% - Accent1 4 6" xfId="4043" xr:uid="{FCC46491-1669-482F-A9F1-2C3BB06EC508}"/>
    <cellStyle name="40% - Accent1 4 7" xfId="1332" xr:uid="{B3C5C397-68B0-4BA3-B393-0EBF85019DE8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2 2 2" xfId="2415" xr:uid="{EF0E1B3E-BB9E-4BC7-AC3D-46583B5FAE77}"/>
    <cellStyle name="40% - Accent1 5 2 2 3" xfId="2920" xr:uid="{D7A1B477-792E-4B29-8106-6E5BBA628F9E}"/>
    <cellStyle name="40% - Accent1 5 2 2 4" xfId="4049" xr:uid="{706FB88B-142B-4420-A46A-149C75C60DDE}"/>
    <cellStyle name="40% - Accent1 5 2 2 5" xfId="1338" xr:uid="{4AEDC40E-1789-4905-B799-AA57F38EC6D2}"/>
    <cellStyle name="40% - Accent1 5 2 3" xfId="2196" xr:uid="{CAFC6309-00C9-4C44-ABBD-F2438215451B}"/>
    <cellStyle name="40% - Accent1 5 2 4" xfId="2701" xr:uid="{208BFDC3-7AFF-4130-9A00-7679271EA6F4}"/>
    <cellStyle name="40% - Accent1 5 2 5" xfId="4048" xr:uid="{C21713A8-1DC8-421A-AE60-32F6A98433C8}"/>
    <cellStyle name="40% - Accent1 5 2 6" xfId="1337" xr:uid="{766C4C1B-54A7-4270-A710-77FD83F2D41C}"/>
    <cellStyle name="40% - Accent1 5 3" xfId="290" xr:uid="{E315FFA1-7D1A-4183-BA56-A339FB32A44D}"/>
    <cellStyle name="40% - Accent1 5 3 2" xfId="2305" xr:uid="{DC27C781-0163-41AA-9956-394D4DE94F7B}"/>
    <cellStyle name="40% - Accent1 5 3 3" xfId="2810" xr:uid="{2DA200C3-B113-451E-9F2E-FFC0A5C78D87}"/>
    <cellStyle name="40% - Accent1 5 3 4" xfId="4050" xr:uid="{416980DE-97F0-4BC2-9C5C-78F34068A177}"/>
    <cellStyle name="40% - Accent1 5 3 5" xfId="1339" xr:uid="{AB208F88-25F4-4D90-BAD1-1F679DC354E1}"/>
    <cellStyle name="40% - Accent1 5 4" xfId="2074" xr:uid="{65B6F8A7-7BCE-47C4-9CE3-BE1B45FF39D4}"/>
    <cellStyle name="40% - Accent1 5 5" xfId="2591" xr:uid="{EEA4954E-7A92-42B5-9702-16B857E7834E}"/>
    <cellStyle name="40% - Accent1 5 6" xfId="4047" xr:uid="{80591587-368C-4315-993D-41BDD06A6543}"/>
    <cellStyle name="40% - Accent1 5 7" xfId="1336" xr:uid="{A716C360-5805-4CF7-8DB8-90D98771D628}"/>
    <cellStyle name="40% - Accent1 6" xfId="291" xr:uid="{D471CFD4-0CC6-4E2D-892D-180B5C4ED99F}"/>
    <cellStyle name="40% - Accent1 6 2" xfId="292" xr:uid="{A848637D-52AA-44E0-89CF-2394B448ECCF}"/>
    <cellStyle name="40% - Accent1 6 2 2" xfId="2369" xr:uid="{2F595B2E-0145-4D89-B6D0-D288A6DDA703}"/>
    <cellStyle name="40% - Accent1 6 2 3" xfId="2874" xr:uid="{07446E3B-0EC8-4042-96BC-D313979BFDC4}"/>
    <cellStyle name="40% - Accent1 6 2 4" xfId="4052" xr:uid="{DFE9C154-3772-4943-B81A-C257EAFDF27F}"/>
    <cellStyle name="40% - Accent1 6 2 5" xfId="1341" xr:uid="{D39B1CD3-B245-43A9-8618-D3945590BF88}"/>
    <cellStyle name="40% - Accent1 6 3" xfId="2148" xr:uid="{A104AACE-F936-4F20-83F3-C10DCE964B77}"/>
    <cellStyle name="40% - Accent1 6 4" xfId="2655" xr:uid="{8059FCD9-D38B-4198-AA31-DCA7C5B258CE}"/>
    <cellStyle name="40% - Accent1 6 5" xfId="4051" xr:uid="{F4C61C40-4AE8-4B6B-A4D4-12F345FB02AA}"/>
    <cellStyle name="40% - Accent1 6 6" xfId="1340" xr:uid="{57BAC752-E6CD-449E-A9DB-8CBD666A3AC3}"/>
    <cellStyle name="40% - Accent1 7" xfId="293" xr:uid="{13306025-2F7F-4741-B8D4-F69EB839FADE}"/>
    <cellStyle name="40% - Accent1 7 2" xfId="294" xr:uid="{A892EC3C-1CC8-426D-8289-2F897D45B33B}"/>
    <cellStyle name="40% - Accent1 7 2 2" xfId="1343" xr:uid="{D525940A-59EC-4529-A28F-3CBA004B2FF4}"/>
    <cellStyle name="40% - Accent1 7 3" xfId="2259" xr:uid="{BF3C7E31-D2CB-4ECA-8883-185E9E7A0821}"/>
    <cellStyle name="40% - Accent1 7 4" xfId="2764" xr:uid="{44128618-33E2-4253-A61E-C00F306A68C3}"/>
    <cellStyle name="40% - Accent1 7 5" xfId="4053" xr:uid="{A83C7F0F-89A0-48DC-8E15-5DC5DF69CAB1}"/>
    <cellStyle name="40% - Accent1 7 6" xfId="1342" xr:uid="{4031D350-0BD0-45EA-A7D0-280523874050}"/>
    <cellStyle name="40% - Accent1 8" xfId="2026" xr:uid="{6A7CB8F9-F784-4B17-BC41-58212116E7F0}"/>
    <cellStyle name="40% - Accent1 8 2" xfId="2545" xr:uid="{7AABF55B-FCCE-43AA-99AF-C28697F7A96C}"/>
    <cellStyle name="40% - Accent1 8 3" xfId="4054" xr:uid="{22D14088-96D6-45B5-9B0B-60A476EB948F}"/>
    <cellStyle name="40% - Accent1 9" xfId="2493" xr:uid="{45EEE09D-3852-416C-8E62-00C35937C57C}"/>
    <cellStyle name="40% - Accent2" xfId="1037" builtinId="35" customBuiltin="1"/>
    <cellStyle name="40% - Accent2 10" xfId="4055" xr:uid="{E7444C83-7595-4B79-BF28-287A55958D9F}"/>
    <cellStyle name="40% - Accent2 2" xfId="295" xr:uid="{33CB9107-F7BD-4E8C-871D-D4A1CC6B269C}"/>
    <cellStyle name="40% - Accent2 2 10" xfId="1344" xr:uid="{59A7B396-28FC-4016-B4F8-937FE1730755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2 2 2" xfId="1348" xr:uid="{17F59DE4-63FA-4623-9D43-24C457626147}"/>
    <cellStyle name="40% - Accent2 2 2 2 2 3" xfId="1347" xr:uid="{B39C0115-08C9-4185-A2F7-E2BCEE54F91F}"/>
    <cellStyle name="40% - Accent2 2 2 2 3" xfId="300" xr:uid="{349E3DB0-7F53-4359-92D5-C9DA07145ACE}"/>
    <cellStyle name="40% - Accent2 2 2 2 3 2" xfId="1349" xr:uid="{FED6371C-5C8F-4239-90CA-797273DFE5BC}"/>
    <cellStyle name="40% - Accent2 2 2 2 4" xfId="3187" xr:uid="{60726CA2-C96B-4D9A-A5B1-F03ADF73BC77}"/>
    <cellStyle name="40% - Accent2 2 2 2 5" xfId="1346" xr:uid="{1C06C43E-A6EE-4047-9EA9-40BDA6A991E5}"/>
    <cellStyle name="40% - Accent2 2 2 3" xfId="301" xr:uid="{27975DF4-C665-417C-BAFA-7201F660F466}"/>
    <cellStyle name="40% - Accent2 2 2 3 2" xfId="302" xr:uid="{33112A0E-8DDF-46DF-AFE3-66CA5D4FC84C}"/>
    <cellStyle name="40% - Accent2 2 2 3 2 2" xfId="1351" xr:uid="{D71249FA-1EF9-413E-8809-1EDCD9A0B465}"/>
    <cellStyle name="40% - Accent2 2 2 3 3" xfId="3464" xr:uid="{898B388B-2CDE-4568-B060-2E5C05CC89EC}"/>
    <cellStyle name="40% - Accent2 2 2 3 4" xfId="1350" xr:uid="{CFFF0C3B-8C2A-45B3-869A-31B03ED2441B}"/>
    <cellStyle name="40% - Accent2 2 2 4" xfId="303" xr:uid="{0DD1F9C4-2EDD-4A60-9F76-8C96A3294C91}"/>
    <cellStyle name="40% - Accent2 2 2 4 2" xfId="1352" xr:uid="{BE711AA0-745C-447C-9464-89CF6BB9B678}"/>
    <cellStyle name="40% - Accent2 2 2 5" xfId="3139" xr:uid="{0FC1D67B-AFBF-4068-95FF-DA7EE352C58B}"/>
    <cellStyle name="40% - Accent2 2 2 6" xfId="1345" xr:uid="{16E68272-EDC1-488B-BCDD-18A80855AD6B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2 2 2" xfId="1355" xr:uid="{6A6B8BF5-72AC-4FA1-80DB-5C6328E7D2DB}"/>
    <cellStyle name="40% - Accent2 2 3 2 3" xfId="3215" xr:uid="{7D26B26F-5AEA-42D0-AC98-E47A9863BCDF}"/>
    <cellStyle name="40% - Accent2 2 3 2 4" xfId="1354" xr:uid="{94A28A52-87B3-48FE-A23D-5D8CC0817BEF}"/>
    <cellStyle name="40% - Accent2 2 3 3" xfId="307" xr:uid="{000C3385-C0FD-47E0-80BD-EAE0C31FDF4E}"/>
    <cellStyle name="40% - Accent2 2 3 3 2" xfId="1356" xr:uid="{33D1F377-FF9F-46C7-9BD9-1AD37404FDC2}"/>
    <cellStyle name="40% - Accent2 2 3 4" xfId="3028" xr:uid="{48B46AA7-511B-457E-9D02-FFE233BB242F}"/>
    <cellStyle name="40% - Accent2 2 3 5" xfId="1353" xr:uid="{4E1717AB-A448-4199-9D41-91C2118F404F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2 2 2" xfId="1359" xr:uid="{C4559D07-045D-4802-96A5-F8B8536E8AD3}"/>
    <cellStyle name="40% - Accent2 2 4 2 3" xfId="1358" xr:uid="{C5D7A64C-C855-4513-B36A-7A7D247C2AF4}"/>
    <cellStyle name="40% - Accent2 2 4 3" xfId="311" xr:uid="{3E627D31-52B3-4E8F-A321-F5613BF5E907}"/>
    <cellStyle name="40% - Accent2 2 4 3 2" xfId="1360" xr:uid="{719996A0-2D03-43C6-A33A-80D2BA7CFB2E}"/>
    <cellStyle name="40% - Accent2 2 4 4" xfId="3157" xr:uid="{F84061C6-1BA7-4ECB-B1A0-5B4AB6E9525C}"/>
    <cellStyle name="40% - Accent2 2 4 5" xfId="1357" xr:uid="{EDAAD7F7-DDB1-498E-9B4E-7072C73DF433}"/>
    <cellStyle name="40% - Accent2 2 5" xfId="312" xr:uid="{417388A5-0EE7-4414-8DC5-0888EFBA8FFB}"/>
    <cellStyle name="40% - Accent2 2 5 2" xfId="313" xr:uid="{D2A3239C-A07B-4229-92FD-9BD722354D6C}"/>
    <cellStyle name="40% - Accent2 2 5 2 2" xfId="1362" xr:uid="{CB47352B-FFA2-4BAE-971C-C2B3FAA63B25}"/>
    <cellStyle name="40% - Accent2 2 5 3" xfId="3348" xr:uid="{5650A6A8-1ED3-4AC8-BD71-A7AD599BC927}"/>
    <cellStyle name="40% - Accent2 2 5 4" xfId="1361" xr:uid="{01F9C740-3F85-4195-BC88-052E9E839FA4}"/>
    <cellStyle name="40% - Accent2 2 6" xfId="314" xr:uid="{16DB5B07-17B5-44AB-947C-5ACD91CAC009}"/>
    <cellStyle name="40% - Accent2 2 6 2" xfId="315" xr:uid="{4DD06764-5A9D-4ED8-BBA7-FCB92885D669}"/>
    <cellStyle name="40% - Accent2 2 6 2 2" xfId="1364" xr:uid="{9E7F97E8-428D-4494-9D6A-91A0BC0869A3}"/>
    <cellStyle name="40% - Accent2 2 6 3" xfId="3072" xr:uid="{9A35BFD7-F1B1-47BA-A174-BD1D548E8ADD}"/>
    <cellStyle name="40% - Accent2 2 6 4" xfId="1363" xr:uid="{257FCF8C-B57F-4210-8861-80254DBE9305}"/>
    <cellStyle name="40% - Accent2 2 7" xfId="316" xr:uid="{23A1FD96-08EF-42BF-802B-8E7F928B69A9}"/>
    <cellStyle name="40% - Accent2 2 7 2" xfId="1365" xr:uid="{D072A140-FBE6-4E43-993C-71DB82883128}"/>
    <cellStyle name="40% - Accent2 2 8" xfId="1929" xr:uid="{B93E529A-9C6F-4FE6-A4D8-5E574A3CA5ED}"/>
    <cellStyle name="40% - Accent2 2 9" xfId="4056" xr:uid="{BDC6201D-28ED-4B54-9904-BFB3E6FDF521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2 2 2" xfId="2436" xr:uid="{12349D36-105D-4EAB-B102-47D056A70A5C}"/>
    <cellStyle name="40% - Accent2 3 2 2 2 3" xfId="2941" xr:uid="{64294111-7124-4BD5-A8DD-3A69DD1371C5}"/>
    <cellStyle name="40% - Accent2 3 2 2 2 4" xfId="4060" xr:uid="{C3F7F54F-3114-4032-8FBB-726CFF6D57AD}"/>
    <cellStyle name="40% - Accent2 3 2 2 2 5" xfId="1369" xr:uid="{CADC784D-2B29-481C-BCCE-1AA46F204CBD}"/>
    <cellStyle name="40% - Accent2 3 2 2 3" xfId="2217" xr:uid="{B4CC8DE6-A2D4-4DB7-85F6-041A638159A2}"/>
    <cellStyle name="40% - Accent2 3 2 2 3 2" xfId="3741" xr:uid="{EE4B4CEA-17A2-4330-9765-922FE7DC665A}"/>
    <cellStyle name="40% - Accent2 3 2 2 4" xfId="2722" xr:uid="{A5C1067C-062D-42FF-A793-F21D4C059ED6}"/>
    <cellStyle name="40% - Accent2 3 2 2 5" xfId="4059" xr:uid="{05413DAE-EAE9-45C5-AB30-76F88157A1FC}"/>
    <cellStyle name="40% - Accent2 3 2 2 6" xfId="1368" xr:uid="{6ECDA5C6-784C-45F0-9690-7ACD5F0D0237}"/>
    <cellStyle name="40% - Accent2 3 2 3" xfId="321" xr:uid="{9233C834-BA41-4213-8D5D-C64A0E9D2190}"/>
    <cellStyle name="40% - Accent2 3 2 3 2" xfId="2326" xr:uid="{610C3125-46BC-45BD-B6AA-505D46587200}"/>
    <cellStyle name="40% - Accent2 3 2 3 3" xfId="2831" xr:uid="{409D8174-E186-459B-80E4-73DDE40C4BFE}"/>
    <cellStyle name="40% - Accent2 3 2 3 4" xfId="4061" xr:uid="{E7B060B4-98D6-4BFD-82CA-403531B301D6}"/>
    <cellStyle name="40% - Accent2 3 2 3 5" xfId="1370" xr:uid="{BD52B7D8-3B24-422C-AE00-7E4C642FB82C}"/>
    <cellStyle name="40% - Accent2 3 2 4" xfId="2100" xr:uid="{775A8D6C-7202-4C20-8498-A1C6CCE031E8}"/>
    <cellStyle name="40% - Accent2 3 2 4 2" xfId="3740" xr:uid="{6AC59103-FBD2-42F2-B05B-53D938BAEE34}"/>
    <cellStyle name="40% - Accent2 3 2 5" xfId="2612" xr:uid="{3622A1BB-56F1-4638-A606-EB813F176D88}"/>
    <cellStyle name="40% - Accent2 3 2 6" xfId="4058" xr:uid="{1D218448-4298-4395-AEDA-D06C5530702A}"/>
    <cellStyle name="40% - Accent2 3 2 7" xfId="1367" xr:uid="{93530CBE-73D2-4AAB-B3DE-6DE0EEB2FF7D}"/>
    <cellStyle name="40% - Accent2 3 3" xfId="322" xr:uid="{2B3E817C-8C3D-4583-A5A4-830CA0B8C16D}"/>
    <cellStyle name="40% - Accent2 3 3 2" xfId="323" xr:uid="{4FEF4FA1-AEE0-49E6-8FC1-E699651B14D3}"/>
    <cellStyle name="40% - Accent2 3 3 2 2" xfId="2393" xr:uid="{A06CE467-4CDD-48D5-AF8F-4A1FCA8AC959}"/>
    <cellStyle name="40% - Accent2 3 3 2 3" xfId="2898" xr:uid="{2B88E047-BD6F-42A5-AAF8-DB25A5C775E6}"/>
    <cellStyle name="40% - Accent2 3 3 2 4" xfId="4063" xr:uid="{8DACD586-AE84-445E-93A9-7C1E6342E7AE}"/>
    <cellStyle name="40% - Accent2 3 3 2 5" xfId="1372" xr:uid="{25A2C1FC-6029-4399-BA4C-21227419B40F}"/>
    <cellStyle name="40% - Accent2 3 3 3" xfId="2174" xr:uid="{9E9A54B7-3F81-4A69-93D4-DBB60EFDDF0A}"/>
    <cellStyle name="40% - Accent2 3 3 3 2" xfId="3742" xr:uid="{40390D63-0B2E-4BD4-AC91-AAC82E335B1D}"/>
    <cellStyle name="40% - Accent2 3 3 4" xfId="2679" xr:uid="{D742F155-E295-43F0-88F6-F88B519DE913}"/>
    <cellStyle name="40% - Accent2 3 3 5" xfId="4062" xr:uid="{CA72FDCF-2344-45D6-B836-0C973FFA2107}"/>
    <cellStyle name="40% - Accent2 3 3 6" xfId="1371" xr:uid="{2C71372D-7678-4660-860B-DCB0DAA30750}"/>
    <cellStyle name="40% - Accent2 3 4" xfId="324" xr:uid="{A4F91980-E4E7-4B8C-AF80-09D61E8D879D}"/>
    <cellStyle name="40% - Accent2 3 4 2" xfId="2283" xr:uid="{5F36E77B-1525-4EB6-A7A9-C07D9CF7E4F0}"/>
    <cellStyle name="40% - Accent2 3 4 3" xfId="2788" xr:uid="{DF253FD0-6CC9-4B30-AB06-3F75F8F211D5}"/>
    <cellStyle name="40% - Accent2 3 4 4" xfId="4064" xr:uid="{01A04EDC-1746-4525-A798-F00961D17D81}"/>
    <cellStyle name="40% - Accent2 3 4 5" xfId="1373" xr:uid="{54DB46DD-465B-4131-AF14-1BC7A3E60917}"/>
    <cellStyle name="40% - Accent2 3 5" xfId="2052" xr:uid="{819C6292-E5C2-4A42-B9D1-095E59D5F622}"/>
    <cellStyle name="40% - Accent2 3 5 2" xfId="2569" xr:uid="{32139FDD-CBD4-4027-8AE9-E569AA091157}"/>
    <cellStyle name="40% - Accent2 3 5 3" xfId="4065" xr:uid="{FD156CD7-9453-4C02-B4C6-A7EA8CAD4BFF}"/>
    <cellStyle name="40% - Accent2 3 6" xfId="2004" xr:uid="{60AA3697-2521-4325-9152-ED37C8C13464}"/>
    <cellStyle name="40% - Accent2 3 7" xfId="2528" xr:uid="{BA28145A-75C9-4B80-BF64-EE34DE1B5738}"/>
    <cellStyle name="40% - Accent2 3 8" xfId="4057" xr:uid="{25D689E5-65DA-4BBD-955B-49BF0660F21A}"/>
    <cellStyle name="40% - Accent2 3 9" xfId="1366" xr:uid="{52619BF3-FC8B-4260-ACFB-A3C09793E5C4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2 2 2" xfId="2455" xr:uid="{F091E757-A371-4685-9AB5-1D842AEE8BCB}"/>
    <cellStyle name="40% - Accent2 4 2 2 3" xfId="2960" xr:uid="{8BF44AAC-0CB0-4AFB-B72E-99BBA4F4BF66}"/>
    <cellStyle name="40% - Accent2 4 2 2 4" xfId="4068" xr:uid="{5F76FC80-B4BC-4EEF-9058-C10C73B60A7C}"/>
    <cellStyle name="40% - Accent2 4 2 2 5" xfId="1376" xr:uid="{252FA518-F6E6-4136-9DF3-BC594200F24C}"/>
    <cellStyle name="40% - Accent2 4 2 3" xfId="2236" xr:uid="{45A51FE7-805C-42A8-9A39-5647BC02BD44}"/>
    <cellStyle name="40% - Accent2 4 2 3 2" xfId="3743" xr:uid="{1F696332-A4D0-44C7-AD33-67F312B53060}"/>
    <cellStyle name="40% - Accent2 4 2 4" xfId="2741" xr:uid="{421EF7E0-E164-4B95-B046-6F0ADAD1B81F}"/>
    <cellStyle name="40% - Accent2 4 2 5" xfId="4067" xr:uid="{15F1A21B-9458-4344-BF67-DA3393EE4210}"/>
    <cellStyle name="40% - Accent2 4 2 6" xfId="1375" xr:uid="{57A57EB2-C551-4751-BCA8-F0D8D0F44C65}"/>
    <cellStyle name="40% - Accent2 4 3" xfId="328" xr:uid="{9147CC8F-00C9-474E-937A-FC0A744156E1}"/>
    <cellStyle name="40% - Accent2 4 3 2" xfId="2345" xr:uid="{55EAF41C-D6D6-42AD-8266-451DA136F31D}"/>
    <cellStyle name="40% - Accent2 4 3 2 2" xfId="3231" xr:uid="{A1CD40E9-7303-4D51-B58F-9DB78C7F95A2}"/>
    <cellStyle name="40% - Accent2 4 3 3" xfId="2850" xr:uid="{3453B756-150C-41AA-877D-F11007886D6C}"/>
    <cellStyle name="40% - Accent2 4 3 4" xfId="4069" xr:uid="{AA96ED5E-5E48-4634-8FFD-74BBF0CB90CC}"/>
    <cellStyle name="40% - Accent2 4 3 5" xfId="1377" xr:uid="{ADA3312F-6FFA-40A4-B932-FB3B36C6A8FF}"/>
    <cellStyle name="40% - Accent2 4 4" xfId="2119" xr:uid="{03D6CEB9-874B-4234-B513-2E3FA213E481}"/>
    <cellStyle name="40% - Accent2 4 4 2" xfId="3102" xr:uid="{EFE818C7-5EFE-4E7F-BB80-9CA11EA4A879}"/>
    <cellStyle name="40% - Accent2 4 5" xfId="2631" xr:uid="{304622DD-575A-4D7A-AC66-D94221DDE5DD}"/>
    <cellStyle name="40% - Accent2 4 6" xfId="4066" xr:uid="{E7EDE3E1-D8B6-44F8-BE99-130149B32E98}"/>
    <cellStyle name="40% - Accent2 4 7" xfId="1374" xr:uid="{E5554A72-E295-4B93-94DD-49C51C8E30B4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2 2 2" xfId="2417" xr:uid="{32B24DA1-B6A4-4E1D-BD6B-BD29E68B58E3}"/>
    <cellStyle name="40% - Accent2 5 2 2 3" xfId="2922" xr:uid="{F544112A-57B2-438F-B720-F44CA74A48BD}"/>
    <cellStyle name="40% - Accent2 5 2 2 4" xfId="4072" xr:uid="{03D140A8-50A1-4191-9C56-B3A9D14FD16F}"/>
    <cellStyle name="40% - Accent2 5 2 2 5" xfId="1380" xr:uid="{0299BC33-FC3A-4943-A00D-AB0BD719ED7A}"/>
    <cellStyle name="40% - Accent2 5 2 3" xfId="2198" xr:uid="{01F88F0B-1E3D-4BD1-BA13-954FEFA1D41A}"/>
    <cellStyle name="40% - Accent2 5 2 4" xfId="2703" xr:uid="{F887CE78-4E94-471E-9170-4521FAE32873}"/>
    <cellStyle name="40% - Accent2 5 2 5" xfId="4071" xr:uid="{33220CAF-003C-4C05-B95A-E77B261C30E8}"/>
    <cellStyle name="40% - Accent2 5 2 6" xfId="1379" xr:uid="{828C424C-5971-4097-931D-9DBE288C6F69}"/>
    <cellStyle name="40% - Accent2 5 3" xfId="332" xr:uid="{59F9F5CE-3158-4FD9-9A88-A734DB48C25D}"/>
    <cellStyle name="40% - Accent2 5 3 2" xfId="2307" xr:uid="{57AE5196-258E-4131-8245-FBD908718BE1}"/>
    <cellStyle name="40% - Accent2 5 3 3" xfId="2812" xr:uid="{9ED8CDEE-2E42-47E8-9AC7-CD08CCBF80E5}"/>
    <cellStyle name="40% - Accent2 5 3 4" xfId="4073" xr:uid="{CE652837-6057-40C0-B57D-37B7648ECE52}"/>
    <cellStyle name="40% - Accent2 5 3 5" xfId="1381" xr:uid="{1542084A-0EAA-4BD4-8B54-D2A3689566E8}"/>
    <cellStyle name="40% - Accent2 5 4" xfId="2076" xr:uid="{FD766F09-294E-4D48-A39E-036885AC9521}"/>
    <cellStyle name="40% - Accent2 5 5" xfId="2593" xr:uid="{83C7D90C-58AA-45C4-B4E5-A5F60C15B807}"/>
    <cellStyle name="40% - Accent2 5 6" xfId="4070" xr:uid="{DC1DF400-CA29-4F55-B5EA-20A463A5E2A2}"/>
    <cellStyle name="40% - Accent2 5 7" xfId="1378" xr:uid="{DA6011E9-7D21-4996-BF76-14B0123C7790}"/>
    <cellStyle name="40% - Accent2 6" xfId="333" xr:uid="{A55A3AE5-557F-4C18-B6C6-47418F44B52E}"/>
    <cellStyle name="40% - Accent2 6 2" xfId="334" xr:uid="{3131B50C-E393-4843-8FED-0F7934B1A224}"/>
    <cellStyle name="40% - Accent2 6 2 2" xfId="2371" xr:uid="{D5C17099-BC47-41E2-BC4F-3A4E1076DBEC}"/>
    <cellStyle name="40% - Accent2 6 2 3" xfId="2876" xr:uid="{08750390-9945-4AF9-B65A-6E76CBEC8361}"/>
    <cellStyle name="40% - Accent2 6 2 4" xfId="4075" xr:uid="{575665E9-9DC1-4FA0-A299-2C7C6994D3ED}"/>
    <cellStyle name="40% - Accent2 6 2 5" xfId="1383" xr:uid="{DBC72916-741E-4C39-8C06-F858B35484EF}"/>
    <cellStyle name="40% - Accent2 6 3" xfId="2150" xr:uid="{732993C6-87C1-4E2B-9542-4C838865A736}"/>
    <cellStyle name="40% - Accent2 6 4" xfId="2657" xr:uid="{501866AC-154B-431B-8EF3-9F46E6755384}"/>
    <cellStyle name="40% - Accent2 6 5" xfId="4074" xr:uid="{74D526A4-6590-47A5-B939-58016AA49622}"/>
    <cellStyle name="40% - Accent2 6 6" xfId="1382" xr:uid="{F1896835-8B9E-46D2-8D36-AE7ABE7CEF4C}"/>
    <cellStyle name="40% - Accent2 7" xfId="335" xr:uid="{6E4D8FD3-0FF5-47FC-A963-A28D789BC390}"/>
    <cellStyle name="40% - Accent2 7 2" xfId="336" xr:uid="{6CBE59F8-1847-41CB-8D01-D218AE7DA5A1}"/>
    <cellStyle name="40% - Accent2 7 2 2" xfId="1385" xr:uid="{2ECB1763-524B-4A18-A773-38CF5638AF3F}"/>
    <cellStyle name="40% - Accent2 7 3" xfId="2261" xr:uid="{C89D4B26-B372-40A6-AC65-BD65CC0FE49B}"/>
    <cellStyle name="40% - Accent2 7 4" xfId="2766" xr:uid="{B816777D-FBD0-44D7-B368-0790A6C5AF95}"/>
    <cellStyle name="40% - Accent2 7 5" xfId="4076" xr:uid="{77316EB7-39B4-4C8E-B9CC-4F1C9967AC26}"/>
    <cellStyle name="40% - Accent2 7 6" xfId="1384" xr:uid="{16A8E716-7470-4135-B2FA-5E075D99C733}"/>
    <cellStyle name="40% - Accent2 8" xfId="2028" xr:uid="{90968C6B-55F9-4B1F-986D-85B63195359C}"/>
    <cellStyle name="40% - Accent2 8 2" xfId="2547" xr:uid="{3B804A9D-61A3-4FC1-8C1E-86B44370B624}"/>
    <cellStyle name="40% - Accent2 8 3" xfId="4077" xr:uid="{0D14AFC8-A095-44CD-8985-833853D9C94A}"/>
    <cellStyle name="40% - Accent2 9" xfId="2495" xr:uid="{17F20EF8-AB28-4318-B06D-39852162B035}"/>
    <cellStyle name="40% - Accent3" xfId="1040" builtinId="39" customBuiltin="1"/>
    <cellStyle name="40% - Accent3 10" xfId="4078" xr:uid="{62C3B0A0-ACD8-470F-A11C-F3CE129DEBE3}"/>
    <cellStyle name="40% - Accent3 2" xfId="337" xr:uid="{3987151B-1D2F-4D8B-B5EC-F838866D2B8A}"/>
    <cellStyle name="40% - Accent3 2 10" xfId="1386" xr:uid="{C4C14F3B-2024-4272-BD9B-53EC60059F69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2 2 2" xfId="1390" xr:uid="{B8AE8820-9674-45D1-812D-1CB5E30C317D}"/>
    <cellStyle name="40% - Accent3 2 2 2 2 3" xfId="1389" xr:uid="{3FB6B7E9-D7E6-4723-8705-381EAA7A8164}"/>
    <cellStyle name="40% - Accent3 2 2 2 3" xfId="342" xr:uid="{286AAE45-6642-491F-895F-91794B5D3332}"/>
    <cellStyle name="40% - Accent3 2 2 2 3 2" xfId="1391" xr:uid="{8418ECA4-C4E1-455E-9F9B-567E8F3C160F}"/>
    <cellStyle name="40% - Accent3 2 2 2 4" xfId="3189" xr:uid="{1FD9B3A4-4AE9-4334-BFBC-EE163DB87D3F}"/>
    <cellStyle name="40% - Accent3 2 2 2 5" xfId="1388" xr:uid="{3C594129-5905-458C-B126-FD84A1704AB7}"/>
    <cellStyle name="40% - Accent3 2 2 3" xfId="343" xr:uid="{762F9FFB-6577-460B-A39E-A0CCEF9A7B4B}"/>
    <cellStyle name="40% - Accent3 2 2 3 2" xfId="344" xr:uid="{7A5A3A83-29D2-4387-A871-8E71243F2F74}"/>
    <cellStyle name="40% - Accent3 2 2 3 2 2" xfId="1393" xr:uid="{3389ABBF-FA76-42E3-96BA-7B0E4AB03628}"/>
    <cellStyle name="40% - Accent3 2 2 3 3" xfId="3546" xr:uid="{4E2D5C4C-7571-4953-AA85-F7AE9286A055}"/>
    <cellStyle name="40% - Accent3 2 2 3 4" xfId="1392" xr:uid="{063CBEF6-5A62-48F6-96E2-EFAA0FCF81FB}"/>
    <cellStyle name="40% - Accent3 2 2 4" xfId="345" xr:uid="{31CC545E-3AF0-4F95-9FBA-CD0F2070A886}"/>
    <cellStyle name="40% - Accent3 2 2 4 2" xfId="1394" xr:uid="{5D1DDF4D-1B6B-40B9-B4A8-600D9D149117}"/>
    <cellStyle name="40% - Accent3 2 2 5" xfId="3021" xr:uid="{698AC94D-0495-4CD6-94F1-5317696E59EE}"/>
    <cellStyle name="40% - Accent3 2 2 6" xfId="1387" xr:uid="{0D1F52D5-6EC3-4A25-B5A2-405C70C9CE1E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2 2 2" xfId="1397" xr:uid="{B398254B-47F6-4248-8C52-53DE6F6C43ED}"/>
    <cellStyle name="40% - Accent3 2 3 2 3" xfId="3217" xr:uid="{029F713A-D96F-45CF-95FF-713923805430}"/>
    <cellStyle name="40% - Accent3 2 3 2 4" xfId="1396" xr:uid="{E79B041C-B73F-4CFB-A895-019E684A5027}"/>
    <cellStyle name="40% - Accent3 2 3 3" xfId="349" xr:uid="{445B8B71-DCB5-4F55-B9C3-F59EAC6F0F11}"/>
    <cellStyle name="40% - Accent3 2 3 3 2" xfId="1398" xr:uid="{14CDEFC7-3E19-4DF4-90F2-40143B0664C4}"/>
    <cellStyle name="40% - Accent3 2 3 4" xfId="2508" xr:uid="{22F3D835-5636-4BFD-BD50-67D01037A38D}"/>
    <cellStyle name="40% - Accent3 2 3 5" xfId="1395" xr:uid="{099E5993-33C7-41D5-94E5-EADB55A7CE08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2 2 2" xfId="1401" xr:uid="{997B958E-674D-48BC-A518-5E158D639605}"/>
    <cellStyle name="40% - Accent3 2 4 2 3" xfId="1400" xr:uid="{2E61F7CD-DBE3-4B28-94AE-BEA04C4A4048}"/>
    <cellStyle name="40% - Accent3 2 4 3" xfId="353" xr:uid="{CE4C7860-5062-4C6C-AF3E-E09123CF039C}"/>
    <cellStyle name="40% - Accent3 2 4 3 2" xfId="1402" xr:uid="{E11C71A1-8EFF-48CA-949B-8BA879E5D3A6}"/>
    <cellStyle name="40% - Accent3 2 4 4" xfId="3037" xr:uid="{5A428526-DCC8-4C0C-A213-18539C49F14B}"/>
    <cellStyle name="40% - Accent3 2 4 5" xfId="1399" xr:uid="{995A582E-4348-405F-9753-DED3E59D14A4}"/>
    <cellStyle name="40% - Accent3 2 5" xfId="354" xr:uid="{44FE2787-1945-4A44-93A6-3578D0E0413B}"/>
    <cellStyle name="40% - Accent3 2 5 2" xfId="355" xr:uid="{C92F01CF-F696-458B-AE7A-EB7163058976}"/>
    <cellStyle name="40% - Accent3 2 5 2 2" xfId="1404" xr:uid="{DBB7A1AB-59EE-4DE9-8987-F416E49212EB}"/>
    <cellStyle name="40% - Accent3 2 5 3" xfId="3399" xr:uid="{E2F6263F-638A-4D93-85DC-896404925AC6}"/>
    <cellStyle name="40% - Accent3 2 5 4" xfId="1403" xr:uid="{D930E601-491E-48DF-9222-4CF20ECE975C}"/>
    <cellStyle name="40% - Accent3 2 6" xfId="356" xr:uid="{71FF4680-1710-4633-97E4-3269104ABCA0}"/>
    <cellStyle name="40% - Accent3 2 6 2" xfId="357" xr:uid="{193F2F2C-AA8B-4C1F-A99E-2D58C5BB92BE}"/>
    <cellStyle name="40% - Accent3 2 6 2 2" xfId="1406" xr:uid="{D6391257-B613-4743-A0B3-31FF77FBC51C}"/>
    <cellStyle name="40% - Accent3 2 6 3" xfId="3013" xr:uid="{31D9004C-0768-4C22-AEF6-5A95AB492D25}"/>
    <cellStyle name="40% - Accent3 2 6 4" xfId="1405" xr:uid="{E5A9A03E-7F38-4E5B-AAA0-187EDA904568}"/>
    <cellStyle name="40% - Accent3 2 7" xfId="358" xr:uid="{09D364B2-92F9-4FE1-82E7-059075FDCD92}"/>
    <cellStyle name="40% - Accent3 2 7 2" xfId="1407" xr:uid="{A9BEF31C-DEB0-4C3B-8946-121B42FC5AD7}"/>
    <cellStyle name="40% - Accent3 2 8" xfId="1930" xr:uid="{170B4E6E-9E3C-4E6F-983C-C8667AFF6429}"/>
    <cellStyle name="40% - Accent3 2 9" xfId="4079" xr:uid="{10FA5F4C-F823-481C-99BB-8F5CF4FF352A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2 2 2" xfId="2438" xr:uid="{FB92435D-A335-4702-8B58-589130A8176E}"/>
    <cellStyle name="40% - Accent3 3 2 2 2 3" xfId="2943" xr:uid="{9D6A59E1-2D24-4A58-8619-8C86F1FF3E9D}"/>
    <cellStyle name="40% - Accent3 3 2 2 2 4" xfId="4083" xr:uid="{6BC9B7BB-00A8-4F1B-9197-A23A01D4CE51}"/>
    <cellStyle name="40% - Accent3 3 2 2 2 5" xfId="1411" xr:uid="{F0269A80-50E5-4715-B2DE-317C9ACFFF84}"/>
    <cellStyle name="40% - Accent3 3 2 2 3" xfId="2219" xr:uid="{EC053615-A423-42A3-944B-3255D2B25539}"/>
    <cellStyle name="40% - Accent3 3 2 2 3 2" xfId="3745" xr:uid="{B2AB9EB1-8133-4950-AA4B-326F762433BE}"/>
    <cellStyle name="40% - Accent3 3 2 2 4" xfId="2724" xr:uid="{EAB73D23-9BD5-41F7-A558-73E1EAACAB47}"/>
    <cellStyle name="40% - Accent3 3 2 2 5" xfId="4082" xr:uid="{1834B85A-49C4-4226-87AE-B43CDA596604}"/>
    <cellStyle name="40% - Accent3 3 2 2 6" xfId="1410" xr:uid="{1691638A-115C-45EC-A0DF-42E91C67AFCE}"/>
    <cellStyle name="40% - Accent3 3 2 3" xfId="363" xr:uid="{8819C5C2-FAE1-4D7D-9FB2-2ED3436BD2B4}"/>
    <cellStyle name="40% - Accent3 3 2 3 2" xfId="2328" xr:uid="{F88BF505-F4FC-4E73-9554-B5E91873A1B9}"/>
    <cellStyle name="40% - Accent3 3 2 3 3" xfId="2833" xr:uid="{39BB1224-1035-47CB-9466-0F8147C4CBC1}"/>
    <cellStyle name="40% - Accent3 3 2 3 4" xfId="4084" xr:uid="{720F4D9E-8B8E-4431-8FC7-0CC03F1E113A}"/>
    <cellStyle name="40% - Accent3 3 2 3 5" xfId="1412" xr:uid="{2A41F0B4-52CC-4955-B6EC-1FC7EB08132F}"/>
    <cellStyle name="40% - Accent3 3 2 4" xfId="2102" xr:uid="{3A2F3704-EA9C-4BFB-81A9-BE7BAF548CB8}"/>
    <cellStyle name="40% - Accent3 3 2 4 2" xfId="3744" xr:uid="{4174A55F-484D-40A0-B7EA-D42C4BB0F451}"/>
    <cellStyle name="40% - Accent3 3 2 5" xfId="2614" xr:uid="{A303D3D4-562B-40D5-8E34-928258A4A37A}"/>
    <cellStyle name="40% - Accent3 3 2 6" xfId="4081" xr:uid="{69C58903-7963-4AD4-95FE-1DB0096EE325}"/>
    <cellStyle name="40% - Accent3 3 2 7" xfId="1409" xr:uid="{2EFC4818-22DE-4A25-BB38-CC7E8011C288}"/>
    <cellStyle name="40% - Accent3 3 3" xfId="364" xr:uid="{7F89123A-2386-4A13-8622-9D9D626A14B5}"/>
    <cellStyle name="40% - Accent3 3 3 2" xfId="365" xr:uid="{1D6EBC21-57C9-4138-8282-CF032D7AD4D5}"/>
    <cellStyle name="40% - Accent3 3 3 2 2" xfId="2395" xr:uid="{E87E2B4E-9104-4B85-A7DC-91ACDF29F112}"/>
    <cellStyle name="40% - Accent3 3 3 2 3" xfId="2900" xr:uid="{F54832FF-DB10-4B88-8AEB-20E24C3FC93E}"/>
    <cellStyle name="40% - Accent3 3 3 2 4" xfId="4086" xr:uid="{ACF756EA-2619-4BE4-9340-8FB50AE6BAB4}"/>
    <cellStyle name="40% - Accent3 3 3 2 5" xfId="1414" xr:uid="{9C5A2A0F-57C6-423F-8CBE-CB06CAD4530F}"/>
    <cellStyle name="40% - Accent3 3 3 3" xfId="2176" xr:uid="{91D26655-D5EC-4AF3-9A54-3B0B898BED81}"/>
    <cellStyle name="40% - Accent3 3 3 3 2" xfId="3746" xr:uid="{6A6D7E43-1F25-4EF7-9F41-72FFD4532363}"/>
    <cellStyle name="40% - Accent3 3 3 4" xfId="2681" xr:uid="{B5E1FD61-4173-4519-8333-1B4983DF8324}"/>
    <cellStyle name="40% - Accent3 3 3 5" xfId="4085" xr:uid="{A8DADC16-CB68-4EA4-AACB-E571EEC4BDD3}"/>
    <cellStyle name="40% - Accent3 3 3 6" xfId="1413" xr:uid="{1378E890-61AF-4CB8-AA2F-6A35F84E3329}"/>
    <cellStyle name="40% - Accent3 3 4" xfId="366" xr:uid="{9FB1FCAD-BC4A-4329-BBC2-1E4E35367F0B}"/>
    <cellStyle name="40% - Accent3 3 4 2" xfId="2285" xr:uid="{4745219C-FED6-41FF-83A0-8874BD7A71E7}"/>
    <cellStyle name="40% - Accent3 3 4 3" xfId="2790" xr:uid="{B39B81E9-73BC-4C2E-91F4-5E8C2E26A63D}"/>
    <cellStyle name="40% - Accent3 3 4 4" xfId="4087" xr:uid="{DED54805-C6F0-4FCA-A335-E7C1F6160C82}"/>
    <cellStyle name="40% - Accent3 3 4 5" xfId="1415" xr:uid="{7123452D-5640-4998-A620-F60A26380498}"/>
    <cellStyle name="40% - Accent3 3 5" xfId="2054" xr:uid="{BBED7873-7549-485B-9D77-440549CF9FF1}"/>
    <cellStyle name="40% - Accent3 3 5 2" xfId="2571" xr:uid="{01E72B96-AC13-4D8E-B999-5708CDEB39F7}"/>
    <cellStyle name="40% - Accent3 3 5 3" xfId="4088" xr:uid="{8B45004C-3E69-4604-A9DF-2E0B73D3924B}"/>
    <cellStyle name="40% - Accent3 3 6" xfId="2006" xr:uid="{6469FD3C-0702-4DAE-9A42-9D4BC4AA2FD5}"/>
    <cellStyle name="40% - Accent3 3 7" xfId="2530" xr:uid="{119E1066-DEA2-47CB-B571-96625CE2969A}"/>
    <cellStyle name="40% - Accent3 3 8" xfId="4080" xr:uid="{E45B2565-E706-49D1-B2E7-8740D9FC87BD}"/>
    <cellStyle name="40% - Accent3 3 9" xfId="1408" xr:uid="{0A5EE259-4A21-45B5-BCC4-37A5A82FCE34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2 2 2" xfId="2457" xr:uid="{07089740-82D0-4D4D-AA40-DFA0CBFE1F14}"/>
    <cellStyle name="40% - Accent3 4 2 2 3" xfId="2962" xr:uid="{6881DC62-EA9E-4C87-942D-EE2B31341763}"/>
    <cellStyle name="40% - Accent3 4 2 2 4" xfId="4091" xr:uid="{B0E00331-4901-4C3C-AE2B-70B3E04BFC89}"/>
    <cellStyle name="40% - Accent3 4 2 2 5" xfId="1418" xr:uid="{2D187649-DD7F-4EF9-9E99-DFAEDFD8C42D}"/>
    <cellStyle name="40% - Accent3 4 2 3" xfId="2238" xr:uid="{6545D236-499E-4811-8944-3E792271D8EE}"/>
    <cellStyle name="40% - Accent3 4 2 3 2" xfId="3747" xr:uid="{93A48429-8A3A-49AF-91E3-661967C36A00}"/>
    <cellStyle name="40% - Accent3 4 2 4" xfId="2743" xr:uid="{09C9333D-DD68-4C05-95CE-E4B22DDCD430}"/>
    <cellStyle name="40% - Accent3 4 2 5" xfId="4090" xr:uid="{0CD2D90B-DBC5-4E57-9192-DE424BEB7301}"/>
    <cellStyle name="40% - Accent3 4 2 6" xfId="1417" xr:uid="{8E1B25D6-BB46-4092-918B-4F924511B37B}"/>
    <cellStyle name="40% - Accent3 4 3" xfId="370" xr:uid="{8D377D81-6101-497D-A879-EBF36C2783C2}"/>
    <cellStyle name="40% - Accent3 4 3 2" xfId="2347" xr:uid="{77C6D721-C61A-4BA8-84A8-3B72EDE7DB49}"/>
    <cellStyle name="40% - Accent3 4 3 2 2" xfId="3233" xr:uid="{30B1E76C-21FA-4534-BAB9-366487606427}"/>
    <cellStyle name="40% - Accent3 4 3 3" xfId="2852" xr:uid="{B8D2E512-190A-4D41-AFAF-804885F055F6}"/>
    <cellStyle name="40% - Accent3 4 3 4" xfId="4092" xr:uid="{20679C98-A025-47E3-9966-D199D15A6F60}"/>
    <cellStyle name="40% - Accent3 4 3 5" xfId="1419" xr:uid="{538F9C9F-2BDE-4E91-AFC9-0B766FDFF18A}"/>
    <cellStyle name="40% - Accent3 4 4" xfId="2121" xr:uid="{EC05EAA0-24D3-429D-A047-8BA8D7FEC860}"/>
    <cellStyle name="40% - Accent3 4 4 2" xfId="3065" xr:uid="{E34DB669-21BE-4C08-91B1-52957261AAED}"/>
    <cellStyle name="40% - Accent3 4 5" xfId="2633" xr:uid="{7DDB1A03-0775-41F2-A90C-42D04D81E646}"/>
    <cellStyle name="40% - Accent3 4 6" xfId="4089" xr:uid="{AA2966DF-C20C-4BDA-82C9-31F387767013}"/>
    <cellStyle name="40% - Accent3 4 7" xfId="1416" xr:uid="{57CA3BEB-140E-4D66-B496-2BFCB85E70DF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2 2 2" xfId="2419" xr:uid="{493C11C7-97C0-46FE-9057-0F14AFBA4B22}"/>
    <cellStyle name="40% - Accent3 5 2 2 3" xfId="2924" xr:uid="{66603608-DEDD-4368-ACAB-D9B0E7412DFC}"/>
    <cellStyle name="40% - Accent3 5 2 2 4" xfId="4095" xr:uid="{C008FE68-95C6-4714-B0F3-B2D3FAE80245}"/>
    <cellStyle name="40% - Accent3 5 2 2 5" xfId="1422" xr:uid="{40A7929A-537B-49E1-A072-3744E56A4E8F}"/>
    <cellStyle name="40% - Accent3 5 2 3" xfId="2200" xr:uid="{8DFF243F-BBA7-4F23-929C-37D221FE86C9}"/>
    <cellStyle name="40% - Accent3 5 2 4" xfId="2705" xr:uid="{7AF136A0-97C8-4FAA-A815-891D3033A4C4}"/>
    <cellStyle name="40% - Accent3 5 2 5" xfId="4094" xr:uid="{79A4EE94-CB64-4595-AE2D-7D398619788A}"/>
    <cellStyle name="40% - Accent3 5 2 6" xfId="1421" xr:uid="{007A66A8-765D-4323-8462-DCA355A91DEF}"/>
    <cellStyle name="40% - Accent3 5 3" xfId="374" xr:uid="{B962106D-AB30-4311-9DB6-629E3042EE31}"/>
    <cellStyle name="40% - Accent3 5 3 2" xfId="2309" xr:uid="{DC77397A-6122-4D68-A017-DB432B2E5932}"/>
    <cellStyle name="40% - Accent3 5 3 3" xfId="2814" xr:uid="{6984E80E-CAE9-4747-9CFF-670A38DC1468}"/>
    <cellStyle name="40% - Accent3 5 3 4" xfId="4096" xr:uid="{1171336A-C90D-4E6A-A50E-552C82803FC9}"/>
    <cellStyle name="40% - Accent3 5 3 5" xfId="1423" xr:uid="{3E596F95-2025-4E7B-9856-8737BDF1ED11}"/>
    <cellStyle name="40% - Accent3 5 4" xfId="2078" xr:uid="{52E3042A-136C-4928-AB7F-AC6C5043C417}"/>
    <cellStyle name="40% - Accent3 5 5" xfId="2595" xr:uid="{8D34A817-9A1D-44FA-893C-8603ABAC95B8}"/>
    <cellStyle name="40% - Accent3 5 6" xfId="4093" xr:uid="{6CA04D68-DE49-41C2-9B6D-C83E6E73BE52}"/>
    <cellStyle name="40% - Accent3 5 7" xfId="1420" xr:uid="{253E8CD9-505E-4520-9D48-7B1374409A20}"/>
    <cellStyle name="40% - Accent3 6" xfId="375" xr:uid="{FA54B4A6-317B-4B28-9B5E-EF39D060E943}"/>
    <cellStyle name="40% - Accent3 6 2" xfId="376" xr:uid="{C4E0D6C8-7468-4142-90BB-6BDF7530DACC}"/>
    <cellStyle name="40% - Accent3 6 2 2" xfId="2373" xr:uid="{83E095FD-E122-4D2B-865C-31E6BC895F67}"/>
    <cellStyle name="40% - Accent3 6 2 3" xfId="2878" xr:uid="{8AF52C61-3808-4606-946D-B4FB2E63CD66}"/>
    <cellStyle name="40% - Accent3 6 2 4" xfId="4098" xr:uid="{33CD01EC-5553-4FB9-A025-A91A12318F4E}"/>
    <cellStyle name="40% - Accent3 6 2 5" xfId="1425" xr:uid="{24237516-F104-4AAA-B369-5D2A137E3653}"/>
    <cellStyle name="40% - Accent3 6 3" xfId="2152" xr:uid="{A9283BA8-9CB0-4F61-998A-F3F370DCF30E}"/>
    <cellStyle name="40% - Accent3 6 4" xfId="2659" xr:uid="{34A8DB9B-91A3-4AC5-B413-A0017290501C}"/>
    <cellStyle name="40% - Accent3 6 5" xfId="4097" xr:uid="{50DB20F6-9A18-413D-9D3D-A1D8DDCF3709}"/>
    <cellStyle name="40% - Accent3 6 6" xfId="1424" xr:uid="{EE18A067-E9C8-4967-9A4D-E1008A8368E6}"/>
    <cellStyle name="40% - Accent3 7" xfId="377" xr:uid="{A27D9880-A7CD-4561-BB7E-463DFB5EE476}"/>
    <cellStyle name="40% - Accent3 7 2" xfId="378" xr:uid="{751A72F5-0BCF-476D-ADFF-DDA848FEA1E4}"/>
    <cellStyle name="40% - Accent3 7 2 2" xfId="1427" xr:uid="{0F5B7454-4852-4C58-A101-2AA3A1F559B3}"/>
    <cellStyle name="40% - Accent3 7 3" xfId="2263" xr:uid="{1C08A7EA-C370-4334-8F23-2D36D5D15289}"/>
    <cellStyle name="40% - Accent3 7 4" xfId="2768" xr:uid="{639640B7-9A20-4CEF-991C-9D92B74744C2}"/>
    <cellStyle name="40% - Accent3 7 5" xfId="4099" xr:uid="{0F4DF2D6-545E-4A82-A42D-368CE3A757CC}"/>
    <cellStyle name="40% - Accent3 7 6" xfId="1426" xr:uid="{C585D2B9-C2C4-4CEE-AC75-FF2F12F21C73}"/>
    <cellStyle name="40% - Accent3 8" xfId="2030" xr:uid="{A70B39DB-86A2-407B-BCCC-06FD23D72534}"/>
    <cellStyle name="40% - Accent3 8 2" xfId="2549" xr:uid="{11D9C238-0721-40B1-BC9F-143D3F185293}"/>
    <cellStyle name="40% - Accent3 8 3" xfId="4100" xr:uid="{E7962154-FE48-4D99-8E4F-B9CDD19376A2}"/>
    <cellStyle name="40% - Accent3 9" xfId="2497" xr:uid="{2D75E80B-659F-4A68-BD26-9D9F93EDE0A8}"/>
    <cellStyle name="40% - Accent4" xfId="1043" builtinId="43" customBuiltin="1"/>
    <cellStyle name="40% - Accent4 10" xfId="4101" xr:uid="{DA2DB839-B578-4054-BAFC-B37931D05820}"/>
    <cellStyle name="40% - Accent4 2" xfId="379" xr:uid="{0B7A73BE-66A9-47CA-84CF-D5DEF4C0483F}"/>
    <cellStyle name="40% - Accent4 2 10" xfId="1428" xr:uid="{D2B4CEED-53F1-4A9D-AE0A-462F3FB2E9D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2 2 2" xfId="1432" xr:uid="{DE4AFDA1-6679-4975-BD9F-2A3379D20E92}"/>
    <cellStyle name="40% - Accent4 2 2 2 2 3" xfId="1431" xr:uid="{84133C66-CC98-48ED-B402-D73DA5B04993}"/>
    <cellStyle name="40% - Accent4 2 2 2 3" xfId="384" xr:uid="{34E5BA05-FE6A-4581-AB54-2838D9450EDB}"/>
    <cellStyle name="40% - Accent4 2 2 2 3 2" xfId="1433" xr:uid="{4D028518-EC8D-48C2-81E5-4799307423C7}"/>
    <cellStyle name="40% - Accent4 2 2 2 4" xfId="3191" xr:uid="{CAE44583-E276-49FB-8398-A1582C218329}"/>
    <cellStyle name="40% - Accent4 2 2 2 5" xfId="1430" xr:uid="{3293E031-850B-41BA-AD30-23C60FBCF093}"/>
    <cellStyle name="40% - Accent4 2 2 3" xfId="385" xr:uid="{B365A40B-3FA5-48FF-A1D2-C47E1A081A6F}"/>
    <cellStyle name="40% - Accent4 2 2 3 2" xfId="386" xr:uid="{6FF4D0DE-EB9B-4FF6-9416-3237F313381C}"/>
    <cellStyle name="40% - Accent4 2 2 3 2 2" xfId="1435" xr:uid="{98F54822-EEA3-4BA6-ACAA-14F1F8EC1BCA}"/>
    <cellStyle name="40% - Accent4 2 2 3 3" xfId="3280" xr:uid="{4EF8F9B6-AF86-4629-832F-536E07C0D6AE}"/>
    <cellStyle name="40% - Accent4 2 2 3 4" xfId="1434" xr:uid="{823CCAD0-630D-490B-8E28-61861A91297B}"/>
    <cellStyle name="40% - Accent4 2 2 4" xfId="387" xr:uid="{8A4BB3DF-A4D8-43FC-B5D9-6888D5769EB1}"/>
    <cellStyle name="40% - Accent4 2 2 4 2" xfId="1436" xr:uid="{E9E1D7CC-2F6A-4B88-90D0-C51BC2B248F5}"/>
    <cellStyle name="40% - Accent4 2 2 5" xfId="3162" xr:uid="{2B068700-C28D-4C33-8AC7-F2C165A19280}"/>
    <cellStyle name="40% - Accent4 2 2 6" xfId="1429" xr:uid="{C8DA774B-6C2B-4D3B-849D-7139AF9A2079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2 2 2" xfId="1439" xr:uid="{F931FB01-B157-4358-9666-00C56EE74B8A}"/>
    <cellStyle name="40% - Accent4 2 3 2 3" xfId="3219" xr:uid="{B31D1B36-AEAA-4D31-AB90-B7655291BAC5}"/>
    <cellStyle name="40% - Accent4 2 3 2 4" xfId="1438" xr:uid="{571DDE9A-BA82-41FE-897A-3978E7117F31}"/>
    <cellStyle name="40% - Accent4 2 3 3" xfId="391" xr:uid="{4B100289-6D20-4A98-97AF-73BDDFA93FD5}"/>
    <cellStyle name="40% - Accent4 2 3 3 2" xfId="1440" xr:uid="{7BEA2BFD-FAA5-47A9-BE78-88F0AD590708}"/>
    <cellStyle name="40% - Accent4 2 3 4" xfId="3130" xr:uid="{129D4208-B407-4D61-A775-C54C870FDBBF}"/>
    <cellStyle name="40% - Accent4 2 3 5" xfId="1437" xr:uid="{01215D88-0212-49BD-AE86-4229FAC9B582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2 2 2" xfId="1443" xr:uid="{6FDE2194-DC73-4848-A12C-B3289E2CF666}"/>
    <cellStyle name="40% - Accent4 2 4 2 3" xfId="1442" xr:uid="{C2CC6B39-1696-49E7-8C09-C7B5D1DDEDB7}"/>
    <cellStyle name="40% - Accent4 2 4 3" xfId="395" xr:uid="{20F2B0F4-1604-47B3-9BC6-D8D2AD7E0A19}"/>
    <cellStyle name="40% - Accent4 2 4 3 2" xfId="1444" xr:uid="{75AD4E58-FC27-4DA7-AC94-37A936D44605}"/>
    <cellStyle name="40% - Accent4 2 4 4" xfId="3144" xr:uid="{159F4062-A9E2-4B6C-9239-E7B2F8D42113}"/>
    <cellStyle name="40% - Accent4 2 4 5" xfId="1441" xr:uid="{B3702ADA-2E91-4FC9-A8E8-C87FE9F577F4}"/>
    <cellStyle name="40% - Accent4 2 5" xfId="396" xr:uid="{CCA72493-E2F1-4F32-AA9D-983E88102B1A}"/>
    <cellStyle name="40% - Accent4 2 5 2" xfId="397" xr:uid="{2D65DEA4-2E07-43C3-9993-D8B6A253DF32}"/>
    <cellStyle name="40% - Accent4 2 5 2 2" xfId="1446" xr:uid="{95AA6D18-FACC-491B-AFAD-80F4FE24F8C2}"/>
    <cellStyle name="40% - Accent4 2 5 3" xfId="3582" xr:uid="{2F539674-EFA3-47E8-A434-498383BF117E}"/>
    <cellStyle name="40% - Accent4 2 5 4" xfId="1445" xr:uid="{CF255832-68C7-4B5D-9CAA-99D8EA259338}"/>
    <cellStyle name="40% - Accent4 2 6" xfId="398" xr:uid="{14FEA210-3BF3-4017-9630-1993DF0C960F}"/>
    <cellStyle name="40% - Accent4 2 6 2" xfId="399" xr:uid="{7EF2EF11-B649-4154-8D22-892BC5F514D7}"/>
    <cellStyle name="40% - Accent4 2 6 2 2" xfId="1448" xr:uid="{041AC270-E2C9-4518-8636-C3C740BC86C8}"/>
    <cellStyle name="40% - Accent4 2 6 3" xfId="3135" xr:uid="{2B73FE90-B628-4465-A10A-DFCC0DA4BF2E}"/>
    <cellStyle name="40% - Accent4 2 6 4" xfId="1447" xr:uid="{9F5B3A71-7977-4131-ACFC-B557BCD3232B}"/>
    <cellStyle name="40% - Accent4 2 7" xfId="400" xr:uid="{93028B9F-B9E4-47CF-9E32-F4CF6D1F39B2}"/>
    <cellStyle name="40% - Accent4 2 7 2" xfId="1449" xr:uid="{8322F591-2575-4126-9DE0-443CB4C71237}"/>
    <cellStyle name="40% - Accent4 2 8" xfId="1931" xr:uid="{C232A217-5702-4EBC-88B0-5F97C9026EFB}"/>
    <cellStyle name="40% - Accent4 2 9" xfId="4102" xr:uid="{8C1CECB6-C9BD-4C55-9652-8DA62793C9B8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2 2 2" xfId="2440" xr:uid="{179F6B99-CA5F-4855-A365-BC4FC705D2D2}"/>
    <cellStyle name="40% - Accent4 3 2 2 2 3" xfId="2945" xr:uid="{09141AA9-19E0-47F7-BEA6-334119E6181D}"/>
    <cellStyle name="40% - Accent4 3 2 2 2 4" xfId="4106" xr:uid="{D8E7CE70-6022-4E70-B153-F9B83467B9AB}"/>
    <cellStyle name="40% - Accent4 3 2 2 2 5" xfId="1453" xr:uid="{EE1FF763-3516-48B0-A458-4BA48CB53A27}"/>
    <cellStyle name="40% - Accent4 3 2 2 3" xfId="2221" xr:uid="{7F06C371-38F9-4A19-9138-B3D73A9DBC3C}"/>
    <cellStyle name="40% - Accent4 3 2 2 3 2" xfId="3749" xr:uid="{626E4442-415A-4F21-BCC1-45DBA6618674}"/>
    <cellStyle name="40% - Accent4 3 2 2 4" xfId="2726" xr:uid="{9A80157B-F582-4354-B010-7AD985A9ABB9}"/>
    <cellStyle name="40% - Accent4 3 2 2 5" xfId="4105" xr:uid="{CFC8962D-3EBB-48F0-B929-38D9288F8743}"/>
    <cellStyle name="40% - Accent4 3 2 2 6" xfId="1452" xr:uid="{8B1642D5-0A0C-4C1A-BA5A-5282A0E0A578}"/>
    <cellStyle name="40% - Accent4 3 2 3" xfId="405" xr:uid="{2683FC22-5DD4-4891-803C-D7EA0411E78E}"/>
    <cellStyle name="40% - Accent4 3 2 3 2" xfId="2330" xr:uid="{AF3383DF-F395-447E-9552-56A0BCFE613C}"/>
    <cellStyle name="40% - Accent4 3 2 3 3" xfId="2835" xr:uid="{C061DA1E-C45A-4CD4-B4D6-8A3631569634}"/>
    <cellStyle name="40% - Accent4 3 2 3 4" xfId="4107" xr:uid="{FBC2BCA1-A732-4799-BF9A-F921E75A48BD}"/>
    <cellStyle name="40% - Accent4 3 2 3 5" xfId="1454" xr:uid="{6B0B424C-04D5-4D17-B872-80B9B135768A}"/>
    <cellStyle name="40% - Accent4 3 2 4" xfId="2104" xr:uid="{A8220574-7479-45CD-A336-CFB14B437B7E}"/>
    <cellStyle name="40% - Accent4 3 2 4 2" xfId="3748" xr:uid="{C83B83C3-95FC-487F-A201-0660423ECA61}"/>
    <cellStyle name="40% - Accent4 3 2 5" xfId="2616" xr:uid="{9D3509C4-0544-4867-BAFC-EA293329C4DC}"/>
    <cellStyle name="40% - Accent4 3 2 6" xfId="4104" xr:uid="{7786B6B9-077A-4A17-83D4-D1ACEBFCB2C3}"/>
    <cellStyle name="40% - Accent4 3 2 7" xfId="1451" xr:uid="{480CE6D5-6556-46F3-97CB-DF6E385FD7DD}"/>
    <cellStyle name="40% - Accent4 3 3" xfId="406" xr:uid="{47E83481-906A-4966-962D-13751C211C69}"/>
    <cellStyle name="40% - Accent4 3 3 2" xfId="407" xr:uid="{D94440C4-6319-463E-BCA2-4BA1D22B47AF}"/>
    <cellStyle name="40% - Accent4 3 3 2 2" xfId="2397" xr:uid="{AA2ED920-21D5-4518-9902-F77549267F90}"/>
    <cellStyle name="40% - Accent4 3 3 2 3" xfId="2902" xr:uid="{942078E1-AC4B-4ABA-8037-899D95BBD6A4}"/>
    <cellStyle name="40% - Accent4 3 3 2 4" xfId="4109" xr:uid="{AF603AFC-A410-4A04-AACD-682FD7D7551D}"/>
    <cellStyle name="40% - Accent4 3 3 2 5" xfId="1456" xr:uid="{B17378C0-5455-4DF0-AE30-4B9CB9034848}"/>
    <cellStyle name="40% - Accent4 3 3 3" xfId="2178" xr:uid="{409CA468-6BEE-4974-8C63-7FD4B42B60B2}"/>
    <cellStyle name="40% - Accent4 3 3 3 2" xfId="3750" xr:uid="{550376D1-BB2C-4209-A106-DBE5ECFCBCA0}"/>
    <cellStyle name="40% - Accent4 3 3 4" xfId="2683" xr:uid="{8800AB26-0FA6-4217-B641-AE288FB12A31}"/>
    <cellStyle name="40% - Accent4 3 3 5" xfId="4108" xr:uid="{AF4692A7-8509-45DB-8052-AEF6E8DA4D12}"/>
    <cellStyle name="40% - Accent4 3 3 6" xfId="1455" xr:uid="{9CCE9C39-76AB-479A-95CA-385F0A27384F}"/>
    <cellStyle name="40% - Accent4 3 4" xfId="408" xr:uid="{141BC7C2-9B22-4522-889A-961142DEB2EF}"/>
    <cellStyle name="40% - Accent4 3 4 2" xfId="2287" xr:uid="{A5E4D465-7DCB-4D94-93A5-DE15C6BC5207}"/>
    <cellStyle name="40% - Accent4 3 4 3" xfId="2792" xr:uid="{F4799A24-9F6D-44F0-AABA-0E6AB3C6D809}"/>
    <cellStyle name="40% - Accent4 3 4 4" xfId="4110" xr:uid="{C3E7BE09-B872-4C88-89F0-D9532B49FF87}"/>
    <cellStyle name="40% - Accent4 3 4 5" xfId="1457" xr:uid="{FFEE9446-6A0E-400D-B255-D2CC2D68FF4E}"/>
    <cellStyle name="40% - Accent4 3 5" xfId="2056" xr:uid="{E506F7C3-8403-495F-803A-50C9BF8D3D87}"/>
    <cellStyle name="40% - Accent4 3 5 2" xfId="2573" xr:uid="{59D4C2F7-3B0F-489E-AE1A-85DDE5FA5315}"/>
    <cellStyle name="40% - Accent4 3 5 3" xfId="4111" xr:uid="{4ACA2BCF-8B61-4262-97EA-D24276C7F347}"/>
    <cellStyle name="40% - Accent4 3 6" xfId="2008" xr:uid="{A554460D-590E-4A2C-8673-307E52655A05}"/>
    <cellStyle name="40% - Accent4 3 7" xfId="2532" xr:uid="{C72FAE45-71EB-481D-8196-A462640EDD5F}"/>
    <cellStyle name="40% - Accent4 3 8" xfId="4103" xr:uid="{2506BD8E-5C30-49C8-8ED4-BAA69A109B0C}"/>
    <cellStyle name="40% - Accent4 3 9" xfId="1450" xr:uid="{9BB299F8-48AA-44E7-9266-9F8CCF3E7A38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2 2 2" xfId="2459" xr:uid="{648F59ED-76E7-4866-976E-DD9AA69D68AF}"/>
    <cellStyle name="40% - Accent4 4 2 2 3" xfId="2964" xr:uid="{87331489-3E2F-4CE9-BD4E-F594E13D76FD}"/>
    <cellStyle name="40% - Accent4 4 2 2 4" xfId="4114" xr:uid="{96F44619-DF00-4417-A922-FE123F12448D}"/>
    <cellStyle name="40% - Accent4 4 2 2 5" xfId="1460" xr:uid="{E134F003-403B-4808-BF65-B751ACF2B054}"/>
    <cellStyle name="40% - Accent4 4 2 3" xfId="2240" xr:uid="{AC0105B7-8199-410C-8277-8D3EFEBDB561}"/>
    <cellStyle name="40% - Accent4 4 2 3 2" xfId="3751" xr:uid="{3981A0CD-4C67-48A9-92E6-2DD91B170764}"/>
    <cellStyle name="40% - Accent4 4 2 4" xfId="2745" xr:uid="{C10E6F5C-686F-4A1C-8129-B972E6569130}"/>
    <cellStyle name="40% - Accent4 4 2 5" xfId="4113" xr:uid="{395243DD-7380-417C-A7D2-2283460526A2}"/>
    <cellStyle name="40% - Accent4 4 2 6" xfId="1459" xr:uid="{838D2656-6A2A-48C5-B0C9-0B1B137F13F3}"/>
    <cellStyle name="40% - Accent4 4 3" xfId="412" xr:uid="{5B0DE5E1-AE37-456B-939D-516CF0F67594}"/>
    <cellStyle name="40% - Accent4 4 3 2" xfId="2349" xr:uid="{90C10026-37F9-4DB3-A2E9-3AFCE1C47449}"/>
    <cellStyle name="40% - Accent4 4 3 2 2" xfId="3235" xr:uid="{7BF12D41-C1F3-4736-B52B-5EE39768BE69}"/>
    <cellStyle name="40% - Accent4 4 3 3" xfId="2854" xr:uid="{495B3F5C-4665-4B25-BCB8-A28F5D2BCA89}"/>
    <cellStyle name="40% - Accent4 4 3 4" xfId="4115" xr:uid="{4A75BBF2-5D32-4603-A245-F3DB9FEF0091}"/>
    <cellStyle name="40% - Accent4 4 3 5" xfId="1461" xr:uid="{AF81BDC5-B586-4855-B76E-D1110703C115}"/>
    <cellStyle name="40% - Accent4 4 4" xfId="2124" xr:uid="{09874C7A-8C59-46F9-A94B-ED24A541933C}"/>
    <cellStyle name="40% - Accent4 4 4 2" xfId="2991" xr:uid="{8266A013-8D7C-433B-B928-1DDEDBBE710A}"/>
    <cellStyle name="40% - Accent4 4 5" xfId="2635" xr:uid="{E9A9E6AD-F40C-417A-8E66-E7F4F3437F4E}"/>
    <cellStyle name="40% - Accent4 4 6" xfId="4112" xr:uid="{16441178-1F7B-45D3-A7A2-FC41B5FC69BE}"/>
    <cellStyle name="40% - Accent4 4 7" xfId="1458" xr:uid="{EAEC911D-680C-4D89-A1E1-D23404DA8F2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2 2 2" xfId="2421" xr:uid="{CA15AC27-5C2B-45C2-995B-747F3484BC97}"/>
    <cellStyle name="40% - Accent4 5 2 2 3" xfId="2926" xr:uid="{2E7A4C7A-F260-4406-81DA-4EBACC98349F}"/>
    <cellStyle name="40% - Accent4 5 2 2 4" xfId="4118" xr:uid="{A89D6352-8AE7-412D-9A37-BD95F0EE4AD7}"/>
    <cellStyle name="40% - Accent4 5 2 2 5" xfId="1464" xr:uid="{84DA3B21-28BF-42FB-BC63-69990AAF7A43}"/>
    <cellStyle name="40% - Accent4 5 2 3" xfId="2202" xr:uid="{EA89E157-F1DC-4460-9953-1901622ACBA9}"/>
    <cellStyle name="40% - Accent4 5 2 4" xfId="2707" xr:uid="{0AADDE17-4EF5-45D9-8F3B-9FB539BC864A}"/>
    <cellStyle name="40% - Accent4 5 2 5" xfId="4117" xr:uid="{0084BE84-76DA-4D53-A7FC-D1A1892C9D75}"/>
    <cellStyle name="40% - Accent4 5 2 6" xfId="1463" xr:uid="{BC297A1D-7637-436E-BD2F-3BDEADF6ABFF}"/>
    <cellStyle name="40% - Accent4 5 3" xfId="416" xr:uid="{8E4B61C1-271F-4582-AFD0-9474082E0EA5}"/>
    <cellStyle name="40% - Accent4 5 3 2" xfId="2311" xr:uid="{4E987CFD-A23A-46B7-8B04-6B0FDD11FCED}"/>
    <cellStyle name="40% - Accent4 5 3 3" xfId="2816" xr:uid="{9B86F6DB-4D19-435F-9FA2-A66B5C321F46}"/>
    <cellStyle name="40% - Accent4 5 3 4" xfId="4119" xr:uid="{3D225AAE-DED3-4A52-AF72-4162413D142D}"/>
    <cellStyle name="40% - Accent4 5 3 5" xfId="1465" xr:uid="{0B224B13-2B10-4CFC-AD2B-662F8AB202D0}"/>
    <cellStyle name="40% - Accent4 5 4" xfId="2080" xr:uid="{D59E6DA1-55D4-4C77-98D2-CCC954B11565}"/>
    <cellStyle name="40% - Accent4 5 5" xfId="2597" xr:uid="{2DC9B81D-FC11-4852-BC3B-F7496C05AAE6}"/>
    <cellStyle name="40% - Accent4 5 6" xfId="4116" xr:uid="{49886041-D24E-4F2A-80C3-039451FE6219}"/>
    <cellStyle name="40% - Accent4 5 7" xfId="1462" xr:uid="{0840013A-0C51-4A7C-999B-AFCDDF408323}"/>
    <cellStyle name="40% - Accent4 6" xfId="417" xr:uid="{0F79F545-B159-42F2-A57B-206896E79B24}"/>
    <cellStyle name="40% - Accent4 6 2" xfId="418" xr:uid="{64747DE7-62CB-4427-B630-0612DFFEE8BA}"/>
    <cellStyle name="40% - Accent4 6 2 2" xfId="2375" xr:uid="{709EF54A-93D9-4326-97B8-B1D792117DFE}"/>
    <cellStyle name="40% - Accent4 6 2 3" xfId="2880" xr:uid="{3C049DE1-EB6B-4634-AA64-394ED8D75CF4}"/>
    <cellStyle name="40% - Accent4 6 2 4" xfId="4121" xr:uid="{2022DD44-4D41-4CCA-9902-E52F1D56EB7A}"/>
    <cellStyle name="40% - Accent4 6 2 5" xfId="1467" xr:uid="{ADC986A5-0C00-4FE9-813E-1F683F06D36D}"/>
    <cellStyle name="40% - Accent4 6 3" xfId="2154" xr:uid="{A87364F8-865A-4E97-B50F-D11E68B5F2D4}"/>
    <cellStyle name="40% - Accent4 6 4" xfId="2661" xr:uid="{238BC1BF-E82E-47EA-8028-D394C5F15600}"/>
    <cellStyle name="40% - Accent4 6 5" xfId="4120" xr:uid="{9C1CE7E4-EDB0-4E72-9D80-0A5136B5E8EF}"/>
    <cellStyle name="40% - Accent4 6 6" xfId="1466" xr:uid="{2BDD0C5E-D167-484C-B1A6-F873B5A455FD}"/>
    <cellStyle name="40% - Accent4 7" xfId="419" xr:uid="{6AB9616A-DB4A-44CB-8DD4-B1AF6263A96F}"/>
    <cellStyle name="40% - Accent4 7 2" xfId="420" xr:uid="{170081EA-DEDB-4744-99E5-51C0528B71DB}"/>
    <cellStyle name="40% - Accent4 7 2 2" xfId="1469" xr:uid="{442B8C86-6DF5-4A31-9318-ABA02BB8CBFF}"/>
    <cellStyle name="40% - Accent4 7 3" xfId="2265" xr:uid="{F3BC75D3-0290-414F-82DB-43F87444F236}"/>
    <cellStyle name="40% - Accent4 7 4" xfId="2770" xr:uid="{95C3E7E4-11F0-4C0F-AAA4-E701FB3A0A05}"/>
    <cellStyle name="40% - Accent4 7 5" xfId="4122" xr:uid="{EE147170-CF8D-4E4C-A406-1F88F63361FB}"/>
    <cellStyle name="40% - Accent4 7 6" xfId="1468" xr:uid="{7D94C507-60C5-40EA-BC55-7072A27BE3F2}"/>
    <cellStyle name="40% - Accent4 8" xfId="2032" xr:uid="{712B3C3A-CC9F-4A6E-8534-BAB9B138A31A}"/>
    <cellStyle name="40% - Accent4 8 2" xfId="2551" xr:uid="{1D7D00BD-48D0-41C9-80EE-4E8C665822AE}"/>
    <cellStyle name="40% - Accent4 8 3" xfId="4123" xr:uid="{1D7F83D8-2724-45E5-8126-E06FD6088FE5}"/>
    <cellStyle name="40% - Accent4 9" xfId="2499" xr:uid="{761167FD-2D42-4D99-9D84-9760DFC8B439}"/>
    <cellStyle name="40% - Accent5" xfId="1046" builtinId="47" customBuiltin="1"/>
    <cellStyle name="40% - Accent5 10" xfId="4124" xr:uid="{3B732E2D-D5EB-4D58-B697-F5ED7B60C612}"/>
    <cellStyle name="40% - Accent5 2" xfId="421" xr:uid="{D12F7621-96F5-4B4B-A397-04CB653F001F}"/>
    <cellStyle name="40% - Accent5 2 10" xfId="1470" xr:uid="{0B549244-9A26-4C3D-B84A-B01A6FD13576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2 2 2" xfId="1474" xr:uid="{4E487B03-C8A2-4F36-940B-975483727676}"/>
    <cellStyle name="40% - Accent5 2 2 2 2 3" xfId="1473" xr:uid="{02F2B79B-2EF6-4CE1-8DAF-6DA347DB6824}"/>
    <cellStyle name="40% - Accent5 2 2 2 3" xfId="426" xr:uid="{AC24316C-6C1F-42C4-9BDE-8770034D48AD}"/>
    <cellStyle name="40% - Accent5 2 2 2 3 2" xfId="1475" xr:uid="{5115620C-7298-4496-965F-405F350685D6}"/>
    <cellStyle name="40% - Accent5 2 2 2 4" xfId="3193" xr:uid="{3977B2B0-72FE-433F-A364-F17909D51071}"/>
    <cellStyle name="40% - Accent5 2 2 2 5" xfId="1472" xr:uid="{00F9E326-6FFE-4E2D-86A5-075E39F06815}"/>
    <cellStyle name="40% - Accent5 2 2 3" xfId="427" xr:uid="{15BE5621-DCD2-49CB-90E9-3BB537BDE6ED}"/>
    <cellStyle name="40% - Accent5 2 2 3 2" xfId="428" xr:uid="{EF6B16BB-385D-4778-BFD9-6DA60D277D5C}"/>
    <cellStyle name="40% - Accent5 2 2 3 2 2" xfId="1477" xr:uid="{C4AB5B36-2FFB-4399-B0FA-FEB8D8C2263D}"/>
    <cellStyle name="40% - Accent5 2 2 3 3" xfId="3549" xr:uid="{703041E1-4E16-43E3-8452-D23C46B4FB63}"/>
    <cellStyle name="40% - Accent5 2 2 3 4" xfId="1476" xr:uid="{6CA6BF88-2659-45D6-A667-3CD10BC5BEFD}"/>
    <cellStyle name="40% - Accent5 2 2 4" xfId="429" xr:uid="{D40D5ADD-6BFE-4896-8010-CEFECF2895D9}"/>
    <cellStyle name="40% - Accent5 2 2 4 2" xfId="1478" xr:uid="{D364329C-76AE-4BA0-86DC-AF5C94F23F80}"/>
    <cellStyle name="40% - Accent5 2 2 5" xfId="3043" xr:uid="{8970AE0A-BB4F-462E-9847-9E21577B6663}"/>
    <cellStyle name="40% - Accent5 2 2 6" xfId="1471" xr:uid="{EDF0A220-F4E0-4180-BEC8-C7C07AC4D23F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2 2 2" xfId="1481" xr:uid="{89B542F2-4397-4EA9-8B7B-0EBF768DD3D0}"/>
    <cellStyle name="40% - Accent5 2 3 2 3" xfId="3221" xr:uid="{F9B0A98D-16BF-4951-8202-8F78B45AA76B}"/>
    <cellStyle name="40% - Accent5 2 3 2 4" xfId="1480" xr:uid="{D1627A6D-98BD-4271-AF9C-CDEFD87205C0}"/>
    <cellStyle name="40% - Accent5 2 3 3" xfId="433" xr:uid="{292B2A2E-97CD-43AA-A9F3-81EF7E05724F}"/>
    <cellStyle name="40% - Accent5 2 3 3 2" xfId="1482" xr:uid="{E56EB5B9-94AD-498A-85C8-2E6A7EA06DDE}"/>
    <cellStyle name="40% - Accent5 2 3 4" xfId="3116" xr:uid="{1A74E1FC-0A60-486B-B4B7-906342BE55EF}"/>
    <cellStyle name="40% - Accent5 2 3 5" xfId="1479" xr:uid="{253642C1-191D-4FB3-AF60-8370E24E707E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2 2 2" xfId="1485" xr:uid="{46C9DBCC-FD03-4564-902F-C6B72FC407A7}"/>
    <cellStyle name="40% - Accent5 2 4 2 3" xfId="1484" xr:uid="{FFE9DBF2-8FBC-4CE2-9E31-809E28AA649C}"/>
    <cellStyle name="40% - Accent5 2 4 3" xfId="437" xr:uid="{CC6D7CC7-637F-492A-ADE6-A487A17D6F26}"/>
    <cellStyle name="40% - Accent5 2 4 3 2" xfId="1486" xr:uid="{B8C43E99-481F-4664-8790-C438719FBFD4}"/>
    <cellStyle name="40% - Accent5 2 4 4" xfId="3027" xr:uid="{06E96FA7-61D5-45C7-911A-7841B9C57F1B}"/>
    <cellStyle name="40% - Accent5 2 4 5" xfId="1483" xr:uid="{EB77A038-C6E3-4D30-80A8-B6C80722BD52}"/>
    <cellStyle name="40% - Accent5 2 5" xfId="438" xr:uid="{D7E54B2D-6EEE-45BB-844A-E2A7A3AE9BD4}"/>
    <cellStyle name="40% - Accent5 2 5 2" xfId="439" xr:uid="{E26ADD1C-AFF4-4B13-8270-A31A2E7C5C87}"/>
    <cellStyle name="40% - Accent5 2 5 2 2" xfId="1488" xr:uid="{9E7D36EB-EDC8-4864-B457-EFC699F9DF39}"/>
    <cellStyle name="40% - Accent5 2 5 3" xfId="3536" xr:uid="{B2A2BCF1-7504-48A3-AE5B-E06EC2CFEE58}"/>
    <cellStyle name="40% - Accent5 2 5 4" xfId="1487" xr:uid="{032393AA-57BE-42F1-A432-91B1EE4D0EF6}"/>
    <cellStyle name="40% - Accent5 2 6" xfId="440" xr:uid="{FC89CCA4-90E4-493D-808A-9C6ABE8766DC}"/>
    <cellStyle name="40% - Accent5 2 6 2" xfId="441" xr:uid="{8AE1A73E-3C74-4435-9199-9F1E05F7057A}"/>
    <cellStyle name="40% - Accent5 2 6 2 2" xfId="1490" xr:uid="{CD2D7E8F-6CF2-4C4A-A27E-5F29AC7681BB}"/>
    <cellStyle name="40% - Accent5 2 6 3" xfId="3166" xr:uid="{CD138433-94AE-4B5A-B7E5-B0D063133800}"/>
    <cellStyle name="40% - Accent5 2 6 4" xfId="1489" xr:uid="{997460F9-A1C5-4DC9-A62F-84BEC70F3946}"/>
    <cellStyle name="40% - Accent5 2 7" xfId="442" xr:uid="{F92FD0DA-B3F8-4D81-9AD2-5C85D5A3789A}"/>
    <cellStyle name="40% - Accent5 2 7 2" xfId="1491" xr:uid="{F87F22DD-3C41-4A61-8067-67AE0324F135}"/>
    <cellStyle name="40% - Accent5 2 8" xfId="1932" xr:uid="{22C6611C-C6DC-417B-8458-82F21F0E80E6}"/>
    <cellStyle name="40% - Accent5 2 9" xfId="4125" xr:uid="{727B7D3A-4AD2-4E5E-944A-9CB4A0F18585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2 2 2" xfId="2442" xr:uid="{DF415C96-D774-4885-AE08-C9DCDB4AADDC}"/>
    <cellStyle name="40% - Accent5 3 2 2 2 3" xfId="2947" xr:uid="{C9588491-F71E-4362-A7C9-B6EA8F7B3AF0}"/>
    <cellStyle name="40% - Accent5 3 2 2 2 4" xfId="4129" xr:uid="{1A22921A-7DFF-49D6-A913-2D4C8BE52C0B}"/>
    <cellStyle name="40% - Accent5 3 2 2 2 5" xfId="1495" xr:uid="{2CF6AD7B-42BC-462B-9493-B829AB366FE5}"/>
    <cellStyle name="40% - Accent5 3 2 2 3" xfId="2223" xr:uid="{6F386620-F62F-428B-8490-E9F6D3CC7A03}"/>
    <cellStyle name="40% - Accent5 3 2 2 3 2" xfId="3753" xr:uid="{8F7EF8AF-6C8B-41B0-B06A-E21759EC4979}"/>
    <cellStyle name="40% - Accent5 3 2 2 4" xfId="2728" xr:uid="{86201950-ADB0-4787-9263-2FFCD43CA147}"/>
    <cellStyle name="40% - Accent5 3 2 2 5" xfId="4128" xr:uid="{BB5F4998-6BE0-49DE-A59E-7D78CA1798B3}"/>
    <cellStyle name="40% - Accent5 3 2 2 6" xfId="1494" xr:uid="{E864CBA4-4803-414C-9005-5B0FC5F76104}"/>
    <cellStyle name="40% - Accent5 3 2 3" xfId="447" xr:uid="{25520F9F-AB70-4490-A175-8188EB8CE8C1}"/>
    <cellStyle name="40% - Accent5 3 2 3 2" xfId="2332" xr:uid="{CC569B89-3E46-4917-AC58-1FED2F5A72F0}"/>
    <cellStyle name="40% - Accent5 3 2 3 3" xfId="2837" xr:uid="{47B0AE2A-3623-40EB-8DB0-659F13686042}"/>
    <cellStyle name="40% - Accent5 3 2 3 4" xfId="4130" xr:uid="{238E4766-072E-4DA1-BA38-D0C9B4507E4F}"/>
    <cellStyle name="40% - Accent5 3 2 3 5" xfId="1496" xr:uid="{98061BE6-1E74-47B3-981E-F64CF33231B2}"/>
    <cellStyle name="40% - Accent5 3 2 4" xfId="2106" xr:uid="{C13E4496-D057-41C9-A876-584B4EB41F1C}"/>
    <cellStyle name="40% - Accent5 3 2 4 2" xfId="3752" xr:uid="{D14B9E5B-D2F9-44A4-8AF1-8D6381EDBDE3}"/>
    <cellStyle name="40% - Accent5 3 2 5" xfId="2618" xr:uid="{DCEBE6C7-EE56-49A2-A980-5F539B52795C}"/>
    <cellStyle name="40% - Accent5 3 2 6" xfId="4127" xr:uid="{FBE660CF-A2A3-4F7F-BB1E-21982D86863B}"/>
    <cellStyle name="40% - Accent5 3 2 7" xfId="1493" xr:uid="{5614ECAD-FE76-45C9-8509-9D34E4E7454D}"/>
    <cellStyle name="40% - Accent5 3 3" xfId="448" xr:uid="{56FCCE78-4102-414A-89B6-3E55CB219E38}"/>
    <cellStyle name="40% - Accent5 3 3 2" xfId="449" xr:uid="{89026B74-D657-4162-A648-995D498A42F4}"/>
    <cellStyle name="40% - Accent5 3 3 2 2" xfId="2399" xr:uid="{C38F328C-35F6-4970-A521-84AC15199DE3}"/>
    <cellStyle name="40% - Accent5 3 3 2 3" xfId="2904" xr:uid="{90CCE71B-C088-4575-8127-39654FF7F7C4}"/>
    <cellStyle name="40% - Accent5 3 3 2 4" xfId="4132" xr:uid="{66DA689A-D661-4E4E-910A-544F6A43D5F8}"/>
    <cellStyle name="40% - Accent5 3 3 2 5" xfId="1498" xr:uid="{1E4D45F7-6619-45C2-AD32-8AC65C668372}"/>
    <cellStyle name="40% - Accent5 3 3 3" xfId="2180" xr:uid="{6B51EFA6-2ADD-4920-8944-3D6F9C078BC4}"/>
    <cellStyle name="40% - Accent5 3 3 3 2" xfId="3754" xr:uid="{F48E2AAC-6EBD-4709-B81A-7E6A8E5866C3}"/>
    <cellStyle name="40% - Accent5 3 3 4" xfId="2685" xr:uid="{73164F17-682A-44FE-AECE-3D06F0C04509}"/>
    <cellStyle name="40% - Accent5 3 3 5" xfId="4131" xr:uid="{2EF5627E-575A-44B7-8D39-4B146B3F420E}"/>
    <cellStyle name="40% - Accent5 3 3 6" xfId="1497" xr:uid="{6235B936-8FE2-48E3-AFB3-679F603B2A71}"/>
    <cellStyle name="40% - Accent5 3 4" xfId="450" xr:uid="{F33C06BF-D3C5-4263-8375-3602DC647D5B}"/>
    <cellStyle name="40% - Accent5 3 4 2" xfId="2289" xr:uid="{CDB3C69E-56E6-4F65-A26E-E25DD69F2988}"/>
    <cellStyle name="40% - Accent5 3 4 3" xfId="2794" xr:uid="{C9A82F20-20F5-4FFD-8C26-0A558733E54B}"/>
    <cellStyle name="40% - Accent5 3 4 4" xfId="4133" xr:uid="{C0DDE483-9D7E-48A2-BA0B-37783900B64C}"/>
    <cellStyle name="40% - Accent5 3 4 5" xfId="1499" xr:uid="{D08AA36A-DC19-44B8-91C9-6C33AAB583EB}"/>
    <cellStyle name="40% - Accent5 3 5" xfId="2058" xr:uid="{BDA943D3-54D7-4C2E-B612-E37146D857D0}"/>
    <cellStyle name="40% - Accent5 3 5 2" xfId="2575" xr:uid="{8BDF1C53-4C5F-44AA-AB46-6511EDA8FE5F}"/>
    <cellStyle name="40% - Accent5 3 5 3" xfId="4134" xr:uid="{7D3159C0-2338-4505-A80F-522D66BED8B3}"/>
    <cellStyle name="40% - Accent5 3 6" xfId="2010" xr:uid="{895FF7C0-33B7-4A02-ABCC-2C098AE4C9B9}"/>
    <cellStyle name="40% - Accent5 3 7" xfId="2534" xr:uid="{2EC9688E-9BCD-477F-8356-9865E6FF7D47}"/>
    <cellStyle name="40% - Accent5 3 8" xfId="4126" xr:uid="{53E38B6B-2DB0-4BAE-98D7-5298486B9FC0}"/>
    <cellStyle name="40% - Accent5 3 9" xfId="1492" xr:uid="{EFA0394C-9238-42A3-8C29-4DAA78E3E9D5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2 2 2" xfId="2461" xr:uid="{660E50BD-2FA7-40C6-B57C-A99AF41C38B3}"/>
    <cellStyle name="40% - Accent5 4 2 2 3" xfId="2966" xr:uid="{B034C1B7-B900-46B9-B39D-5A1BBB067778}"/>
    <cellStyle name="40% - Accent5 4 2 2 4" xfId="4137" xr:uid="{A4C80DFC-E82C-40DD-B232-880780684D0A}"/>
    <cellStyle name="40% - Accent5 4 2 2 5" xfId="1502" xr:uid="{9975CC2D-A589-452A-BF04-92E776619FD7}"/>
    <cellStyle name="40% - Accent5 4 2 3" xfId="2242" xr:uid="{6D5DF5E3-BD84-4C9A-8A6E-632424151BEE}"/>
    <cellStyle name="40% - Accent5 4 2 3 2" xfId="3755" xr:uid="{E732D6A3-F1D2-437E-BDB2-5B17A8E47DC3}"/>
    <cellStyle name="40% - Accent5 4 2 4" xfId="2747" xr:uid="{A5699634-796A-4300-8448-5C42031AB364}"/>
    <cellStyle name="40% - Accent5 4 2 5" xfId="4136" xr:uid="{3C66100A-3C8B-41D6-AEE0-05D8BF135F53}"/>
    <cellStyle name="40% - Accent5 4 2 6" xfId="1501" xr:uid="{D195AB9F-F689-4723-BD74-296C49770498}"/>
    <cellStyle name="40% - Accent5 4 3" xfId="454" xr:uid="{7E12F578-C145-454E-9528-48E0F52B4722}"/>
    <cellStyle name="40% - Accent5 4 3 2" xfId="2351" xr:uid="{A129ADA4-B1AC-4A8E-858D-C1B53095C0D6}"/>
    <cellStyle name="40% - Accent5 4 3 2 2" xfId="3237" xr:uid="{CA42ED73-3A42-4410-B01E-A8AF4309AC03}"/>
    <cellStyle name="40% - Accent5 4 3 3" xfId="2856" xr:uid="{4FE9967C-B0E3-4D1E-A7F6-6DD6ACB33A9B}"/>
    <cellStyle name="40% - Accent5 4 3 4" xfId="4138" xr:uid="{0DC31485-A700-438A-89EB-F513F29127EA}"/>
    <cellStyle name="40% - Accent5 4 3 5" xfId="1503" xr:uid="{58383853-1C30-42A6-9315-E56708252864}"/>
    <cellStyle name="40% - Accent5 4 4" xfId="2126" xr:uid="{678D577D-B6A9-459D-ACF5-EE520C8EB50C}"/>
    <cellStyle name="40% - Accent5 4 4 2" xfId="3169" xr:uid="{1A3F4479-EC39-4191-8A96-F55EEDDF1888}"/>
    <cellStyle name="40% - Accent5 4 5" xfId="2637" xr:uid="{642529C8-B841-4122-9147-F64F3546C0D9}"/>
    <cellStyle name="40% - Accent5 4 6" xfId="4135" xr:uid="{23814FE8-0E7A-4674-ADC0-9537824AF054}"/>
    <cellStyle name="40% - Accent5 4 7" xfId="1500" xr:uid="{E460C38C-5A43-4E56-A124-BA9B866B3971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2 2 2" xfId="2423" xr:uid="{C3A08333-AC57-4DFA-8D70-C45F8C2B9732}"/>
    <cellStyle name="40% - Accent5 5 2 2 3" xfId="2928" xr:uid="{638DE71F-9216-4002-993F-0C60C220D660}"/>
    <cellStyle name="40% - Accent5 5 2 2 4" xfId="4141" xr:uid="{9969F7B0-81AC-4A19-9BD3-7001754AF41D}"/>
    <cellStyle name="40% - Accent5 5 2 2 5" xfId="1506" xr:uid="{5B2695CC-0588-40BA-978B-B8374C601718}"/>
    <cellStyle name="40% - Accent5 5 2 3" xfId="2204" xr:uid="{495C2F7A-F87C-43EA-8158-22DC66A4E7B6}"/>
    <cellStyle name="40% - Accent5 5 2 4" xfId="2709" xr:uid="{8D37934B-BA80-4FCA-BFEB-57FDFECF31B9}"/>
    <cellStyle name="40% - Accent5 5 2 5" xfId="4140" xr:uid="{0400FA75-81D4-4B90-B27F-B8E2D7841EA8}"/>
    <cellStyle name="40% - Accent5 5 2 6" xfId="1505" xr:uid="{02F1BDB4-2618-4F0C-BF7F-3621961756B9}"/>
    <cellStyle name="40% - Accent5 5 3" xfId="458" xr:uid="{155698AE-2F2D-4CCF-A33D-7DAF61BFD07D}"/>
    <cellStyle name="40% - Accent5 5 3 2" xfId="2313" xr:uid="{E766AC31-DD69-41C8-A967-5F067CB98EE9}"/>
    <cellStyle name="40% - Accent5 5 3 3" xfId="2818" xr:uid="{82A3CD02-5B20-49DE-B665-46391B582B2F}"/>
    <cellStyle name="40% - Accent5 5 3 4" xfId="4142" xr:uid="{0794641B-2200-41D1-9132-615AA8FC2EA0}"/>
    <cellStyle name="40% - Accent5 5 3 5" xfId="1507" xr:uid="{357681BC-B8E2-4CF2-BF13-10BEA4E18046}"/>
    <cellStyle name="40% - Accent5 5 4" xfId="2082" xr:uid="{9D43FFB3-972A-4A71-AAF0-2C1CE40AA0E8}"/>
    <cellStyle name="40% - Accent5 5 5" xfId="2599" xr:uid="{70E6609A-6C90-4F4D-8AB8-5FC9175F776B}"/>
    <cellStyle name="40% - Accent5 5 6" xfId="4139" xr:uid="{9EB14142-1106-4E3A-B105-ACE4FDBA3203}"/>
    <cellStyle name="40% - Accent5 5 7" xfId="1504" xr:uid="{E1FAE7CA-C93D-483E-836E-EF025E8219CA}"/>
    <cellStyle name="40% - Accent5 6" xfId="459" xr:uid="{B88290F0-6DE2-45B7-A0BD-89A591C4DBDC}"/>
    <cellStyle name="40% - Accent5 6 2" xfId="460" xr:uid="{2D0C5C52-97D9-4DE4-A351-6FA5E47A9E4B}"/>
    <cellStyle name="40% - Accent5 6 2 2" xfId="2377" xr:uid="{1C10D5C2-1728-42CF-9910-52824BBB92E8}"/>
    <cellStyle name="40% - Accent5 6 2 3" xfId="2882" xr:uid="{021B41EF-D8E8-4C07-BCB9-8896A0470266}"/>
    <cellStyle name="40% - Accent5 6 2 4" xfId="4144" xr:uid="{9FC46119-91CD-4506-96A9-E917C95E86F1}"/>
    <cellStyle name="40% - Accent5 6 2 5" xfId="1509" xr:uid="{ED49E5A9-3CDF-4294-B264-44FAE6651E56}"/>
    <cellStyle name="40% - Accent5 6 3" xfId="2156" xr:uid="{4F81DE48-1DE6-458A-8C33-3F33D8727CF3}"/>
    <cellStyle name="40% - Accent5 6 4" xfId="2663" xr:uid="{D9AD28B8-D09B-493C-B2EB-8633A6B394CC}"/>
    <cellStyle name="40% - Accent5 6 5" xfId="4143" xr:uid="{940B0696-DC94-4AB7-8D03-FDC38551BEB5}"/>
    <cellStyle name="40% - Accent5 6 6" xfId="1508" xr:uid="{75767D71-B72B-4A4F-A4D1-74AFA29A2A23}"/>
    <cellStyle name="40% - Accent5 7" xfId="461" xr:uid="{E589AC6A-4858-4BB5-90AB-5E2BCEEB7FCE}"/>
    <cellStyle name="40% - Accent5 7 2" xfId="462" xr:uid="{A8181C09-0DD5-4BE0-8F97-E2598B9CE11D}"/>
    <cellStyle name="40% - Accent5 7 2 2" xfId="1511" xr:uid="{8AD76041-0F6F-4F39-993B-20984202A3AA}"/>
    <cellStyle name="40% - Accent5 7 3" xfId="2267" xr:uid="{F08ED70C-FEDD-4157-BFD9-68425A5F24A8}"/>
    <cellStyle name="40% - Accent5 7 4" xfId="2772" xr:uid="{C7C520EC-4C1A-4105-84FB-12A9F4EE7F02}"/>
    <cellStyle name="40% - Accent5 7 5" xfId="4145" xr:uid="{DDDA2570-A851-4DE4-B548-CBE9A09740B7}"/>
    <cellStyle name="40% - Accent5 7 6" xfId="1510" xr:uid="{4ACFA267-E534-48B3-92D6-828A21D86C51}"/>
    <cellStyle name="40% - Accent5 8" xfId="2034" xr:uid="{65CFFE52-62E8-4766-8E5C-C94EA0D2F46F}"/>
    <cellStyle name="40% - Accent5 8 2" xfId="2553" xr:uid="{7A51DA69-D578-49C6-9FEA-3D8F6A07146A}"/>
    <cellStyle name="40% - Accent5 8 3" xfId="4146" xr:uid="{E1D738D0-80C0-4E63-824A-B6E85F9FE0F1}"/>
    <cellStyle name="40% - Accent5 9" xfId="2501" xr:uid="{107097C0-1A14-4AF2-AB18-5318A402DA43}"/>
    <cellStyle name="40% - Accent6" xfId="1049" builtinId="51" customBuiltin="1"/>
    <cellStyle name="40% - Accent6 10" xfId="4147" xr:uid="{1405312D-8403-4CC8-94A8-DD9F20A28257}"/>
    <cellStyle name="40% - Accent6 2" xfId="463" xr:uid="{BDDB586B-D0F4-4F39-9BB1-54AEB3490F7B}"/>
    <cellStyle name="40% - Accent6 2 10" xfId="1512" xr:uid="{9A600922-0D8E-470C-BC28-13E96338B3C0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2 2 2" xfId="1516" xr:uid="{0DC5452D-9E00-4BE1-9700-06BD1CE05292}"/>
    <cellStyle name="40% - Accent6 2 2 2 2 3" xfId="1515" xr:uid="{478724A6-F198-45D4-9AC5-DDA7384CE9C7}"/>
    <cellStyle name="40% - Accent6 2 2 2 3" xfId="468" xr:uid="{42B2959D-2CBF-4341-B206-568FDC471673}"/>
    <cellStyle name="40% - Accent6 2 2 2 3 2" xfId="1517" xr:uid="{29476B5F-F59D-4DC7-A30E-4BABA46DFFB8}"/>
    <cellStyle name="40% - Accent6 2 2 2 4" xfId="3195" xr:uid="{C602D45F-29DB-42F5-87BD-EF381DE5AE74}"/>
    <cellStyle name="40% - Accent6 2 2 2 5" xfId="1514" xr:uid="{46907A3D-74E0-4B06-936F-A831D0E6D409}"/>
    <cellStyle name="40% - Accent6 2 2 3" xfId="469" xr:uid="{E42D6270-4B32-48C9-9466-C312BE2C06AE}"/>
    <cellStyle name="40% - Accent6 2 2 3 2" xfId="470" xr:uid="{78CB20BC-069E-43F7-BEAE-42D90F13AD40}"/>
    <cellStyle name="40% - Accent6 2 2 3 2 2" xfId="1519" xr:uid="{E4553CE0-85E7-47E5-B923-F67A93E5229C}"/>
    <cellStyle name="40% - Accent6 2 2 3 3" xfId="3592" xr:uid="{D2C57EAE-9518-4E4F-9193-62620DE7D194}"/>
    <cellStyle name="40% - Accent6 2 2 3 4" xfId="1518" xr:uid="{0633C9DC-5937-4E7A-BAB1-B06827E1DA1C}"/>
    <cellStyle name="40% - Accent6 2 2 4" xfId="471" xr:uid="{744165B7-93CC-41FA-8DF2-D60537C3529C}"/>
    <cellStyle name="40% - Accent6 2 2 4 2" xfId="1520" xr:uid="{7164D056-7F87-4AA3-AA08-2D483E1E1268}"/>
    <cellStyle name="40% - Accent6 2 2 5" xfId="3150" xr:uid="{44EEEBDA-DBED-4CB8-A9AE-9C0D38846D87}"/>
    <cellStyle name="40% - Accent6 2 2 6" xfId="1513" xr:uid="{9F214DE1-811F-424D-A438-1A1E7EC6DF40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2 2 2" xfId="1523" xr:uid="{5F44E7A6-0CE7-489B-BDBD-C57AD271B05F}"/>
    <cellStyle name="40% - Accent6 2 3 2 3" xfId="3223" xr:uid="{A0B8DAED-D282-41B1-8966-6594600B484B}"/>
    <cellStyle name="40% - Accent6 2 3 2 4" xfId="1522" xr:uid="{F5E262C9-400B-49B8-A022-4FDDB783A955}"/>
    <cellStyle name="40% - Accent6 2 3 3" xfId="475" xr:uid="{A7D655FF-C881-4AC4-960C-C4AC6A1C50F0}"/>
    <cellStyle name="40% - Accent6 2 3 3 2" xfId="1524" xr:uid="{727DF9CC-6A73-4C34-B1EE-5B0DCFB72476}"/>
    <cellStyle name="40% - Accent6 2 3 4" xfId="3078" xr:uid="{43C7DC72-4493-4BA0-95D3-54AA1AE0293C}"/>
    <cellStyle name="40% - Accent6 2 3 5" xfId="1521" xr:uid="{56392BA7-F0DD-4A1A-A7F2-FA4AEFC840C7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2 2 2" xfId="1527" xr:uid="{A1DF166D-6CEB-4DCF-A551-58E252F38E7A}"/>
    <cellStyle name="40% - Accent6 2 4 2 3" xfId="1526" xr:uid="{672A48C0-8ED8-49CA-8E61-0BF7E4673AC5}"/>
    <cellStyle name="40% - Accent6 2 4 3" xfId="479" xr:uid="{E168F463-3097-44CB-8F94-6608E5663773}"/>
    <cellStyle name="40% - Accent6 2 4 3 2" xfId="1528" xr:uid="{9F4DC500-C1AF-4EDE-A28F-708D8FFE9518}"/>
    <cellStyle name="40% - Accent6 2 4 4" xfId="2510" xr:uid="{484A38E5-650B-4631-9340-2A289C685E23}"/>
    <cellStyle name="40% - Accent6 2 4 5" xfId="1525" xr:uid="{44DAD5C4-9033-42EF-AFFC-3095ADEEC0A8}"/>
    <cellStyle name="40% - Accent6 2 5" xfId="480" xr:uid="{3915BDA4-F3B5-460A-831F-6D98A7E94543}"/>
    <cellStyle name="40% - Accent6 2 5 2" xfId="481" xr:uid="{FD2EAC76-C3C7-47C3-A047-6D9C0632D397}"/>
    <cellStyle name="40% - Accent6 2 5 2 2" xfId="1530" xr:uid="{D94F9559-7EA4-4837-8FD4-8FF123E7F871}"/>
    <cellStyle name="40% - Accent6 2 5 3" xfId="3511" xr:uid="{42F4AEBB-214F-408C-97B1-895A1B6C2418}"/>
    <cellStyle name="40% - Accent6 2 5 4" xfId="1529" xr:uid="{45856E8F-DFA3-4B4F-A381-156D8629AF4E}"/>
    <cellStyle name="40% - Accent6 2 6" xfId="482" xr:uid="{85A04089-C0DC-4F89-929D-BFD5527C6DEC}"/>
    <cellStyle name="40% - Accent6 2 6 2" xfId="483" xr:uid="{8E197106-BC11-4844-99E7-A6C6AF8653AE}"/>
    <cellStyle name="40% - Accent6 2 6 2 2" xfId="1532" xr:uid="{5283E13D-2CCD-40C9-B62C-0072EF6F8472}"/>
    <cellStyle name="40% - Accent6 2 6 3" xfId="3038" xr:uid="{EAA43DA4-DA10-4AB4-8274-7BC1E5B6D1DF}"/>
    <cellStyle name="40% - Accent6 2 6 4" xfId="1531" xr:uid="{2EBA619B-2397-4C91-BE32-8BCEA5177819}"/>
    <cellStyle name="40% - Accent6 2 7" xfId="484" xr:uid="{4C071D00-8E6E-4A1A-AD7B-5A0C79027D12}"/>
    <cellStyle name="40% - Accent6 2 7 2" xfId="1533" xr:uid="{D3869944-C5D0-4D6A-93B9-275EF7F6D8C1}"/>
    <cellStyle name="40% - Accent6 2 8" xfId="1933" xr:uid="{1363F06E-8B28-4527-84EE-78EEB1076225}"/>
    <cellStyle name="40% - Accent6 2 9" xfId="4148" xr:uid="{72EB5B33-6EB9-4C47-973F-5168A599A98C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2 2 2" xfId="2444" xr:uid="{97D8152F-7E0C-4D9F-9356-5A9D2A7F8AFB}"/>
    <cellStyle name="40% - Accent6 3 2 2 2 3" xfId="2949" xr:uid="{616FCBE0-3FEE-44BB-94E5-EFE1F51AE031}"/>
    <cellStyle name="40% - Accent6 3 2 2 2 4" xfId="4152" xr:uid="{3487B85D-E643-45C2-8525-251D7B946B8D}"/>
    <cellStyle name="40% - Accent6 3 2 2 2 5" xfId="1537" xr:uid="{06F2513F-3943-4877-BEAC-F83214E3D142}"/>
    <cellStyle name="40% - Accent6 3 2 2 3" xfId="2225" xr:uid="{B4EDFC21-0DA8-4FE0-A8D3-D55730DEB01B}"/>
    <cellStyle name="40% - Accent6 3 2 2 3 2" xfId="3757" xr:uid="{D60BD21F-F48D-47C4-AC93-958CB1A8722D}"/>
    <cellStyle name="40% - Accent6 3 2 2 4" xfId="2730" xr:uid="{7E509B06-DF3D-4DD0-8219-A3E14BA1DF2A}"/>
    <cellStyle name="40% - Accent6 3 2 2 5" xfId="4151" xr:uid="{F7C09038-39B6-40FE-BB88-09FC1A900921}"/>
    <cellStyle name="40% - Accent6 3 2 2 6" xfId="1536" xr:uid="{6763611E-632B-4071-914C-17F494309092}"/>
    <cellStyle name="40% - Accent6 3 2 3" xfId="489" xr:uid="{F8FF69A4-9AD3-4E9F-B365-CA742F37F1C3}"/>
    <cellStyle name="40% - Accent6 3 2 3 2" xfId="2334" xr:uid="{C01E2FB1-E5EF-4C2C-8692-AE7EEDCC2251}"/>
    <cellStyle name="40% - Accent6 3 2 3 3" xfId="2839" xr:uid="{35E70FCE-4388-4C8E-9BA7-1E1355BE9F22}"/>
    <cellStyle name="40% - Accent6 3 2 3 4" xfId="4153" xr:uid="{2B1ADEC2-6D98-4233-BA7F-537F08ABB65D}"/>
    <cellStyle name="40% - Accent6 3 2 3 5" xfId="1538" xr:uid="{DA52BDEE-3A5B-4811-B577-63961710823C}"/>
    <cellStyle name="40% - Accent6 3 2 4" xfId="2108" xr:uid="{3DD13DE2-05C8-4D19-AC39-A60E66C30B3A}"/>
    <cellStyle name="40% - Accent6 3 2 4 2" xfId="3756" xr:uid="{C497B2F4-93F0-4BF7-BC78-A7B3A678C964}"/>
    <cellStyle name="40% - Accent6 3 2 5" xfId="2620" xr:uid="{04AA9D08-C196-44D0-8011-A4FE02157BE9}"/>
    <cellStyle name="40% - Accent6 3 2 6" xfId="4150" xr:uid="{C4CD4E2E-1765-4679-AA69-BAA48B7610DE}"/>
    <cellStyle name="40% - Accent6 3 2 7" xfId="1535" xr:uid="{46231995-B11F-4F29-8784-5531BDC317D6}"/>
    <cellStyle name="40% - Accent6 3 3" xfId="490" xr:uid="{BD5EEFA9-417B-4383-8B7D-39FF211C8634}"/>
    <cellStyle name="40% - Accent6 3 3 2" xfId="491" xr:uid="{AAA6DC21-1676-434C-9B53-62D9C509B8AA}"/>
    <cellStyle name="40% - Accent6 3 3 2 2" xfId="2401" xr:uid="{3DDC52EA-AA7C-4E25-98B0-8256243BA5A6}"/>
    <cellStyle name="40% - Accent6 3 3 2 3" xfId="2906" xr:uid="{10C2A3E1-B0ED-42CB-BF92-98E54DE0A475}"/>
    <cellStyle name="40% - Accent6 3 3 2 4" xfId="4155" xr:uid="{68E44F1F-6C01-4CA2-9FC8-37811D6CCA52}"/>
    <cellStyle name="40% - Accent6 3 3 2 5" xfId="1540" xr:uid="{A4EDE5CC-D626-41F5-9E41-FE463E657B94}"/>
    <cellStyle name="40% - Accent6 3 3 3" xfId="2182" xr:uid="{AC7D0038-CADD-4A94-A60E-33FB04651542}"/>
    <cellStyle name="40% - Accent6 3 3 3 2" xfId="3758" xr:uid="{6E0A0379-8A61-4C90-A4F1-63031193DF1E}"/>
    <cellStyle name="40% - Accent6 3 3 4" xfId="2687" xr:uid="{3BBC0D08-E3AB-4E50-8FC8-6BBBF98205BB}"/>
    <cellStyle name="40% - Accent6 3 3 5" xfId="4154" xr:uid="{99F56FE3-DEB8-46A2-A1FB-734C7205D5BD}"/>
    <cellStyle name="40% - Accent6 3 3 6" xfId="1539" xr:uid="{6315F966-8772-47F2-9991-51C57D1DDDB7}"/>
    <cellStyle name="40% - Accent6 3 4" xfId="492" xr:uid="{A36A28A4-02C1-4017-A0AA-767571F6ADF0}"/>
    <cellStyle name="40% - Accent6 3 4 2" xfId="2291" xr:uid="{94894830-108D-4A08-871B-75B4925D49B3}"/>
    <cellStyle name="40% - Accent6 3 4 3" xfId="2796" xr:uid="{882F6993-19BA-4F47-A420-B0881D247C82}"/>
    <cellStyle name="40% - Accent6 3 4 4" xfId="4156" xr:uid="{E5B3DF77-C6BA-46F5-910F-BF2227676F73}"/>
    <cellStyle name="40% - Accent6 3 4 5" xfId="1541" xr:uid="{D829C0B9-B887-44F0-9EE8-A8C9B17F9DC8}"/>
    <cellStyle name="40% - Accent6 3 5" xfId="2060" xr:uid="{90BFE40B-914B-4918-88B5-DCD0426D7AF5}"/>
    <cellStyle name="40% - Accent6 3 5 2" xfId="2577" xr:uid="{A166526B-AD2E-4019-A25B-E4E53605A6FD}"/>
    <cellStyle name="40% - Accent6 3 5 3" xfId="4157" xr:uid="{FFC1A71E-FA11-4C26-BF9A-6FB85B86847E}"/>
    <cellStyle name="40% - Accent6 3 6" xfId="2012" xr:uid="{D41AFFEE-1008-48DA-AFDE-90514E4FCD0D}"/>
    <cellStyle name="40% - Accent6 3 7" xfId="2536" xr:uid="{06A3FFE3-AEAC-4FA5-B091-46704A22979B}"/>
    <cellStyle name="40% - Accent6 3 8" xfId="4149" xr:uid="{62E5343A-F76F-45B7-A4D8-190A1B0CA064}"/>
    <cellStyle name="40% - Accent6 3 9" xfId="1534" xr:uid="{04D92176-07CC-4F02-9DDA-F112C6CE4828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2 2 2" xfId="2463" xr:uid="{58CD8D61-30C2-4CEB-B1CD-B0FB82D5747A}"/>
    <cellStyle name="40% - Accent6 4 2 2 3" xfId="2968" xr:uid="{1D59EA5C-00DF-4FF1-972D-751F908D9E6E}"/>
    <cellStyle name="40% - Accent6 4 2 2 4" xfId="4160" xr:uid="{FA9480FE-2F96-4589-9614-6589465E9E0A}"/>
    <cellStyle name="40% - Accent6 4 2 2 5" xfId="1544" xr:uid="{72603781-4916-4544-96EE-6467D1F10228}"/>
    <cellStyle name="40% - Accent6 4 2 3" xfId="2244" xr:uid="{7B83AD45-05AD-41C9-BB3F-48F786AA1A88}"/>
    <cellStyle name="40% - Accent6 4 2 3 2" xfId="3759" xr:uid="{9F5D29A7-C960-4F68-881A-F8BF0A9F31D0}"/>
    <cellStyle name="40% - Accent6 4 2 4" xfId="2749" xr:uid="{0B16D941-AE10-459A-AA40-7D75DB68DFE5}"/>
    <cellStyle name="40% - Accent6 4 2 5" xfId="4159" xr:uid="{545E0195-B651-4EBB-ACFF-B1EC669B5780}"/>
    <cellStyle name="40% - Accent6 4 2 6" xfId="1543" xr:uid="{3D9A6338-2466-44D7-8A6C-B45454364995}"/>
    <cellStyle name="40% - Accent6 4 3" xfId="496" xr:uid="{2F085BD0-F79D-46D2-B909-DA1E0EC01691}"/>
    <cellStyle name="40% - Accent6 4 3 2" xfId="2353" xr:uid="{E85F5553-5289-4ACA-9598-2C714336FAFE}"/>
    <cellStyle name="40% - Accent6 4 3 2 2" xfId="3239" xr:uid="{0485D9B9-E5BC-4B54-9F9E-D252559EF79E}"/>
    <cellStyle name="40% - Accent6 4 3 3" xfId="2858" xr:uid="{44A5FAB5-1590-43BB-B416-2A0B21C073AE}"/>
    <cellStyle name="40% - Accent6 4 3 4" xfId="4161" xr:uid="{0E7E8D0B-A917-4E92-8E61-F220E6173684}"/>
    <cellStyle name="40% - Accent6 4 3 5" xfId="1545" xr:uid="{ADDB607D-CE3D-4179-A815-CEC064DF0E1B}"/>
    <cellStyle name="40% - Accent6 4 4" xfId="2128" xr:uid="{9E5690A2-9BC8-4CE6-996E-08844A2906C0}"/>
    <cellStyle name="40% - Accent6 4 4 2" xfId="3171" xr:uid="{7A5A4780-A704-4512-888A-1D5AB039D42D}"/>
    <cellStyle name="40% - Accent6 4 5" xfId="2639" xr:uid="{9244116C-8CF7-48E2-8084-0A36B6C55FC6}"/>
    <cellStyle name="40% - Accent6 4 6" xfId="4158" xr:uid="{15B44FCC-D3DA-4739-A740-F4E9B9F0DB07}"/>
    <cellStyle name="40% - Accent6 4 7" xfId="1542" xr:uid="{44823080-F9AD-4EA9-81C3-0B685EC59FAC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2 2 2" xfId="2425" xr:uid="{6BA52B3E-DBCF-45B3-9D3A-F612B0DDF124}"/>
    <cellStyle name="40% - Accent6 5 2 2 3" xfId="2930" xr:uid="{00FB3A1A-E260-4FD0-88A0-571D5A963C83}"/>
    <cellStyle name="40% - Accent6 5 2 2 4" xfId="4164" xr:uid="{961CA78A-EDCD-4385-8AE3-41FB67265ECA}"/>
    <cellStyle name="40% - Accent6 5 2 2 5" xfId="1548" xr:uid="{6089AE13-0FC9-467E-A064-E5C9EE3F61FE}"/>
    <cellStyle name="40% - Accent6 5 2 3" xfId="2206" xr:uid="{7BBB9EE7-4BCC-459B-A736-9B83E290F77E}"/>
    <cellStyle name="40% - Accent6 5 2 4" xfId="2711" xr:uid="{D80D69D9-67E3-40CD-AE6A-1AD3F29DC9D0}"/>
    <cellStyle name="40% - Accent6 5 2 5" xfId="4163" xr:uid="{DECFE958-CBA9-4433-9C49-A145DAE24204}"/>
    <cellStyle name="40% - Accent6 5 2 6" xfId="1547" xr:uid="{E639B0F6-070C-4F19-ABA0-22F70C053D1F}"/>
    <cellStyle name="40% - Accent6 5 3" xfId="500" xr:uid="{AE46395A-37F8-4AFD-8FC6-09AC0F6222C9}"/>
    <cellStyle name="40% - Accent6 5 3 2" xfId="2315" xr:uid="{0EA2D821-040A-4CB7-B92C-33535BBF8678}"/>
    <cellStyle name="40% - Accent6 5 3 3" xfId="2820" xr:uid="{DFF0D039-727C-4A97-AD94-6040B3510C6A}"/>
    <cellStyle name="40% - Accent6 5 3 4" xfId="4165" xr:uid="{E5ED4F00-AAAD-4A49-ADC9-C87E90BF67A8}"/>
    <cellStyle name="40% - Accent6 5 3 5" xfId="1549" xr:uid="{0F9A94FC-20F0-445B-943B-A9049B31EC8B}"/>
    <cellStyle name="40% - Accent6 5 4" xfId="2084" xr:uid="{125BA5DE-E729-40DE-A4FF-BAE86DF34B46}"/>
    <cellStyle name="40% - Accent6 5 5" xfId="2601" xr:uid="{65837E22-CD48-4BC2-994B-F2CD759CF8FE}"/>
    <cellStyle name="40% - Accent6 5 6" xfId="4162" xr:uid="{B33611D5-54EA-4D6D-90FA-0712DFC9B5B6}"/>
    <cellStyle name="40% - Accent6 5 7" xfId="1546" xr:uid="{BABF7E52-257F-4174-88F3-6C65C614A218}"/>
    <cellStyle name="40% - Accent6 6" xfId="501" xr:uid="{C90CCF8B-5FD9-4F20-B633-8587608F8A5E}"/>
    <cellStyle name="40% - Accent6 6 2" xfId="502" xr:uid="{DDA721E9-4EC1-470D-89DB-E06F08E110D4}"/>
    <cellStyle name="40% - Accent6 6 2 2" xfId="2379" xr:uid="{8BA7458B-66F0-4F46-B03B-38CC4DEA1DE1}"/>
    <cellStyle name="40% - Accent6 6 2 3" xfId="2884" xr:uid="{E2E916EF-DDFB-4134-86F1-FBD59F5B1C39}"/>
    <cellStyle name="40% - Accent6 6 2 4" xfId="4167" xr:uid="{6EB75AAF-D9B1-43AF-A76C-477B561BC78A}"/>
    <cellStyle name="40% - Accent6 6 2 5" xfId="1551" xr:uid="{ECC9C47C-46C5-40B2-AB46-D3216E098D5B}"/>
    <cellStyle name="40% - Accent6 6 3" xfId="2158" xr:uid="{E20FD29D-810C-418A-8EAD-E90BA8A5EB8A}"/>
    <cellStyle name="40% - Accent6 6 4" xfId="2665" xr:uid="{8BA0FC28-4DCD-41CD-A949-272F3B251525}"/>
    <cellStyle name="40% - Accent6 6 5" xfId="4166" xr:uid="{826AE743-C485-4D3B-8334-58E6CCB3D5D6}"/>
    <cellStyle name="40% - Accent6 6 6" xfId="1550" xr:uid="{A2BFE90E-EBEC-459D-9FCD-131EF865CBAF}"/>
    <cellStyle name="40% - Accent6 7" xfId="503" xr:uid="{B133C1CB-491F-49B9-BBF3-19A641EAD6FD}"/>
    <cellStyle name="40% - Accent6 7 2" xfId="504" xr:uid="{EA8D3A5B-9961-46E7-A983-ED09A429FB48}"/>
    <cellStyle name="40% - Accent6 7 2 2" xfId="1553" xr:uid="{E09FC5BD-BE89-436C-BDEE-6681971C7B6D}"/>
    <cellStyle name="40% - Accent6 7 3" xfId="2269" xr:uid="{79343035-4DAD-4766-8834-941D6041772F}"/>
    <cellStyle name="40% - Accent6 7 4" xfId="2774" xr:uid="{7A26688A-B387-427B-A7AA-0BCF9C5ECCCB}"/>
    <cellStyle name="40% - Accent6 7 5" xfId="4168" xr:uid="{7AE91A89-C6D9-4AD4-AFAA-C45C55DF528C}"/>
    <cellStyle name="40% - Accent6 7 6" xfId="1552" xr:uid="{D1130794-D3E6-4A4D-848F-C58C65AB7724}"/>
    <cellStyle name="40% - Accent6 8" xfId="2036" xr:uid="{5A7661A1-10B2-4785-8F69-666361DCC372}"/>
    <cellStyle name="40% - Accent6 8 2" xfId="2555" xr:uid="{42BCED94-A2ED-49B3-8584-43FF63EAE51D}"/>
    <cellStyle name="40% - Accent6 8 3" xfId="4169" xr:uid="{3C1CFAC6-EEBE-4DA2-823D-2D018EF37C8A}"/>
    <cellStyle name="40% - Accent6 9" xfId="2503" xr:uid="{A27D9DC5-2C2A-43EE-B640-F06FBE0E25F4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2 2 2" xfId="3480" xr:uid="{B6EB7874-26B8-49AC-B82F-0FF5BE0B25A3}"/>
    <cellStyle name="60% - Accent1 2 2 2 3" xfId="1556" xr:uid="{61891C1B-095B-4E59-85F5-AC7E87338F96}"/>
    <cellStyle name="60% - Accent1 2 2 3" xfId="3122" xr:uid="{5C73F0AB-2013-451A-94AA-F2ADCB79852F}"/>
    <cellStyle name="60% - Accent1 2 2 4" xfId="1555" xr:uid="{8B33FEB6-3DE0-4E55-B76E-488BF2B81CC7}"/>
    <cellStyle name="60% - Accent1 2 3" xfId="508" xr:uid="{0465A5DF-7375-4D0B-B614-36A191C63898}"/>
    <cellStyle name="60% - Accent1 2 3 2" xfId="3175" xr:uid="{60F555F1-9E5F-4280-A3BB-BFD46F564424}"/>
    <cellStyle name="60% - Accent1 2 3 3" xfId="1557" xr:uid="{46632A0F-1984-4ED5-9284-CBE3E60A349A}"/>
    <cellStyle name="60% - Accent1 2 4" xfId="1934" xr:uid="{FC0F8676-94BF-4645-B17D-93ACA6426CD5}"/>
    <cellStyle name="60% - Accent1 2 4 2" xfId="3356" xr:uid="{65739341-5C1F-4697-B552-385C6B2249F8}"/>
    <cellStyle name="60% - Accent1 2 5" xfId="3005" xr:uid="{35C7F63B-BB1A-4834-8E1D-28064484DC98}"/>
    <cellStyle name="60% - Accent1 2 6" xfId="4170" xr:uid="{101B9E39-81BA-45C2-AEE7-14FEF4DDDC99}"/>
    <cellStyle name="60% - Accent1 2 7" xfId="1554" xr:uid="{DC40C4D2-C805-40F0-9BDB-484F707BE121}"/>
    <cellStyle name="60% - Accent1 3" xfId="509" xr:uid="{13272442-8E20-479A-B6A1-272B74D122AD}"/>
    <cellStyle name="60% - Accent1 3 2" xfId="1914" xr:uid="{D0D57085-77FB-4575-846A-A0002E7F5448}"/>
    <cellStyle name="60% - Accent1 3 3" xfId="3203" xr:uid="{E801196F-E4BF-4D2E-956E-880D5BAD698F}"/>
    <cellStyle name="60% - Accent1 3 4" xfId="2983" xr:uid="{9EAB5C82-9AB0-47A5-896E-6FFB177BBE6D}"/>
    <cellStyle name="60% - Accent1 3 5" xfId="4171" xr:uid="{A2EBC77A-6001-4250-9255-26775E4BAA23}"/>
    <cellStyle name="60% - Accent1 4" xfId="510" xr:uid="{90D483CB-AF4C-4AA2-9945-7D84D936DACC}"/>
    <cellStyle name="60% - Accent1 4 2" xfId="511" xr:uid="{F7DB2A35-F439-4224-A0AA-C1DF58F4E744}"/>
    <cellStyle name="60% - Accent1 4 2 2" xfId="1559" xr:uid="{0FBB257F-F91B-4D82-9BE5-B385A71A7222}"/>
    <cellStyle name="60% - Accent1 4 3" xfId="3017" xr:uid="{DCD13715-AAF9-4D13-9475-80B8BFEED62F}"/>
    <cellStyle name="60% - Accent1 4 4" xfId="1558" xr:uid="{EDDF1AF7-A9C4-49BF-A171-690721E32C09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2 2 2" xfId="3287" xr:uid="{25308293-0479-4510-AD5D-A5CAF9F06E16}"/>
    <cellStyle name="60% - Accent2 2 2 2 3" xfId="1562" xr:uid="{2EAD7937-393E-4C85-B810-8D37D1B75096}"/>
    <cellStyle name="60% - Accent2 2 2 3" xfId="3165" xr:uid="{F2B94E08-3F25-4EB1-A7CC-4D7C2F415F61}"/>
    <cellStyle name="60% - Accent2 2 2 4" xfId="1561" xr:uid="{F0962F1C-8729-4AB8-99CF-0F738F0D207D}"/>
    <cellStyle name="60% - Accent2 2 3" xfId="515" xr:uid="{78DD4310-28F5-4ED9-A37E-5AD624F51618}"/>
    <cellStyle name="60% - Accent2 2 3 2" xfId="3176" xr:uid="{C09F8612-1526-4EC8-B983-216EC329DD64}"/>
    <cellStyle name="60% - Accent2 2 3 3" xfId="1563" xr:uid="{588BE213-286A-4ECC-9B92-A3EFC036F68D}"/>
    <cellStyle name="60% - Accent2 2 4" xfId="1935" xr:uid="{13AC6730-2848-4FF9-9B84-90BC963D8E07}"/>
    <cellStyle name="60% - Accent2 2 4 2" xfId="3365" xr:uid="{2ADD9D0A-8BD0-42CB-ACDC-D22034DC973B}"/>
    <cellStyle name="60% - Accent2 2 5" xfId="3004" xr:uid="{0ED72127-4A58-436B-B67B-3FE8C76FC651}"/>
    <cellStyle name="60% - Accent2 2 6" xfId="4172" xr:uid="{0D9A867F-B081-4B27-B26C-84023936DB42}"/>
    <cellStyle name="60% - Accent2 2 7" xfId="1560" xr:uid="{CDF10A5C-B94D-4501-965B-5ECE2E941056}"/>
    <cellStyle name="60% - Accent2 3" xfId="516" xr:uid="{7AEFAA1E-B0F5-4308-A2D4-8AE474FEDD4D}"/>
    <cellStyle name="60% - Accent2 3 2" xfId="1915" xr:uid="{839ABAB7-5A73-4202-BB0D-570A030CCD25}"/>
    <cellStyle name="60% - Accent2 3 3" xfId="3204" xr:uid="{E8F88F0B-2C94-4144-AA24-DBB6B9838AE1}"/>
    <cellStyle name="60% - Accent2 3 4" xfId="3134" xr:uid="{5FAA64C0-52A2-4054-AAEB-4612836866DC}"/>
    <cellStyle name="60% - Accent2 3 5" xfId="4173" xr:uid="{8575727F-E5D4-4BE1-B5CA-995D5BBBA4D4}"/>
    <cellStyle name="60% - Accent2 4" xfId="517" xr:uid="{75A2B15F-B935-41CC-9060-C8FFC77C39AC}"/>
    <cellStyle name="60% - Accent2 4 2" xfId="518" xr:uid="{D14CBCBC-76C5-4ACC-A1AC-1187209CB586}"/>
    <cellStyle name="60% - Accent2 4 2 2" xfId="1565" xr:uid="{95B78652-16FB-42EA-AB36-5E8E0B71474E}"/>
    <cellStyle name="60% - Accent2 4 3" xfId="3022" xr:uid="{82DFE39B-3078-4F21-91FE-918E8E0A787A}"/>
    <cellStyle name="60% - Accent2 4 4" xfId="1564" xr:uid="{26325D9F-2523-46CE-B36B-CD9212830ED8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2 2 2" xfId="3273" xr:uid="{FD04E91D-ADAD-436B-96F5-9042C31B985B}"/>
    <cellStyle name="60% - Accent3 2 2 2 3" xfId="1568" xr:uid="{D4421436-41FE-4CC6-8DEC-24189BA05FB5}"/>
    <cellStyle name="60% - Accent3 2 2 3" xfId="3085" xr:uid="{91921248-9C5E-48EA-A38C-6BCA3DA48954}"/>
    <cellStyle name="60% - Accent3 2 2 4" xfId="1567" xr:uid="{B93DA9B1-9645-47A5-975E-5C19617F2862}"/>
    <cellStyle name="60% - Accent3 2 3" xfId="522" xr:uid="{49714B12-BE6A-4F03-A4A7-BA6E54774F60}"/>
    <cellStyle name="60% - Accent3 2 3 2" xfId="3177" xr:uid="{D8F9A8B6-0DCE-49A6-BF71-40B1A9FFCF4C}"/>
    <cellStyle name="60% - Accent3 2 3 3" xfId="1569" xr:uid="{00A4B1B3-E1F8-437D-B695-F26195B83F07}"/>
    <cellStyle name="60% - Accent3 2 4" xfId="1936" xr:uid="{6CF12116-8275-4282-952B-693D03078018}"/>
    <cellStyle name="60% - Accent3 2 4 2" xfId="3547" xr:uid="{DD554E91-B9B9-4AA3-9D5A-4622CA09E5B5}"/>
    <cellStyle name="60% - Accent3 2 5" xfId="2513" xr:uid="{1C0DFBA7-166B-4141-8261-0C25D30054C1}"/>
    <cellStyle name="60% - Accent3 2 6" xfId="4174" xr:uid="{36B22B7F-F025-4EC1-935C-41621A260764}"/>
    <cellStyle name="60% - Accent3 2 7" xfId="1566" xr:uid="{9DD50C61-7255-4D67-850A-9ED75B7963F0}"/>
    <cellStyle name="60% - Accent3 3" xfId="523" xr:uid="{E4C103D5-7C43-4C77-A5F5-4DA3667899E0}"/>
    <cellStyle name="60% - Accent3 3 2" xfId="1916" xr:uid="{E3927D48-3834-4988-BEC2-50820701D25F}"/>
    <cellStyle name="60% - Accent3 3 3" xfId="3205" xr:uid="{EA5343C6-58CF-493F-8A0C-10E81B07250A}"/>
    <cellStyle name="60% - Accent3 3 4" xfId="3161" xr:uid="{78A32B06-3CD1-4406-B9B6-F228404A318B}"/>
    <cellStyle name="60% - Accent3 3 5" xfId="4175" xr:uid="{0A79F3C4-2342-483C-8F71-8D7C2BC99AAF}"/>
    <cellStyle name="60% - Accent3 4" xfId="524" xr:uid="{D6A19130-9ECB-434A-BFEF-ACD80334AD0C}"/>
    <cellStyle name="60% - Accent3 4 2" xfId="525" xr:uid="{962C931F-8B69-4A96-8F44-09E11F8A0132}"/>
    <cellStyle name="60% - Accent3 4 2 2" xfId="1571" xr:uid="{DCAFE88E-F2F7-4F31-B393-6951E5A439E9}"/>
    <cellStyle name="60% - Accent3 4 3" xfId="3023" xr:uid="{70FDE22D-CD66-4421-BCAC-E976806C0145}"/>
    <cellStyle name="60% - Accent3 4 4" xfId="1570" xr:uid="{41DE75B1-8D06-4B4F-9EE5-68F8FCEED259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2 2 2" xfId="3548" xr:uid="{260B7108-FD89-4531-A409-DD58B0AB9B3E}"/>
    <cellStyle name="60% - Accent4 2 2 2 3" xfId="1574" xr:uid="{6F4AE28C-F0F0-4F0C-B908-1EA33FAD805F}"/>
    <cellStyle name="60% - Accent4 2 2 3" xfId="3046" xr:uid="{9D45E182-0BF2-42C7-B870-15A2F7BF4A65}"/>
    <cellStyle name="60% - Accent4 2 2 4" xfId="1573" xr:uid="{B85AE3F4-F6B5-4D7E-95A3-ABCD31CB9A63}"/>
    <cellStyle name="60% - Accent4 2 3" xfId="529" xr:uid="{64FEE3F4-6332-4014-ABD0-2EA707DEF35A}"/>
    <cellStyle name="60% - Accent4 2 3 2" xfId="3178" xr:uid="{72F2FE6C-4428-4937-A7B2-BEC05573814D}"/>
    <cellStyle name="60% - Accent4 2 3 3" xfId="1575" xr:uid="{AED098CA-1647-4A07-A673-8559D1043A3D}"/>
    <cellStyle name="60% - Accent4 2 4" xfId="1937" xr:uid="{342FD3C6-2E09-478C-8835-A32A748A2766}"/>
    <cellStyle name="60% - Accent4 2 4 2" xfId="3577" xr:uid="{35FB3048-5A41-43F6-922A-E6117CE02A69}"/>
    <cellStyle name="60% - Accent4 2 5" xfId="3003" xr:uid="{1DD986A0-6566-439A-BFE4-7E6448413DA1}"/>
    <cellStyle name="60% - Accent4 2 6" xfId="4176" xr:uid="{E4D2E1A9-EFF9-4CB6-B0D5-C03824844714}"/>
    <cellStyle name="60% - Accent4 2 7" xfId="1572" xr:uid="{36149934-ECAD-4C35-81C1-43C15D79876D}"/>
    <cellStyle name="60% - Accent4 3" xfId="530" xr:uid="{0765500A-69BD-4FC9-8767-6593BFA11E8F}"/>
    <cellStyle name="60% - Accent4 3 2" xfId="1917" xr:uid="{E986005B-93F3-4636-BC4D-84B9253BE726}"/>
    <cellStyle name="60% - Accent4 3 3" xfId="3206" xr:uid="{5ED78323-027C-46B5-940E-BA9C0B1D4862}"/>
    <cellStyle name="60% - Accent4 3 4" xfId="3107" xr:uid="{64752B5B-377A-4BD5-BBA8-9C43C22BB185}"/>
    <cellStyle name="60% - Accent4 3 5" xfId="4177" xr:uid="{BECCE32B-8F98-4A01-B263-8962A294E7F9}"/>
    <cellStyle name="60% - Accent4 4" xfId="531" xr:uid="{2885899B-FB2A-4755-AB53-2A9CACB88B14}"/>
    <cellStyle name="60% - Accent4 4 2" xfId="532" xr:uid="{87C0CB51-0242-4D87-ADDB-569E0F712090}"/>
    <cellStyle name="60% - Accent4 4 2 2" xfId="1577" xr:uid="{183DA1B0-AA0E-4783-8C1B-8C2D147BE337}"/>
    <cellStyle name="60% - Accent4 4 3" xfId="3015" xr:uid="{5CF567EF-5F57-4100-AE46-2DCCAEAC519E}"/>
    <cellStyle name="60% - Accent4 4 4" xfId="1576" xr:uid="{34E1E2AC-0CE4-4220-BCA2-C2E05BE26E43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2 2 2" xfId="3435" xr:uid="{A5A4711F-4472-4EF0-B7E2-ABFDD0239072}"/>
    <cellStyle name="60% - Accent5 2 2 2 3" xfId="1580" xr:uid="{673E741B-E7B9-4561-B1D4-13D3CE737C27}"/>
    <cellStyle name="60% - Accent5 2 2 3" xfId="3112" xr:uid="{E23FA351-CEF4-4F04-9515-9390D2C80F81}"/>
    <cellStyle name="60% - Accent5 2 2 4" xfId="1579" xr:uid="{790651BD-B65A-47C6-910E-EC1F3BB363F0}"/>
    <cellStyle name="60% - Accent5 2 3" xfId="536" xr:uid="{ABCF7A70-8AD9-4CEE-9DC1-35340C374930}"/>
    <cellStyle name="60% - Accent5 2 3 2" xfId="3179" xr:uid="{B25350C9-9E2C-4DA6-B078-6B254F164DB3}"/>
    <cellStyle name="60% - Accent5 2 3 3" xfId="1581" xr:uid="{1639542C-C259-420B-A829-574F028E3FD0}"/>
    <cellStyle name="60% - Accent5 2 4" xfId="1938" xr:uid="{E326D37F-FE22-4605-AB84-55EF0C4C7DC3}"/>
    <cellStyle name="60% - Accent5 2 4 2" xfId="3337" xr:uid="{EB396FD5-2FB4-4853-9807-54E89AA314AC}"/>
    <cellStyle name="60% - Accent5 2 5" xfId="3002" xr:uid="{12181E10-BF04-46AD-9138-83F72C543D5B}"/>
    <cellStyle name="60% - Accent5 2 6" xfId="4178" xr:uid="{41B2B8BA-5027-489A-ABA6-DAC30E28FD17}"/>
    <cellStyle name="60% - Accent5 2 7" xfId="1578" xr:uid="{A9311087-E134-45B6-8C42-709B527F97AC}"/>
    <cellStyle name="60% - Accent5 3" xfId="537" xr:uid="{7DBFA383-F152-4373-BB99-65247FF53B1D}"/>
    <cellStyle name="60% - Accent5 3 2" xfId="1918" xr:uid="{F74CA678-58EE-49EB-B63B-86272CE2BC3B}"/>
    <cellStyle name="60% - Accent5 3 3" xfId="3207" xr:uid="{B8750F1E-15A3-41C8-8891-83E250F1FE96}"/>
    <cellStyle name="60% - Accent5 3 4" xfId="3030" xr:uid="{EEE87F4C-CEB6-4C89-81C3-528609DA3E70}"/>
    <cellStyle name="60% - Accent5 3 5" xfId="4179" xr:uid="{70140057-B975-4B07-8800-E3DF19D3AB65}"/>
    <cellStyle name="60% - Accent5 4" xfId="538" xr:uid="{77DFCB9B-BB52-4BA1-89CB-1C43AB2D5040}"/>
    <cellStyle name="60% - Accent5 4 2" xfId="539" xr:uid="{2EA3186F-934C-4A29-9259-8F32605C6E13}"/>
    <cellStyle name="60% - Accent5 4 2 2" xfId="1583" xr:uid="{78A24558-1128-4D96-A004-BE0F8C90837B}"/>
    <cellStyle name="60% - Accent5 4 3" xfId="3014" xr:uid="{7573B292-0F6E-40D8-B50E-2B2B0F2D84A5}"/>
    <cellStyle name="60% - Accent5 4 4" xfId="1582" xr:uid="{8E9FAD79-EE70-460B-8635-C1043F97C9CA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2 2 2" xfId="3492" xr:uid="{3943D0B8-1633-41D4-A3DB-DB704DB9AF9C}"/>
    <cellStyle name="60% - Accent6 2 2 2 3" xfId="1586" xr:uid="{0887CABB-3630-486F-9D10-5E54E0A81916}"/>
    <cellStyle name="60% - Accent6 2 2 3" xfId="3154" xr:uid="{6C4424ED-62A3-4B4B-B0F4-B861CB0351C3}"/>
    <cellStyle name="60% - Accent6 2 2 4" xfId="1585" xr:uid="{4AC3D4C3-6D52-435D-BE51-52C46F66BE93}"/>
    <cellStyle name="60% - Accent6 2 3" xfId="543" xr:uid="{49C268AA-B8AC-4D42-94E1-EDEDBDBD3940}"/>
    <cellStyle name="60% - Accent6 2 3 2" xfId="3180" xr:uid="{3FBAF1B3-8AFE-4318-BFF3-BA61B90C6640}"/>
    <cellStyle name="60% - Accent6 2 3 3" xfId="1587" xr:uid="{1023103C-1B79-4E21-B7A8-3FA240E31B30}"/>
    <cellStyle name="60% - Accent6 2 4" xfId="1939" xr:uid="{6D4ECCEB-BFDF-459C-B240-7B778DBD5AB9}"/>
    <cellStyle name="60% - Accent6 2 4 2" xfId="3426" xr:uid="{7D20EE91-8F8A-4ED0-BE00-FD01A1C7580F}"/>
    <cellStyle name="60% - Accent6 2 5" xfId="3001" xr:uid="{3AC72225-C900-4FCF-9838-59D6116C3227}"/>
    <cellStyle name="60% - Accent6 2 6" xfId="4180" xr:uid="{72928000-2D78-49F3-8FE2-F7F7D540E60D}"/>
    <cellStyle name="60% - Accent6 2 7" xfId="1584" xr:uid="{2A1419A7-7F2D-4026-8A4D-2D692CEB5995}"/>
    <cellStyle name="60% - Accent6 3" xfId="544" xr:uid="{F23DAF90-1C35-41C1-ADE0-D981FF474D29}"/>
    <cellStyle name="60% - Accent6 3 2" xfId="1919" xr:uid="{5F15C7FC-C70D-4CBC-960F-4D4DC10C2B26}"/>
    <cellStyle name="60% - Accent6 3 3" xfId="3208" xr:uid="{46DF70BC-E2C0-4D2C-A62A-8549484CF60C}"/>
    <cellStyle name="60% - Accent6 3 4" xfId="3094" xr:uid="{5472818D-162F-407A-A9DF-8261CDF2C140}"/>
    <cellStyle name="60% - Accent6 3 5" xfId="4181" xr:uid="{608E6BA9-2FC5-4ADE-A625-357677A0431F}"/>
    <cellStyle name="60% - Accent6 4" xfId="545" xr:uid="{5028A68E-9C9D-448A-9148-A189FE4F09B1}"/>
    <cellStyle name="60% - Accent6 4 2" xfId="546" xr:uid="{A9325329-C80C-4BBC-9F50-67CE89AE3AAD}"/>
    <cellStyle name="60% - Accent6 4 2 2" xfId="1589" xr:uid="{922C3969-29B4-4C20-BB8B-405F2D9EBB3E}"/>
    <cellStyle name="60% - Accent6 4 3" xfId="3100" xr:uid="{ECAC38CB-E00E-4EE6-9C72-BF17AD005359}"/>
    <cellStyle name="60% - Accent6 4 4" xfId="1588" xr:uid="{406BDA2E-D922-4293-AC21-59F7A74EFC4C}"/>
    <cellStyle name="Accent1" xfId="1032" builtinId="29" customBuiltin="1"/>
    <cellStyle name="Accent1 2" xfId="1940" xr:uid="{3483FF8D-26EC-480E-B51C-95003BAB71E3}"/>
    <cellStyle name="Accent1 2 2" xfId="3470" xr:uid="{0BD96DCB-B939-47EF-BC94-D0A42847D3C8}"/>
    <cellStyle name="Accent1 2 3" xfId="3347" xr:uid="{45978C2A-C95E-4DD5-801E-F4DBED0B47AD}"/>
    <cellStyle name="Accent1 2 4" xfId="3257" xr:uid="{3A75EF02-B1AF-47C7-981D-470AEC036031}"/>
    <cellStyle name="Accent1 2 5" xfId="4183" xr:uid="{BAB1A460-7F24-45BA-9E2B-CEA6D90E71E2}"/>
    <cellStyle name="Accent1 3" xfId="4182" xr:uid="{998DFD64-CD25-467A-9BFF-9EB947CEBA12}"/>
    <cellStyle name="Accent2" xfId="1035" builtinId="33" customBuiltin="1"/>
    <cellStyle name="Accent2 2" xfId="1941" xr:uid="{432A0078-EDE9-45F4-8CC0-8006040BFBD3}"/>
    <cellStyle name="Accent2 2 2" xfId="3496" xr:uid="{B221C46D-208D-4B7A-B8BF-B0FB34758D7D}"/>
    <cellStyle name="Accent2 2 3" xfId="3272" xr:uid="{D2DA94A3-8F17-43BD-97C5-3589F85DA9DE}"/>
    <cellStyle name="Accent2 2 4" xfId="3258" xr:uid="{8F83C393-06AA-4E5B-AF46-E40C99247B2A}"/>
    <cellStyle name="Accent2 2 5" xfId="4185" xr:uid="{35C4F932-4CE9-4780-B42F-C3938451E817}"/>
    <cellStyle name="Accent2 3" xfId="4184" xr:uid="{A3F35BC4-28BC-4E6A-8EBE-598B0036BBB4}"/>
    <cellStyle name="Accent3" xfId="1038" builtinId="37" customBuiltin="1"/>
    <cellStyle name="Accent3 2" xfId="1942" xr:uid="{A3FA60C6-5C8E-4285-BCAF-EB59FFCE4D90}"/>
    <cellStyle name="Accent3 2 2" xfId="3407" xr:uid="{0D1AF190-F2C5-4E26-9B13-CCDEF2BCA88B}"/>
    <cellStyle name="Accent3 2 3" xfId="3370" xr:uid="{1785EAD0-6916-45E7-B8A7-17D1EEDDC290}"/>
    <cellStyle name="Accent3 2 4" xfId="3259" xr:uid="{5AE53E56-7163-4B82-A95B-C03771CAB2F2}"/>
    <cellStyle name="Accent3 2 5" xfId="4187" xr:uid="{74FAB58F-0293-48C2-89FE-2E1790670E8E}"/>
    <cellStyle name="Accent3 3" xfId="4186" xr:uid="{E85BA231-A40C-4E50-9822-C1C5801C2AF6}"/>
    <cellStyle name="Accent4" xfId="1041" builtinId="41" customBuiltin="1"/>
    <cellStyle name="Accent4 2" xfId="1943" xr:uid="{F714A8DD-79F1-42C2-968C-E375677956E1}"/>
    <cellStyle name="Accent4 2 2" xfId="3436" xr:uid="{AB93A0DD-FDA5-4FB0-B7C0-9787AB56078E}"/>
    <cellStyle name="Accent4 2 3" xfId="3395" xr:uid="{2292B8CE-C941-4E52-8478-CF0F3C574C9E}"/>
    <cellStyle name="Accent4 2 4" xfId="3260" xr:uid="{3E867D3D-C6DF-4731-A81A-E0C7DFC5322B}"/>
    <cellStyle name="Accent4 2 5" xfId="4189" xr:uid="{DE0C7697-08F2-4CDF-A400-3007DB9CA4DB}"/>
    <cellStyle name="Accent4 3" xfId="4188" xr:uid="{9312DBFA-EAB0-491B-B716-E7D8B984E83A}"/>
    <cellStyle name="Accent5" xfId="1044" builtinId="45" customBuiltin="1"/>
    <cellStyle name="Accent5 2" xfId="1944" xr:uid="{08A6D4A2-4A03-4B81-8AE9-89A979778ADE}"/>
    <cellStyle name="Accent5 2 2" xfId="3278" xr:uid="{04950FB2-9EED-4A7D-BBDE-9E174A4AB691}"/>
    <cellStyle name="Accent5 2 3" xfId="3386" xr:uid="{3B6883B6-6182-43C1-A363-CFD83F483B51}"/>
    <cellStyle name="Accent5 2 4" xfId="3261" xr:uid="{E2195C72-106D-4084-B0BD-A0C8EFFF1176}"/>
    <cellStyle name="Accent5 2 5" xfId="4191" xr:uid="{D0AA3FF8-81A9-4D58-9828-CB5CF316806F}"/>
    <cellStyle name="Accent5 3" xfId="4190" xr:uid="{7255B2EC-5F23-451C-A8AF-4D4B21480DEF}"/>
    <cellStyle name="Accent6" xfId="1047" builtinId="49" customBuiltin="1"/>
    <cellStyle name="Accent6 2" xfId="1945" xr:uid="{97B308CD-B25B-4FF2-9C69-142A0C4A79FF}"/>
    <cellStyle name="Accent6 2 2" xfId="3304" xr:uid="{BCB462CD-293A-4BBD-9A72-1001AA133F7B}"/>
    <cellStyle name="Accent6 2 3" xfId="3460" xr:uid="{F3C2D2AF-16B8-4C4C-AEFC-C6D79E95BA03}"/>
    <cellStyle name="Accent6 2 4" xfId="3262" xr:uid="{FC7BC800-4AFB-4C0B-BCBF-2959DEE021E6}"/>
    <cellStyle name="Accent6 2 5" xfId="4193" xr:uid="{971FA2B3-3F2E-47EF-8D69-4B5A4C83491A}"/>
    <cellStyle name="Accent6 3" xfId="4192" xr:uid="{78D056F6-3AE0-4919-B94E-081611F8D98D}"/>
    <cellStyle name="Bad" xfId="1023" builtinId="27" customBuiltin="1"/>
    <cellStyle name="Bad 2" xfId="1946" xr:uid="{2026C641-D9E4-4ECF-91F7-0E4C8DA98023}"/>
    <cellStyle name="Bad 2 2" xfId="3454" xr:uid="{8B8CA8BA-764D-4D38-B1E5-2C00616D12D5}"/>
    <cellStyle name="Bad 2 3" xfId="3247" xr:uid="{EFFDB97C-10DE-45C2-A98E-7285381C38AD}"/>
    <cellStyle name="Bad 2 4" xfId="4195" xr:uid="{B72A059E-07B5-48FF-9C0D-5AAB41CCACAD}"/>
    <cellStyle name="Bad 3" xfId="3317" xr:uid="{ED477D9A-BD3D-48F9-989E-C62A509C6F20}"/>
    <cellStyle name="Bad 4" xfId="4194" xr:uid="{96062E0C-C755-4AEB-99E6-272D34929221}"/>
    <cellStyle name="Calculation" xfId="1026" builtinId="22" customBuiltin="1"/>
    <cellStyle name="Calculation 2" xfId="1947" xr:uid="{18F88AA5-554A-4DB3-9DAA-654FC88BD757}"/>
    <cellStyle name="Calculation 2 2" xfId="3574" xr:uid="{481E783E-56C6-4947-8723-60F87DD924B0}"/>
    <cellStyle name="Calculation 2 3" xfId="3441" xr:uid="{DD43BD56-4A4A-4B20-B7EF-15C5351180B5}"/>
    <cellStyle name="Calculation 2 4" xfId="3250" xr:uid="{2AED21EA-D80F-41C5-B80A-7AD513F6ABE2}"/>
    <cellStyle name="Calculation 2 5" xfId="4197" xr:uid="{CF7F13C9-856C-444F-9FC8-3E2DF5333BDC}"/>
    <cellStyle name="Calculation 3" xfId="4196" xr:uid="{CCEC1269-0326-4745-8D34-001AE0D0E639}"/>
    <cellStyle name="Check Cell" xfId="1028" builtinId="23" customBuiltin="1"/>
    <cellStyle name="Check Cell 2" xfId="1948" xr:uid="{E5721527-E369-464B-8737-780622D139EB}"/>
    <cellStyle name="Check Cell 2 2" xfId="3361" xr:uid="{015B9A8D-AAF0-4865-B8CA-73A534BEF785}"/>
    <cellStyle name="Check Cell 2 3" xfId="3428" xr:uid="{F0DF1F0F-EB6D-403A-82CE-A89856FED052}"/>
    <cellStyle name="Check Cell 2 4" xfId="3252" xr:uid="{53C62329-7427-419A-B0E6-64A1A6F59475}"/>
    <cellStyle name="Check Cell 2 5" xfId="4199" xr:uid="{DDDB3F33-04E8-4DC3-8F6F-FA2C3CB2B5B3}"/>
    <cellStyle name="Check Cell 3" xfId="4198" xr:uid="{146726BB-02B0-4188-9405-DDFA0B5622E5}"/>
    <cellStyle name="Comma" xfId="547" builtinId="3"/>
    <cellStyle name="Comma [0] 2" xfId="548" xr:uid="{32FA1C11-9067-44F1-9633-99F12BACD6C5}"/>
    <cellStyle name="Comma [0] 2 2" xfId="990" xr:uid="{674AB14A-F437-4AFD-B129-97BEEDFA9EBB}"/>
    <cellStyle name="Comma [0] 3" xfId="549" xr:uid="{6011A93F-E0CF-4824-B0C5-A7A128BE1E7D}"/>
    <cellStyle name="Comma [0] 3 2" xfId="984" xr:uid="{2C4CC453-582C-46FF-B7A5-FA25D82D09BD}"/>
    <cellStyle name="Comma 10" xfId="550" xr:uid="{C07BDC7F-C61F-4D9C-92E9-4A8BB73A6073}"/>
    <cellStyle name="Comma 10 2" xfId="551" xr:uid="{2BDCDC0D-1483-448C-AAB1-FC0FDCBACD6B}"/>
    <cellStyle name="Comma 10 2 2" xfId="3680" xr:uid="{EB3F7823-35F1-458D-A8D0-EBE9BD469FDF}"/>
    <cellStyle name="Comma 10 2 3" xfId="3762" xr:uid="{0A201073-149F-410E-803A-DF6D93790909}"/>
    <cellStyle name="Comma 10 2 4" xfId="3561" xr:uid="{A6C0D879-01F5-40C3-AE05-B4BE6C4D1C82}"/>
    <cellStyle name="Comma 10 2 5" xfId="1590" xr:uid="{A6D34E36-E87B-418B-B452-B047BE49490C}"/>
    <cellStyle name="Comma 10 3" xfId="552" xr:uid="{387331F8-3DAB-4D2C-9958-81E64462BC2C}"/>
    <cellStyle name="Comma 10 3 2" xfId="3614" xr:uid="{46922E0C-94D9-4B97-AC5B-008D70BB7FAC}"/>
    <cellStyle name="Comma 10 3 3" xfId="1591" xr:uid="{733A1899-41F9-4B67-97D0-514D76A61487}"/>
    <cellStyle name="Comma 10 4" xfId="1006" xr:uid="{376B63CF-F938-4A68-859A-6F12E01E32F1}"/>
    <cellStyle name="Comma 10 4 2" xfId="3761" xr:uid="{40756D30-F502-4CEA-BBF3-0CB27D293464}"/>
    <cellStyle name="Comma 10 5" xfId="3452" xr:uid="{C06403AB-AF3C-4FD1-AD5D-848A2DEBF9B0}"/>
    <cellStyle name="Comma 10 6" xfId="2505" xr:uid="{2F55C7D1-FF7C-410F-BD5A-F80DD5172A04}"/>
    <cellStyle name="Comma 10 7" xfId="4200" xr:uid="{852726C8-6B1B-4E2B-8E11-51A3C2BB98E2}"/>
    <cellStyle name="Comma 11" xfId="553" xr:uid="{BD2A3ED0-FD77-4BDE-B708-5A26A08E2A94}"/>
    <cellStyle name="Comma 11 2" xfId="1010" xr:uid="{A12778A5-F10A-4351-B434-BC7CCC9CA53F}"/>
    <cellStyle name="Comma 11 2 2" xfId="3646" xr:uid="{6BBCE803-08A6-4ED1-B0E0-614EE2F23FC9}"/>
    <cellStyle name="Comma 11 3" xfId="3763" xr:uid="{A0D86676-31AF-45BF-B33B-7AF244941385}"/>
    <cellStyle name="Comma 11 4" xfId="3104" xr:uid="{6EB6E23B-2375-448D-B277-4F1A6EF27344}"/>
    <cellStyle name="Comma 11 5" xfId="4201" xr:uid="{B00177EA-15F4-4B02-AABC-92310F95B4FB}"/>
    <cellStyle name="Comma 12" xfId="554" xr:uid="{8B5398EA-F353-4A35-AD47-C6424B9C02C6}"/>
    <cellStyle name="Comma 12 2" xfId="999" xr:uid="{DF5DF69F-C8CE-4C63-9C6B-5AD367216949}"/>
    <cellStyle name="Comma 12 2 2" xfId="3296" xr:uid="{54D1A3E1-65CF-479D-82D0-6D9ECCBA9B79}"/>
    <cellStyle name="Comma 12 3" xfId="3764" xr:uid="{5F95B9B9-2583-4482-96A5-218C678897B7}"/>
    <cellStyle name="Comma 12 4" xfId="3591" xr:uid="{F7E8A517-3EF7-4052-8FBF-BB5E4961D351}"/>
    <cellStyle name="Comma 12 5" xfId="4202" xr:uid="{E3758B94-8C8D-400D-A4E8-1AAD4799D3EC}"/>
    <cellStyle name="Comma 13" xfId="555" xr:uid="{D22BA3F0-AB67-4B57-876B-C6F851B0D6CD}"/>
    <cellStyle name="Comma 13 2" xfId="979" xr:uid="{60093F89-C3E8-459D-83E2-8A1962DB95AC}"/>
    <cellStyle name="Comma 13 3" xfId="4203" xr:uid="{C1D37FBE-E48A-4EAA-B819-4AF3A8F3134D}"/>
    <cellStyle name="Comma 14" xfId="556" xr:uid="{FAAF3FEA-8EA9-42A4-9643-4C2D43D8EAB1}"/>
    <cellStyle name="Comma 14 2" xfId="1008" xr:uid="{EB1ECBC7-E4DB-4A61-84F4-9AB5185317DD}"/>
    <cellStyle name="Comma 14 3" xfId="3354" xr:uid="{E40405CA-17AA-4862-B739-A6BE69B3BDC3}"/>
    <cellStyle name="Comma 14 4" xfId="4204" xr:uid="{8F755531-DC6D-4BD5-9A48-BF48FC08ACA8}"/>
    <cellStyle name="Comma 14 5" xfId="1592" xr:uid="{73481087-084D-435C-A7F2-69280C016104}"/>
    <cellStyle name="Comma 15" xfId="557" xr:uid="{790A96FB-7A90-4BDB-B2D2-2927174ED7E0}"/>
    <cellStyle name="Comma 15 2" xfId="1009" xr:uid="{0C7755C3-49D5-4E1E-ABC2-748DF2908294}"/>
    <cellStyle name="Comma 15 3" xfId="3760" xr:uid="{6C1CFBB2-2F6A-4F6A-8978-047AC974F37A}"/>
    <cellStyle name="Comma 15 4" xfId="4205" xr:uid="{238EB40D-AFE2-49D3-84F6-800056500FF7}"/>
    <cellStyle name="Comma 16" xfId="1007" xr:uid="{43305243-1B17-43A4-869C-E7516C1B8187}"/>
    <cellStyle name="Comma 16 2" xfId="2484" xr:uid="{4718D553-E737-4953-8142-83D804088B87}"/>
    <cellStyle name="Comma 16 3" xfId="4206" xr:uid="{A4C751C7-AF28-4D35-B43F-8CBD4A3F84F5}"/>
    <cellStyle name="Comma 16 4" xfId="1907" xr:uid="{0CFFBECD-0962-46F9-BFFE-4ABD6C695099}"/>
    <cellStyle name="Comma 17" xfId="1016" xr:uid="{64FE0E42-0BC5-400F-B7BE-3C8B067048CE}"/>
    <cellStyle name="Comma 17 2" xfId="2485" xr:uid="{67EF3691-43E0-4431-8E69-82C85CF5F77D}"/>
    <cellStyle name="Comma 17 3" xfId="4207" xr:uid="{D4F20C4A-D9AF-4E50-A4CA-D15D2F7D25BD}"/>
    <cellStyle name="Comma 17 4" xfId="1908" xr:uid="{71224EF7-1F79-4D40-8322-B45616757380}"/>
    <cellStyle name="Comma 18" xfId="978" xr:uid="{1A0C45E7-AC76-4E76-9D88-2037D7C346D5}"/>
    <cellStyle name="Comma 18 2" xfId="4208" xr:uid="{EAC7BB85-FEEE-4248-A792-A4F0DB7BC5D6}"/>
    <cellStyle name="Comma 18 3" xfId="2490" xr:uid="{8F45DBD9-1CA1-43B7-A0C8-C1C590D24FDD}"/>
    <cellStyle name="Comma 19" xfId="4209" xr:uid="{C2E044DE-DEFD-490E-93AE-26451585ACC1}"/>
    <cellStyle name="Comma 2" xfId="558" xr:uid="{12FE6A8C-F106-4159-8F19-8634A10A3344}"/>
    <cellStyle name="Comma 2 2" xfId="559" xr:uid="{9D110EF8-CE48-4BD8-9F46-AB6B9A3CEFBB}"/>
    <cellStyle name="Comma 2 2 10" xfId="4210" xr:uid="{42DE7E74-8430-4CE0-93BC-93B96CDE4FA4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2 2 2" xfId="1595" xr:uid="{F2A11F96-3ABC-43A0-907B-AF8C00CD843C}"/>
    <cellStyle name="Comma 2 2 2 2 3" xfId="1594" xr:uid="{C6C64812-963E-4334-9E1C-32CB5B0CC68D}"/>
    <cellStyle name="Comma 2 2 2 3" xfId="563" xr:uid="{00DCB2DA-16FB-4D95-A47C-721E714337B3}"/>
    <cellStyle name="Comma 2 2 2 3 2" xfId="564" xr:uid="{5F98B3C2-4D94-4AB1-BC05-659A639BE5BE}"/>
    <cellStyle name="Comma 2 2 2 3 2 2" xfId="1597" xr:uid="{FFF0958C-8606-4FAE-AB6C-52C93579A9D9}"/>
    <cellStyle name="Comma 2 2 2 3 3" xfId="1596" xr:uid="{C317A4F0-CE90-41F2-990B-2170956A5BC2}"/>
    <cellStyle name="Comma 2 2 2 4" xfId="565" xr:uid="{49C8415D-CDA4-4B77-9ED0-3D1A1113B7CE}"/>
    <cellStyle name="Comma 2 2 2 5" xfId="566" xr:uid="{015C5C5D-6BF7-4701-B56A-39AA5D64A98F}"/>
    <cellStyle name="Comma 2 2 2 5 2" xfId="1598" xr:uid="{2A62596A-A3C4-4B86-96AE-E48179BB289B}"/>
    <cellStyle name="Comma 2 2 2 6" xfId="3570" xr:uid="{C3148737-7835-412D-BB0F-4164ECDB737B}"/>
    <cellStyle name="Comma 2 2 2 7" xfId="1593" xr:uid="{509BC79B-EAE2-46A2-B3BB-4519AAEA0A46}"/>
    <cellStyle name="Comma 2 2 3" xfId="2145" xr:uid="{7EFBBABA-2BD9-465E-8A82-FD5B9CA07EC7}"/>
    <cellStyle name="Comma 2 2 3 2" xfId="3319" xr:uid="{1771A4F6-7803-4C3E-B222-505D186A97B5}"/>
    <cellStyle name="Comma 2 2 3 2 2" xfId="3383" xr:uid="{D6B58F83-39C5-4784-B6F6-0CBB25D2CCBD}"/>
    <cellStyle name="Comma 2 2 3 2 2 2" xfId="3701" xr:uid="{B7360F45-9E95-4ED4-966A-758912BD55B4}"/>
    <cellStyle name="Comma 2 2 3 2 2 3" xfId="3768" xr:uid="{1E24A3AF-1F6A-4F30-99A6-4FAD5B80E3C5}"/>
    <cellStyle name="Comma 2 2 3 2 3" xfId="3635" xr:uid="{79AD7B72-3547-431F-8095-BA96C6CFD780}"/>
    <cellStyle name="Comma 2 2 3 2 4" xfId="3767" xr:uid="{C6990A94-6C7F-4B62-953F-A9245512D0F6}"/>
    <cellStyle name="Comma 2 2 3 3" xfId="3506" xr:uid="{7EEE2A00-834B-4248-8394-C7EE85D286B2}"/>
    <cellStyle name="Comma 2 2 3 3 2" xfId="3669" xr:uid="{071FD312-3B0A-40F4-9A73-7873BF497EB7}"/>
    <cellStyle name="Comma 2 2 3 3 3" xfId="3769" xr:uid="{5806526E-341A-440B-A118-1C68DBAE0522}"/>
    <cellStyle name="Comma 2 2 3 4" xfId="3443" xr:uid="{3F96EC45-4BED-4121-9EBA-352279A2F921}"/>
    <cellStyle name="Comma 2 2 3 4 2" xfId="3603" xr:uid="{198001D2-3C1B-4DD6-B83B-FD8FD5FA741D}"/>
    <cellStyle name="Comma 2 2 3 4 3" xfId="3770" xr:uid="{7268475E-A7C4-4B3E-A05C-2025D746A9D0}"/>
    <cellStyle name="Comma 2 2 3 5" xfId="3485" xr:uid="{EF293E8A-4C38-4C8A-B5FF-83B28D026D50}"/>
    <cellStyle name="Comma 2 2 4" xfId="3543" xr:uid="{255C34C0-2059-4D47-ADA9-13AF81837195}"/>
    <cellStyle name="Comma 2 2 4 2" xfId="3379" xr:uid="{5031830C-A4B6-4CC7-A079-35A3A8FC106A}"/>
    <cellStyle name="Comma 2 2 4 2 2" xfId="3685" xr:uid="{D225E16D-5360-435E-AFA3-2FDD02CB3755}"/>
    <cellStyle name="Comma 2 2 4 2 3" xfId="3772" xr:uid="{712A70E9-371D-4A23-8988-0213A340BF1C}"/>
    <cellStyle name="Comma 2 2 4 3" xfId="3619" xr:uid="{1D68C05A-A5FA-4797-B63C-340955736912}"/>
    <cellStyle name="Comma 2 2 4 4" xfId="3771" xr:uid="{A3E8104C-75E3-46E0-8F01-EAB5FD6256C2}"/>
    <cellStyle name="Comma 2 2 5" xfId="3451" xr:uid="{51F6D539-DF75-4018-A974-68A6FCEEDB5B}"/>
    <cellStyle name="Comma 2 2 5 2" xfId="3654" xr:uid="{7CFE826D-74E5-4801-8D59-BC7C7F8752D3}"/>
    <cellStyle name="Comma 2 2 5 3" xfId="3773" xr:uid="{721B0899-700B-4006-9DEF-30E1BA09A4B3}"/>
    <cellStyle name="Comma 2 2 6" xfId="3281" xr:uid="{BEF70B00-C73C-44E0-A93F-7998C00D3AF0}"/>
    <cellStyle name="Comma 2 2 7" xfId="3766" xr:uid="{E5795CAF-E7EF-4DDB-A8FA-AB817338BC98}"/>
    <cellStyle name="Comma 2 2 8" xfId="3279" xr:uid="{A2877B96-3721-4CF2-BC47-5C7831A0CACE}"/>
    <cellStyle name="Comma 2 2 9" xfId="3084" xr:uid="{E239A87C-DE0C-49EB-B17C-9819373C5521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3 2 4" xfId="3316" xr:uid="{85A6690E-9A2C-4529-BF31-2142C43DC51D}"/>
    <cellStyle name="Comma 2 3 3" xfId="3479" xr:uid="{15BABA1D-0E09-42B6-9276-30E1489DC79A}"/>
    <cellStyle name="Comma 2 3 4" xfId="3263" xr:uid="{C36638B2-FA1F-419D-8898-721D75581563}"/>
    <cellStyle name="Comma 2 3 5" xfId="3079" xr:uid="{D50D1572-A571-40A2-AE76-DDE4B51AFD78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2 2 2" xfId="1601" xr:uid="{A2969081-6267-48DD-86EA-4E1EA23B33C0}"/>
    <cellStyle name="Comma 2 4 2 3" xfId="3378" xr:uid="{8ADD1F5D-5167-42D7-A164-7E9EA91A7EE5}"/>
    <cellStyle name="Comma 2 4 2 4" xfId="1600" xr:uid="{0A26C357-005A-4AA1-ABD1-1EF6464A2F54}"/>
    <cellStyle name="Comma 2 4 3" xfId="575" xr:uid="{D98F50E7-2F34-4F17-B1EA-B721F8EA0B72}"/>
    <cellStyle name="Comma 2 4 3 2" xfId="576" xr:uid="{3796252C-1054-4AE4-8E58-9290DAF8842A}"/>
    <cellStyle name="Comma 2 4 3 2 2" xfId="1603" xr:uid="{854188D4-37D0-4442-9689-AFFC3D322F68}"/>
    <cellStyle name="Comma 2 4 3 3" xfId="1602" xr:uid="{E6CE1C9E-00D2-4846-82F7-80234B1D40FF}"/>
    <cellStyle name="Comma 2 4 4" xfId="577" xr:uid="{1CCF9010-917F-4467-AF40-31EC859BC004}"/>
    <cellStyle name="Comma 2 4 4 2" xfId="578" xr:uid="{1D6999D9-284E-48A1-8C07-46950C9EB86D}"/>
    <cellStyle name="Comma 2 4 4 2 2" xfId="1605" xr:uid="{BB9F204E-5610-4040-8651-727BEFA52A36}"/>
    <cellStyle name="Comma 2 4 4 3" xfId="1604" xr:uid="{BEB0B663-A89E-484F-8A09-668B1B11CD18}"/>
    <cellStyle name="Comma 2 4 5" xfId="579" xr:uid="{6C5F79FF-6622-4F1B-A976-B322D88252D9}"/>
    <cellStyle name="Comma 2 4 6" xfId="580" xr:uid="{878C6536-34C9-4999-9166-7341F3FAECA4}"/>
    <cellStyle name="Comma 2 4 6 2" xfId="1606" xr:uid="{EDEA0FC0-BABB-4177-894B-284EC7FEC674}"/>
    <cellStyle name="Comma 2 4 7" xfId="3241" xr:uid="{56F85F83-CA51-4145-8533-EDBF102B09FD}"/>
    <cellStyle name="Comma 2 4 8" xfId="1599" xr:uid="{E8D2B479-90E3-49D3-83E1-6F66FF45F521}"/>
    <cellStyle name="Comma 2 5" xfId="581" xr:uid="{CA6F51B9-C39B-4ECF-913E-3135D9255650}"/>
    <cellStyle name="Comma 2 5 2" xfId="3290" xr:uid="{7B76B278-7363-4D74-8D8A-2ABF278DB9AC}"/>
    <cellStyle name="Comma 2 6" xfId="992" xr:uid="{9ECD2BC2-B210-445F-8A8F-0112487EC051}"/>
    <cellStyle name="Comma 2 6 2" xfId="3647" xr:uid="{D8013A94-617B-44B5-9DD2-8B5E132E0684}"/>
    <cellStyle name="Comma 2 6 3" xfId="3774" xr:uid="{118393C1-3AC3-48B3-BD93-E1811015DE07}"/>
    <cellStyle name="Comma 2 6 4" xfId="3507" xr:uid="{13F7E57F-4AA0-4DB2-A824-AF36007E440B}"/>
    <cellStyle name="Comma 2 7" xfId="3433" xr:uid="{26088E05-6B4D-44F0-84D9-30AE46D6ACD5}"/>
    <cellStyle name="Comma 2 8" xfId="3765" xr:uid="{84F01654-AD42-4A32-AAB3-3EC3532EAA99}"/>
    <cellStyle name="Comma 20" xfId="4211" xr:uid="{C0C1D762-450B-4636-8C2D-5FA51D2724FA}"/>
    <cellStyle name="Comma 21" xfId="4212" xr:uid="{23CBF934-D78E-41A0-9B40-E3E7245AD144}"/>
    <cellStyle name="Comma 22" xfId="4213" xr:uid="{5E04F2C5-8100-4BCA-8F27-E8F9B69B6984}"/>
    <cellStyle name="Comma 23" xfId="4214" xr:uid="{AC31BB44-36FD-4D19-BC82-9132E50B9827}"/>
    <cellStyle name="Comma 24" xfId="4215" xr:uid="{C4486493-55F1-4E3C-8174-A8713CB40654}"/>
    <cellStyle name="Comma 25" xfId="4216" xr:uid="{0BAE927A-5DEB-45E6-BEAC-170C8075D49D}"/>
    <cellStyle name="Comma 26" xfId="4217" xr:uid="{60374E85-BD84-4F92-BA6B-8EF5775CD93B}"/>
    <cellStyle name="Comma 27" xfId="4218" xr:uid="{35BB894E-6857-42AA-8C67-7D14A8A4BCDF}"/>
    <cellStyle name="Comma 28" xfId="4219" xr:uid="{F3934351-83CE-4835-A239-4829C456064E}"/>
    <cellStyle name="Comma 29" xfId="4220" xr:uid="{48E82B73-FE43-44A4-81DC-DDC9517AA540}"/>
    <cellStyle name="Comma 3" xfId="582" xr:uid="{5C729F4B-5BA6-4B09-9B8A-C15C4775637D}"/>
    <cellStyle name="Comma 3 10" xfId="3775" xr:uid="{A027EF3C-2259-4291-8910-CCD133A36977}"/>
    <cellStyle name="Comma 3 11" xfId="3497" xr:uid="{C6201754-EBD3-4391-8588-AA5079DFAFAB}"/>
    <cellStyle name="Comma 3 12" xfId="4221" xr:uid="{CD3A54D8-2F15-49D5-A7B6-CECF9AF5399D}"/>
    <cellStyle name="Comma 3 2" xfId="583" xr:uid="{13B6BCED-E43C-40A2-849C-C720156220C2}"/>
    <cellStyle name="Comma 3 2 2" xfId="584" xr:uid="{1F603A25-CC4F-4BF5-8612-B8B0FE5636F5}"/>
    <cellStyle name="Comma 3 2 2 2" xfId="3312" xr:uid="{7B664496-5B19-4CC3-8FAD-F96A06461899}"/>
    <cellStyle name="Comma 3 2 3" xfId="585" xr:uid="{CB3A5476-1FD0-42CB-939E-5D4F78EBBD93}"/>
    <cellStyle name="Comma 3 2 3 2" xfId="3486" xr:uid="{BFF5D1B9-E15D-44E0-9397-BC9E754D55CE}"/>
    <cellStyle name="Comma 3 2 3 3" xfId="1608" xr:uid="{7BA80622-5CAB-4436-9E4D-713CB7DB69BF}"/>
    <cellStyle name="Comma 3 2 4" xfId="1950" xr:uid="{B9F0AB96-0320-4C4B-A59F-BD6566976A77}"/>
    <cellStyle name="Comma 3 2 5" xfId="4222" xr:uid="{9715639D-7649-4874-BDEF-3D71006736FB}"/>
    <cellStyle name="Comma 3 2 6" xfId="1607" xr:uid="{55BD9D45-6A4D-4CF2-82C7-33659E64AEC6}"/>
    <cellStyle name="Comma 3 3" xfId="586" xr:uid="{0CE4A1E9-F3F3-438E-A772-B196508CF7AF}"/>
    <cellStyle name="Comma 3 3 2" xfId="3532" xr:uid="{197F66B2-5E61-4AA0-B425-02B44BC71E6B}"/>
    <cellStyle name="Comma 3 4" xfId="587" xr:uid="{17A4AC75-242A-49AE-937B-5870927A98FA}"/>
    <cellStyle name="Comma 3 4 2" xfId="3409" xr:uid="{5039D61D-5CAE-4FE1-AE5C-2DC45059EA63}"/>
    <cellStyle name="Comma 3 4 3" xfId="1609" xr:uid="{726D201C-9C39-4CDC-A089-C7DE777D0E23}"/>
    <cellStyle name="Comma 3 5" xfId="588" xr:uid="{0E0092A1-4A68-4310-9CC0-DADFFA4AB7BB}"/>
    <cellStyle name="Comma 3 5 2" xfId="3349" xr:uid="{EB74EEA8-E943-4E00-B0CD-C4EDE89F3E28}"/>
    <cellStyle name="Comma 3 5 3" xfId="1610" xr:uid="{4E4D9DDE-0752-4523-80EA-4DD563AEE656}"/>
    <cellStyle name="Comma 3 6" xfId="989" xr:uid="{6F8D7C35-AD84-4C45-A65E-810A571F7935}"/>
    <cellStyle name="Comma 3 6 2" xfId="3305" xr:uid="{BB1964E5-64AE-43A2-91F3-0FB5D4B54A18}"/>
    <cellStyle name="Comma 3 6 3" xfId="1949" xr:uid="{120FC5A2-1023-4307-B910-6FE385BCF5D4}"/>
    <cellStyle name="Comma 3 7" xfId="3456" xr:uid="{C2C1BFAA-91DD-4C9A-868D-9770F4F8B1BB}"/>
    <cellStyle name="Comma 3 7 2" xfId="3406" xr:uid="{5260BA07-E420-453A-9847-D3A32FD8C077}"/>
    <cellStyle name="Comma 3 7 2 2" xfId="3418" xr:uid="{375AF2D7-FC69-4800-BECE-EF19DC65F23C}"/>
    <cellStyle name="Comma 3 7 2 2 2" xfId="3372" xr:uid="{D94A2851-A037-4157-A408-3BB9D91272AB}"/>
    <cellStyle name="Comma 3 7 2 2 2 2" xfId="3709" xr:uid="{C7EB6698-FBDF-4911-A2C6-CE56EDE7F051}"/>
    <cellStyle name="Comma 3 7 2 2 2 3" xfId="3779" xr:uid="{1B562BC7-9CE0-41EC-B493-2C745DCFE67C}"/>
    <cellStyle name="Comma 3 7 2 2 3" xfId="3643" xr:uid="{C56CB765-8E05-4EAF-A896-1815CBE261D1}"/>
    <cellStyle name="Comma 3 7 2 2 4" xfId="3778" xr:uid="{36E96D6A-CE54-47E6-AF59-672FE4C384F9}"/>
    <cellStyle name="Comma 3 7 2 3" xfId="3515" xr:uid="{A5A54AD1-5DBB-4BA5-B48F-28B9A2C5C984}"/>
    <cellStyle name="Comma 3 7 2 3 2" xfId="3677" xr:uid="{5BC1E2C5-758B-43F1-BDF0-7697C0E25D55}"/>
    <cellStyle name="Comma 3 7 2 3 3" xfId="3780" xr:uid="{5DB6E064-5F19-429A-89EF-AFEC92CAD11F}"/>
    <cellStyle name="Comma 3 7 2 4" xfId="3611" xr:uid="{4FBCE125-79E2-496A-A86E-30FB07B2E7EA}"/>
    <cellStyle name="Comma 3 7 2 5" xfId="3777" xr:uid="{ECDDDFBA-1472-4B64-B966-57FEEB652733}"/>
    <cellStyle name="Comma 3 7 3" xfId="3394" xr:uid="{74DDBE1B-51C3-4ECD-B7C4-E3AB8FA15C10}"/>
    <cellStyle name="Comma 3 7 3 2" xfId="3367" xr:uid="{50A8232A-C7C1-4214-ADBB-48A03CD9ACFC}"/>
    <cellStyle name="Comma 3 7 3 2 2" xfId="3693" xr:uid="{3D4213B8-6DE8-4750-B58A-456B6E7FCD5F}"/>
    <cellStyle name="Comma 3 7 3 2 3" xfId="3782" xr:uid="{48710C76-5B6C-4DF9-8669-E74AC8CCE583}"/>
    <cellStyle name="Comma 3 7 3 3" xfId="3627" xr:uid="{A4BC8952-FB0E-4D12-8DD2-226B37606D5D}"/>
    <cellStyle name="Comma 3 7 3 4" xfId="3781" xr:uid="{C40CEDE9-04C2-41F3-9271-99733064CFA0}"/>
    <cellStyle name="Comma 3 7 4" xfId="3474" xr:uid="{FEEBEBE9-59BA-4772-99B4-0A80C7C7D31E}"/>
    <cellStyle name="Comma 3 7 4 2" xfId="3661" xr:uid="{CE60B8B6-4467-45F8-9241-5189AAB53B8E}"/>
    <cellStyle name="Comma 3 7 4 3" xfId="3783" xr:uid="{2FEAD2C9-7DED-48CE-9C72-B4939BE2F86D}"/>
    <cellStyle name="Comma 3 7 5" xfId="3462" xr:uid="{43A80D5B-E0F1-4D02-ABAE-27042C6392F3}"/>
    <cellStyle name="Comma 3 7 6" xfId="3776" xr:uid="{586EF8A5-D456-4666-A4C8-B6AED5D76FFD}"/>
    <cellStyle name="Comma 3 8" xfId="3415" xr:uid="{DA2A00EE-389C-4FEC-A114-EE31D4606565}"/>
    <cellStyle name="Comma 3 8 2" xfId="3648" xr:uid="{5CED5CD9-97CC-46D5-B41A-7DE0739B4030}"/>
    <cellStyle name="Comma 3 8 3" xfId="3784" xr:uid="{F1081247-DEF5-4D14-AD45-BE11C5B832B8}"/>
    <cellStyle name="Comma 3 9" xfId="3495" xr:uid="{CCE71867-7436-4C65-BE70-E7CC7BE5FF1B}"/>
    <cellStyle name="Comma 30" xfId="4223" xr:uid="{375D422D-F370-4F46-88A4-A781EC524E81}"/>
    <cellStyle name="Comma 31" xfId="4224" xr:uid="{117F514F-944D-42D6-8E2C-29C5D9410865}"/>
    <cellStyle name="Comma 32" xfId="4225" xr:uid="{D45D6F46-4A89-4075-8E78-27243DE264AA}"/>
    <cellStyle name="Comma 33" xfId="4226" xr:uid="{A158DB4C-1923-429A-85DD-612B769D1048}"/>
    <cellStyle name="Comma 34" xfId="4227" xr:uid="{54A1DA6D-91BA-402D-9EC4-06EA5C38DB78}"/>
    <cellStyle name="Comma 4" xfId="589" xr:uid="{18A1E632-FD6F-4F79-A11E-DAD1F94FBEDB}"/>
    <cellStyle name="Comma 4 10" xfId="2478" xr:uid="{A6F2827E-7633-48E6-92A0-CD5A0FAC4D34}"/>
    <cellStyle name="Comma 4 11" xfId="2516" xr:uid="{4C72E979-BE1C-4AEF-A767-CD06E6033BFC}"/>
    <cellStyle name="Comma 4 12" xfId="4228" xr:uid="{1D21EC9F-E92B-4A1D-9FA6-E581D0140E4E}"/>
    <cellStyle name="Comma 4 2" xfId="590" xr:uid="{5FCEBAEA-9615-4A2A-B9BE-01349AA75637}"/>
    <cellStyle name="Comma 4 2 2" xfId="591" xr:uid="{325B664E-75B0-4F9F-A1FB-B25508F2F9CF}"/>
    <cellStyle name="Comma 4 2 2 2" xfId="2227" xr:uid="{EE87E481-BE79-4D28-B8F1-01FAC0AF26E0}"/>
    <cellStyle name="Comma 4 2 2 2 2" xfId="2446" xr:uid="{82785834-4614-4A42-BDA0-59E2839E08FF}"/>
    <cellStyle name="Comma 4 2 2 2 2 2" xfId="2951" xr:uid="{2638FDF6-E6F3-46E5-8AA1-8FF10FE8FFF2}"/>
    <cellStyle name="Comma 4 2 2 2 2 3" xfId="4232" xr:uid="{488B7F0B-F5DB-4DF0-88C0-527D957F374D}"/>
    <cellStyle name="Comma 4 2 2 2 3" xfId="2732" xr:uid="{A8F441BD-D953-4545-8649-03896FDF62AD}"/>
    <cellStyle name="Comma 4 2 2 2 4" xfId="4231" xr:uid="{AEE01DF2-1F6D-4DD6-B054-70FC12ED5584}"/>
    <cellStyle name="Comma 4 2 2 3" xfId="2336" xr:uid="{818D9B1D-97BD-42C6-8C1C-3659E36E6CD5}"/>
    <cellStyle name="Comma 4 2 2 3 2" xfId="2841" xr:uid="{F1804B58-AC65-4858-BD79-820582F21EEC}"/>
    <cellStyle name="Comma 4 2 2 3 3" xfId="4233" xr:uid="{688F0E66-997D-4042-9D66-238D764CA63D}"/>
    <cellStyle name="Comma 4 2 2 4" xfId="2110" xr:uid="{5E4CA02B-52B1-4877-AE01-5C348E84F97D}"/>
    <cellStyle name="Comma 4 2 2 4 2" xfId="3596" xr:uid="{5C04CCD2-5727-4BD4-95C1-660E16FF32D7}"/>
    <cellStyle name="Comma 4 2 2 5" xfId="2622" xr:uid="{DBF01C5F-1399-428F-8D05-90869904DFA2}"/>
    <cellStyle name="Comma 4 2 2 6" xfId="4230" xr:uid="{61AB061C-0E74-4064-B517-08548EE2391A}"/>
    <cellStyle name="Comma 4 2 3" xfId="592" xr:uid="{47346DDC-E069-4357-9486-45F84387D6EB}"/>
    <cellStyle name="Comma 4 2 3 2" xfId="2402" xr:uid="{29B4BB5D-99EA-45E6-B72A-989E1E6DDD03}"/>
    <cellStyle name="Comma 4 2 3 2 2" xfId="2907" xr:uid="{0F7AEF96-A8B4-49D0-82B3-D07B4C040569}"/>
    <cellStyle name="Comma 4 2 3 2 3" xfId="4235" xr:uid="{EAA8E458-A336-49F7-BC3B-92C809DF4B05}"/>
    <cellStyle name="Comma 4 2 3 3" xfId="2183" xr:uid="{67B9AFDC-D9AD-49B7-A92C-84AAD00904FF}"/>
    <cellStyle name="Comma 4 2 3 4" xfId="2688" xr:uid="{CDC45F9E-6EB0-4D0F-8437-9B830A448FB7}"/>
    <cellStyle name="Comma 4 2 3 5" xfId="4234" xr:uid="{10EDEA04-49F0-4CB7-A1E5-2A975C873403}"/>
    <cellStyle name="Comma 4 2 3 6" xfId="1612" xr:uid="{E176E71C-8E9C-4EE0-83EC-5F51D1D5FBF5}"/>
    <cellStyle name="Comma 4 2 4" xfId="2292" xr:uid="{D2D1016C-B6C8-4366-AAD7-101D9E75AE46}"/>
    <cellStyle name="Comma 4 2 4 2" xfId="2797" xr:uid="{9C4C9CBF-8569-488B-B142-B3EA2003FD7E}"/>
    <cellStyle name="Comma 4 2 4 3" xfId="4236" xr:uid="{94AB5A76-351D-43F3-B4E4-558ABB91FCD0}"/>
    <cellStyle name="Comma 4 2 5" xfId="2061" xr:uid="{1563F095-9993-46EA-9DB1-663907D0D9B6}"/>
    <cellStyle name="Comma 4 2 5 2" xfId="2578" xr:uid="{6E9ED774-C64A-457C-B86E-9B2A6DAEC0C2}"/>
    <cellStyle name="Comma 4 2 5 3" xfId="4237" xr:uid="{A24E1AC6-DEAC-41C7-8233-C02425539A3F}"/>
    <cellStyle name="Comma 4 2 6" xfId="2013" xr:uid="{E5EDD8B6-9ADE-40DA-9F7D-03C63F9B6E43}"/>
    <cellStyle name="Comma 4 2 6 2" xfId="3534" xr:uid="{0906673E-7034-4FB7-B434-E9E23B33B320}"/>
    <cellStyle name="Comma 4 2 7" xfId="2537" xr:uid="{C2A58641-CA15-4715-88C0-28FB023028E9}"/>
    <cellStyle name="Comma 4 2 8" xfId="4229" xr:uid="{BCBE7BB7-52B5-419B-8336-7D71C125D2F3}"/>
    <cellStyle name="Comma 4 2 9" xfId="1611" xr:uid="{E2A2267F-A80F-4EB3-A081-CB306DF1110A}"/>
    <cellStyle name="Comma 4 3" xfId="983" xr:uid="{7ED13153-EE46-462D-927B-B0AC154F8574}"/>
    <cellStyle name="Comma 4 3 2" xfId="2246" xr:uid="{F0688EA9-6A47-413C-A670-693230620F39}"/>
    <cellStyle name="Comma 4 3 2 2" xfId="2465" xr:uid="{04346C5F-5E7A-489C-B7BC-F906C30725B5}"/>
    <cellStyle name="Comma 4 3 2 2 2" xfId="2970" xr:uid="{3A7CC768-C6DF-425D-A1B0-211C3728955E}"/>
    <cellStyle name="Comma 4 3 2 2 3" xfId="4240" xr:uid="{1894E39C-19DC-403D-924B-ADBEDCBD61EE}"/>
    <cellStyle name="Comma 4 3 2 3" xfId="2751" xr:uid="{4015C30F-4DB4-4D95-9D75-6D6AACC49B8A}"/>
    <cellStyle name="Comma 4 3 2 4" xfId="4239" xr:uid="{571499AF-1F99-4088-9EAE-4ED95E8671D8}"/>
    <cellStyle name="Comma 4 3 3" xfId="2355" xr:uid="{12F1ADE9-8E0C-42DB-BD75-4D2860629F1A}"/>
    <cellStyle name="Comma 4 3 3 2" xfId="2860" xr:uid="{C742DA21-1CB8-4C58-87BE-D80C75AB3AC5}"/>
    <cellStyle name="Comma 4 3 3 3" xfId="4241" xr:uid="{811F22F8-9115-4928-8826-4BDF9D2B8DC2}"/>
    <cellStyle name="Comma 4 3 4" xfId="3402" xr:uid="{4A6B251D-AC98-448C-B3DF-04C4CEFE05F9}"/>
    <cellStyle name="Comma 4 3 5" xfId="2641" xr:uid="{787673D2-DB05-4DBC-957B-8BC1A995D6BE}"/>
    <cellStyle name="Comma 4 3 6" xfId="4238" xr:uid="{2A27EBE6-0B01-4E12-A6CB-295DA5BC4D90}"/>
    <cellStyle name="Comma 4 3 7" xfId="2131" xr:uid="{14C2578D-2E12-4BBE-9A18-E5C5CA1CD53E}"/>
    <cellStyle name="Comma 4 4" xfId="2088" xr:uid="{1E8C632F-ABAC-41DA-B4F7-941138994FD8}"/>
    <cellStyle name="Comma 4 4 2" xfId="2208" xr:uid="{F5B65401-8945-4E89-A96C-F988BF1FD6D3}"/>
    <cellStyle name="Comma 4 4 2 2" xfId="2427" xr:uid="{400A2E69-AC9A-4B45-A157-31756AFF70CF}"/>
    <cellStyle name="Comma 4 4 2 2 2" xfId="2932" xr:uid="{E6CE8462-350E-4969-8507-59E77CDE92A7}"/>
    <cellStyle name="Comma 4 4 2 2 3" xfId="4244" xr:uid="{026C0BCE-8026-4AD4-944F-A7353955C5B3}"/>
    <cellStyle name="Comma 4 4 2 3" xfId="2713" xr:uid="{610B34EA-0972-43D7-95BE-A66FD6461888}"/>
    <cellStyle name="Comma 4 4 2 4" xfId="4243" xr:uid="{76BCB3E4-899A-41D9-8F8D-C47F95B392A8}"/>
    <cellStyle name="Comma 4 4 3" xfId="2317" xr:uid="{E01630D5-2BEC-47D1-BF68-81CED6CDA069}"/>
    <cellStyle name="Comma 4 4 3 2" xfId="2822" xr:uid="{3949BBFF-0BEE-4203-8C87-E5D065E4DFCD}"/>
    <cellStyle name="Comma 4 4 3 3" xfId="4245" xr:uid="{6E9CFCB2-347B-490E-879E-B6D4B9D56F3B}"/>
    <cellStyle name="Comma 4 4 4" xfId="3288" xr:uid="{8EC5349A-E28D-48AE-9A30-4E26CE591B80}"/>
    <cellStyle name="Comma 4 4 5" xfId="2603" xr:uid="{036F6C0B-A7F6-46A8-9C50-746DEC1FCC9A}"/>
    <cellStyle name="Comma 4 4 6" xfId="4242" xr:uid="{3688AAB4-6DEA-4A7A-B260-F14C9CFFF68D}"/>
    <cellStyle name="Comma 4 5" xfId="2069" xr:uid="{463AF8FE-98B1-4B55-87BF-0C74421FE216}"/>
    <cellStyle name="Comma 4 5 2" xfId="2191" xr:uid="{829050BB-D6C2-49BC-B0C3-FD1E6160B685}"/>
    <cellStyle name="Comma 4 5 2 2" xfId="2410" xr:uid="{92673B35-3F95-47A6-B7FC-F47EFF3FC269}"/>
    <cellStyle name="Comma 4 5 2 2 2" xfId="2915" xr:uid="{380D8AD2-A619-49FF-B2BA-29A4BA334C7E}"/>
    <cellStyle name="Comma 4 5 2 2 3" xfId="4248" xr:uid="{FE4B83F2-FF8E-4E26-82AE-65174DCB51FB}"/>
    <cellStyle name="Comma 4 5 2 3" xfId="2696" xr:uid="{5814E181-F450-4E36-B379-0EF078E318AA}"/>
    <cellStyle name="Comma 4 5 2 4" xfId="4247" xr:uid="{2D9812F6-A9F2-4A9C-8349-DC07D4ED4F68}"/>
    <cellStyle name="Comma 4 5 3" xfId="2300" xr:uid="{CCA870A3-2B87-42D1-932E-8E57CE4F2C87}"/>
    <cellStyle name="Comma 4 5 3 2" xfId="2805" xr:uid="{A2524C50-5E95-429C-9A69-66F59DE2A5F8}"/>
    <cellStyle name="Comma 4 5 3 3" xfId="4249" xr:uid="{466DA499-A6B3-453F-851A-EB5486457344}"/>
    <cellStyle name="Comma 4 5 4" xfId="3550" xr:uid="{5044E5F4-FB7F-4A30-91FC-30B1FAD221D1}"/>
    <cellStyle name="Comma 4 5 5" xfId="2586" xr:uid="{E8B1FC06-CB3E-40E9-A6F4-6E11EEFAF78B}"/>
    <cellStyle name="Comma 4 5 6" xfId="4246" xr:uid="{4D75CD1F-6417-42C7-A156-8EA47D67BDAA}"/>
    <cellStyle name="Comma 4 6" xfId="2162" xr:uid="{F6CB938D-8EB5-4050-889D-BD6384F7CAF8}"/>
    <cellStyle name="Comma 4 6 2" xfId="2381" xr:uid="{DA8DCAEC-69A6-4D2A-BD53-AB1982731104}"/>
    <cellStyle name="Comma 4 6 2 2" xfId="2886" xr:uid="{78F73C04-DEFD-4237-8791-410C5C3B0E34}"/>
    <cellStyle name="Comma 4 6 2 3" xfId="4251" xr:uid="{9EAE9815-EEA0-41AC-9E61-301466CB13E3}"/>
    <cellStyle name="Comma 4 6 3" xfId="3444" xr:uid="{72EBD879-EF73-4FD9-8F7E-036F2A8D90C8}"/>
    <cellStyle name="Comma 4 6 4" xfId="2667" xr:uid="{3DB4615E-D779-4C1F-941A-815483424F47}"/>
    <cellStyle name="Comma 4 6 5" xfId="4250" xr:uid="{C3F570B5-92D6-4C9D-BA3F-2F2094B397FF}"/>
    <cellStyle name="Comma 4 7" xfId="2271" xr:uid="{14107B1C-F397-4883-AD58-BADE1487D552}"/>
    <cellStyle name="Comma 4 7 2" xfId="3124" xr:uid="{001CA0B7-A3C0-4C3F-86B9-BA9C83A1716D}"/>
    <cellStyle name="Comma 4 7 3" xfId="3533" xr:uid="{B231CF87-1FDD-4CAE-86A9-A347284CCB2F}"/>
    <cellStyle name="Comma 4 7 4" xfId="2776" xr:uid="{23B680A9-CD6D-485B-8190-9425E546910E}"/>
    <cellStyle name="Comma 4 7 5" xfId="4252" xr:uid="{ADA22B66-454B-4522-B413-76CB082EC2F5}"/>
    <cellStyle name="Comma 4 8" xfId="2040" xr:uid="{3AC1678A-E41D-43A4-88EE-189D3CF3FBAF}"/>
    <cellStyle name="Comma 4 8 2" xfId="3429" xr:uid="{5EB475CD-FA28-4796-B328-A9EA6C08F833}"/>
    <cellStyle name="Comma 4 8 3" xfId="2557" xr:uid="{58666ED4-C7E3-4306-ADF5-0C93D61AE30D}"/>
    <cellStyle name="Comma 4 8 4" xfId="4253" xr:uid="{8B45B5A3-16BA-4B10-970C-623D87732094}"/>
    <cellStyle name="Comma 4 9" xfId="1951" xr:uid="{A832D029-9874-4AC2-BF21-EB0EDCC8E05B}"/>
    <cellStyle name="Comma 4 9 2" xfId="3063" xr:uid="{73DAF1B1-24F4-4596-86F8-A40F78D7F843}"/>
    <cellStyle name="Comma 5" xfId="593" xr:uid="{4D687039-EBD0-4792-8413-2CFEC5DA1601}"/>
    <cellStyle name="Comma 5 10" xfId="2521" xr:uid="{16C7A530-0DAE-4984-8B39-344094FC1978}"/>
    <cellStyle name="Comma 5 11" xfId="4254" xr:uid="{B7707F81-1E9E-4E94-B2AA-944B6A75E1BD}"/>
    <cellStyle name="Comma 5 2" xfId="594" xr:uid="{03CEFF58-B64A-4D23-A7C7-C2014CED407F}"/>
    <cellStyle name="Comma 5 2 2" xfId="2115" xr:uid="{927B5FB0-6913-4963-89F1-58137E198967}"/>
    <cellStyle name="Comma 5 2 2 2" xfId="2232" xr:uid="{EC243374-7117-4B77-B94A-41B2570901DF}"/>
    <cellStyle name="Comma 5 2 2 2 2" xfId="2451" xr:uid="{EDB2C9DF-8AD8-4DC2-BFB2-8CBBD4A09F60}"/>
    <cellStyle name="Comma 5 2 2 2 2 2" xfId="2956" xr:uid="{9CE9DAA8-588F-42C0-A10F-5A7D1D0D810A}"/>
    <cellStyle name="Comma 5 2 2 2 2 3" xfId="4258" xr:uid="{DDE8024A-ABAA-4885-8E3D-6F9F906D8AC1}"/>
    <cellStyle name="Comma 5 2 2 2 3" xfId="2737" xr:uid="{0946AAB1-999D-4592-8D01-ED4795DABECA}"/>
    <cellStyle name="Comma 5 2 2 2 4" xfId="4257" xr:uid="{ECAD50F7-0C1D-46D1-9F89-3C389C80C975}"/>
    <cellStyle name="Comma 5 2 2 3" xfId="2341" xr:uid="{6ED752A6-E47E-43EC-87D8-ADD9AB440A99}"/>
    <cellStyle name="Comma 5 2 2 3 2" xfId="2846" xr:uid="{08CB0D2B-B4A7-40CD-BB48-571ABEC3BC7C}"/>
    <cellStyle name="Comma 5 2 2 3 3" xfId="4259" xr:uid="{13F8DDD0-598A-4034-985D-3C04C349E132}"/>
    <cellStyle name="Comma 5 2 2 4" xfId="2627" xr:uid="{3219972E-EC2B-4ADA-8AEA-A2FFE80EF6FB}"/>
    <cellStyle name="Comma 5 2 2 5" xfId="4256" xr:uid="{F9E41CAD-EDAD-410E-AD9C-0DE2FE3CF7DE}"/>
    <cellStyle name="Comma 5 2 3" xfId="2188" xr:uid="{FB24938B-49A8-4282-AA35-E7D2260ED3E0}"/>
    <cellStyle name="Comma 5 2 3 2" xfId="2407" xr:uid="{74652FBD-05F4-43CB-8198-C4466D6DF1FD}"/>
    <cellStyle name="Comma 5 2 3 2 2" xfId="2912" xr:uid="{D978EEE5-7FAC-4988-8291-E53C09712184}"/>
    <cellStyle name="Comma 5 2 3 2 3" xfId="4261" xr:uid="{E5BC741C-4E71-406F-A8DD-508482703259}"/>
    <cellStyle name="Comma 5 2 3 3" xfId="3282" xr:uid="{28DF9470-6E94-4567-953A-5C21621A5365}"/>
    <cellStyle name="Comma 5 2 3 4" xfId="2693" xr:uid="{2ED76B11-31CF-4FB6-B94F-4F350C1CEFCD}"/>
    <cellStyle name="Comma 5 2 3 5" xfId="4260" xr:uid="{5570925B-A411-48DF-A312-E155B6AE650F}"/>
    <cellStyle name="Comma 5 2 4" xfId="2297" xr:uid="{937AF94D-32F8-43AC-B2A0-95543AC3B18D}"/>
    <cellStyle name="Comma 5 2 4 2" xfId="2802" xr:uid="{8C77E3FC-4220-49E3-A749-7010B352E054}"/>
    <cellStyle name="Comma 5 2 4 3" xfId="4262" xr:uid="{7F17EBC0-B35F-49C6-B01E-BB49F8DF6B38}"/>
    <cellStyle name="Comma 5 2 5" xfId="2066" xr:uid="{80AA4906-59AB-4105-82BC-B8430DAED420}"/>
    <cellStyle name="Comma 5 2 5 2" xfId="2583" xr:uid="{EFD98121-F6F8-4887-ADFD-01BB56B13FAE}"/>
    <cellStyle name="Comma 5 2 5 3" xfId="4263" xr:uid="{59030786-3152-4951-A901-192F32B972C9}"/>
    <cellStyle name="Comma 5 2 6" xfId="2018" xr:uid="{8CADEE53-0494-4113-BEF8-761B19216391}"/>
    <cellStyle name="Comma 5 2 7" xfId="2542" xr:uid="{A0837262-A02E-4A8C-9DB2-A32A30B5B1BF}"/>
    <cellStyle name="Comma 5 2 8" xfId="4255" xr:uid="{EA98386F-77A8-4D70-9439-2D2314DB508C}"/>
    <cellStyle name="Comma 5 3" xfId="595" xr:uid="{5651BC04-5C34-4209-8DCE-28B493B6C2AA}"/>
    <cellStyle name="Comma 5 3 2" xfId="2251" xr:uid="{ED1FB2FA-C044-4B52-A9F5-2B227B473988}"/>
    <cellStyle name="Comma 5 3 2 2" xfId="2470" xr:uid="{288ECFF5-A04E-49B0-AF29-DAECC50F2BBD}"/>
    <cellStyle name="Comma 5 3 2 2 2" xfId="2975" xr:uid="{A459D35A-1806-4AE6-AAB1-C3BCB282F488}"/>
    <cellStyle name="Comma 5 3 2 2 3" xfId="4266" xr:uid="{EB66859B-BEF8-42E7-B93E-0D312C2A12EE}"/>
    <cellStyle name="Comma 5 3 2 3" xfId="2756" xr:uid="{3BF42748-E709-411C-952D-C4A99ED0D322}"/>
    <cellStyle name="Comma 5 3 2 4" xfId="4265" xr:uid="{E11A8EA9-0F0D-4D3B-AA61-057E367D5A17}"/>
    <cellStyle name="Comma 5 3 3" xfId="2360" xr:uid="{D296A361-758A-46E4-950A-784E4443B7F3}"/>
    <cellStyle name="Comma 5 3 3 2" xfId="2865" xr:uid="{E72BCC06-8D9C-4384-85AD-334290672AF6}"/>
    <cellStyle name="Comma 5 3 3 3" xfId="4267" xr:uid="{59327C2F-1CF1-4EC3-AC85-2739D1B118D1}"/>
    <cellStyle name="Comma 5 3 4" xfId="2136" xr:uid="{7D61013E-5DBE-4201-A8A8-0D89510C2207}"/>
    <cellStyle name="Comma 5 3 5" xfId="2646" xr:uid="{0EA9B8D2-3BB2-4F46-9369-25EF044F806F}"/>
    <cellStyle name="Comma 5 3 6" xfId="4264" xr:uid="{9C898BA0-3768-4DDA-B5F1-9E587B058837}"/>
    <cellStyle name="Comma 5 4" xfId="596" xr:uid="{95A3EF46-19D0-454D-84A5-3DB5030A7FD2}"/>
    <cellStyle name="Comma 5 4 2" xfId="597" xr:uid="{1A3D639A-19D4-4379-856B-3927A12F6363}"/>
    <cellStyle name="Comma 5 4 2 2" xfId="2432" xr:uid="{91912A56-72D9-41D9-82D5-A26BBD249829}"/>
    <cellStyle name="Comma 5 4 2 2 2" xfId="2937" xr:uid="{5B0958DC-A261-4782-9F86-C668A6365F28}"/>
    <cellStyle name="Comma 5 4 2 2 3" xfId="4270" xr:uid="{3708D5DD-012D-499A-A8DC-E05F8E09FB22}"/>
    <cellStyle name="Comma 5 4 2 3" xfId="2213" xr:uid="{396BD000-968F-4AEE-AC49-6E94652C88F0}"/>
    <cellStyle name="Comma 5 4 2 4" xfId="2718" xr:uid="{3A2822E1-9899-495C-BBE7-129312A00466}"/>
    <cellStyle name="Comma 5 4 2 5" xfId="4269" xr:uid="{FE0CBE8B-A504-4E2F-B44A-5A57408746D5}"/>
    <cellStyle name="Comma 5 4 2 6" xfId="1614" xr:uid="{C2EDD59A-38C0-4419-95B1-C56AB22F6D7E}"/>
    <cellStyle name="Comma 5 4 3" xfId="2322" xr:uid="{6EC62AA0-B70F-4DC5-A1B6-5777EEC0F464}"/>
    <cellStyle name="Comma 5 4 3 2" xfId="2827" xr:uid="{DCE20159-0320-40E4-A13C-1FD14EDC034B}"/>
    <cellStyle name="Comma 5 4 3 3" xfId="4271" xr:uid="{BC3A826C-BC64-4F46-A22F-FDF55B5BC78C}"/>
    <cellStyle name="Comma 5 4 4" xfId="2096" xr:uid="{56528ECB-E3F9-482E-93EF-0D7B7536716F}"/>
    <cellStyle name="Comma 5 4 5" xfId="2608" xr:uid="{C8F8ACD6-3AB0-4D2C-BA0C-9215C6C4A3C0}"/>
    <cellStyle name="Comma 5 4 6" xfId="4268" xr:uid="{3C8FC2F0-A216-405D-A787-9B4DA5625E32}"/>
    <cellStyle name="Comma 5 4 7" xfId="1613" xr:uid="{F4AC79A3-353D-41B7-A086-BE135DD945D2}"/>
    <cellStyle name="Comma 5 5" xfId="994" xr:uid="{7594C42A-D542-4C1E-A484-4C84B35A59CB}"/>
    <cellStyle name="Comma 5 5 2" xfId="2386" xr:uid="{8B0F12DF-A46D-41B6-82CF-A5D01DF938C3}"/>
    <cellStyle name="Comma 5 5 2 2" xfId="2891" xr:uid="{A09C6445-5E21-41F6-BAFC-A7F776567A9F}"/>
    <cellStyle name="Comma 5 5 2 3" xfId="4273" xr:uid="{47CFC599-589B-4699-B344-2441FF16C401}"/>
    <cellStyle name="Comma 5 5 3" xfId="3483" xr:uid="{7B80C672-CB5D-44CA-8EDB-4245BCA1AF8E}"/>
    <cellStyle name="Comma 5 5 4" xfId="2672" xr:uid="{EE81A850-58DE-4ABF-8C59-64B7F5AEB059}"/>
    <cellStyle name="Comma 5 5 5" xfId="4272" xr:uid="{6B19F7A0-DF48-4476-8BC5-7845F61659E0}"/>
    <cellStyle name="Comma 5 5 6" xfId="2167" xr:uid="{77D22EE4-439E-4407-9313-C8CDEDFBE026}"/>
    <cellStyle name="Comma 5 6" xfId="2276" xr:uid="{D5B99110-2526-4CCF-BFD4-E454930D5266}"/>
    <cellStyle name="Comma 5 6 2" xfId="2781" xr:uid="{C62B8CA4-876C-426B-A73F-BF8266B37DA5}"/>
    <cellStyle name="Comma 5 6 3" xfId="4274" xr:uid="{92F3AE12-81C1-4013-B861-049DA5ECB25A}"/>
    <cellStyle name="Comma 5 7" xfId="2045" xr:uid="{18CC8110-874D-416A-BD01-A86FDD4FFBAB}"/>
    <cellStyle name="Comma 5 7 2" xfId="2562" xr:uid="{C474EEA2-9029-44F3-9C73-5BDBFC0ABF4E}"/>
    <cellStyle name="Comma 5 7 3" xfId="4275" xr:uid="{1B9FB71D-F281-4587-8FCC-3F6B45F2D418}"/>
    <cellStyle name="Comma 5 8" xfId="1997" xr:uid="{112C28FA-19CD-47D5-BF36-8677912E9303}"/>
    <cellStyle name="Comma 5 9" xfId="2480" xr:uid="{4B121F9B-9037-4C99-AB19-4A636A715D34}"/>
    <cellStyle name="Comma 6" xfId="598" xr:uid="{9ADE81FC-091B-4489-9B00-A56649110160}"/>
    <cellStyle name="Comma 6 2" xfId="599" xr:uid="{B03FB11A-9AB3-4883-8066-2BFC9F0350E7}"/>
    <cellStyle name="Comma 6 2 2" xfId="2253" xr:uid="{BB020009-0327-4524-A140-63E7799C144D}"/>
    <cellStyle name="Comma 6 2 2 2" xfId="2472" xr:uid="{3215E27F-3297-4A00-9DC6-C7D8B73863B4}"/>
    <cellStyle name="Comma 6 2 2 2 2" xfId="2977" xr:uid="{92098AE5-D217-4E0D-A9FD-2FE98EA536D8}"/>
    <cellStyle name="Comma 6 2 2 2 3" xfId="4279" xr:uid="{C4933E10-867C-4C97-9BEC-C44270A1B37A}"/>
    <cellStyle name="Comma 6 2 2 3" xfId="2758" xr:uid="{D36D2B62-4985-4075-9493-29FC3B9A2620}"/>
    <cellStyle name="Comma 6 2 2 4" xfId="4278" xr:uid="{91458271-3936-408D-AC9C-ED1D5A58F696}"/>
    <cellStyle name="Comma 6 2 3" xfId="2362" xr:uid="{D88E7557-28AF-4D69-91F4-5D609D2F8CB4}"/>
    <cellStyle name="Comma 6 2 3 2" xfId="2867" xr:uid="{2952B006-E244-4C00-849A-BCAD972B719E}"/>
    <cellStyle name="Comma 6 2 3 3" xfId="4280" xr:uid="{1A75C845-20CA-4FD0-AC90-84EBFBBDAC8E}"/>
    <cellStyle name="Comma 6 2 4" xfId="2138" xr:uid="{A80357DA-0F4C-4F95-9D3F-6CD90B1AAE79}"/>
    <cellStyle name="Comma 6 2 4 2" xfId="3300" xr:uid="{688AB029-1233-49C4-BEEA-9601124F7554}"/>
    <cellStyle name="Comma 6 2 5" xfId="2648" xr:uid="{B2B873A8-6593-43CE-8E01-9572FAECADB9}"/>
    <cellStyle name="Comma 6 2 6" xfId="4277" xr:uid="{D9D1E5E7-B776-43A4-943E-54ECC12FCF98}"/>
    <cellStyle name="Comma 6 3" xfId="600" xr:uid="{8AF5D27F-80BC-41D5-AE70-1B13B42AC955}"/>
    <cellStyle name="Comma 6 3 2" xfId="601" xr:uid="{5A1C058C-8DC9-4571-A95C-1AF4C5E881E7}"/>
    <cellStyle name="Comma 6 3 2 2" xfId="2388" xr:uid="{3092ADD5-9CA5-44A9-A678-E82089E1C931}"/>
    <cellStyle name="Comma 6 3 2 3" xfId="2893" xr:uid="{6FBB8212-E64A-4AD0-A253-71FD3F03F2FF}"/>
    <cellStyle name="Comma 6 3 2 4" xfId="4282" xr:uid="{81898073-4F4A-447D-93BB-78EE375A2181}"/>
    <cellStyle name="Comma 6 3 2 5" xfId="1616" xr:uid="{153B7638-A0AC-45EF-9371-4D6BFC1A07D3}"/>
    <cellStyle name="Comma 6 3 3" xfId="2169" xr:uid="{4B8297F4-B8BE-4841-9617-6C2729A8FF6A}"/>
    <cellStyle name="Comma 6 3 3 2" xfId="3503" xr:uid="{D67DEF0F-63FB-4826-A2B8-408862875584}"/>
    <cellStyle name="Comma 6 3 4" xfId="2674" xr:uid="{5A11D9F3-7A6C-4CE0-888F-865283C13006}"/>
    <cellStyle name="Comma 6 3 5" xfId="4281" xr:uid="{AE114E83-1121-4E8A-82FA-DE02A7033CA6}"/>
    <cellStyle name="Comma 6 3 6" xfId="1615" xr:uid="{299E00E9-4C12-4F4A-8C9E-357512403DE2}"/>
    <cellStyle name="Comma 6 4" xfId="1000" xr:uid="{6F5C6B1D-F0E2-4792-BB09-F5EF184C229E}"/>
    <cellStyle name="Comma 6 4 2" xfId="2783" xr:uid="{17E038ED-4669-47A9-944A-28436A40FFA6}"/>
    <cellStyle name="Comma 6 4 3" xfId="4283" xr:uid="{F57B3990-1B8D-4284-8654-34FB35C69288}"/>
    <cellStyle name="Comma 6 4 4" xfId="2278" xr:uid="{F02DEEB6-A525-4346-B69E-2A2BB8BF16E7}"/>
    <cellStyle name="Comma 6 5" xfId="2047" xr:uid="{B5FB1D52-DB16-4277-A357-8A4FAE6CB4AD}"/>
    <cellStyle name="Comma 6 5 2" xfId="2564" xr:uid="{845EF2CA-FB2B-4514-BAFB-8CA267FCD6B3}"/>
    <cellStyle name="Comma 6 5 3" xfId="4284" xr:uid="{D71B67D9-F644-4E01-BB4B-AB824D9AB707}"/>
    <cellStyle name="Comma 6 6" xfId="1999" xr:uid="{90A7D03B-E753-4488-87CA-0CB188854C7D}"/>
    <cellStyle name="Comma 6 6 2" xfId="3089" xr:uid="{65B2AA49-CB75-40A2-AC9A-C41B4B857C20}"/>
    <cellStyle name="Comma 6 7" xfId="2483" xr:uid="{D3D612EE-E9D1-43D4-875A-90B8A7B801DC}"/>
    <cellStyle name="Comma 6 7 2" xfId="3011" xr:uid="{F091F50B-928B-417C-B48F-5BE50E7EA3CE}"/>
    <cellStyle name="Comma 6 8" xfId="2523" xr:uid="{D1FA41D3-F143-447B-B6E8-45D2A41AFCD9}"/>
    <cellStyle name="Comma 6 9" xfId="4276" xr:uid="{3B1C26A8-BDBE-41FB-89F0-BE3BE037E647}"/>
    <cellStyle name="Comma 7" xfId="602" xr:uid="{045725F2-9094-413C-A119-0B61A6EDFFB1}"/>
    <cellStyle name="Comma 7 10" xfId="4285" xr:uid="{F9A086BF-6A8B-46DF-822D-A9DD93E92F53}"/>
    <cellStyle name="Comma 7 2" xfId="603" xr:uid="{EE841C91-36ED-419F-93B1-01A50D94528D}"/>
    <cellStyle name="Comma 7 2 2" xfId="604" xr:uid="{E62D6F23-72C5-4334-99CC-E713BB8435B3}"/>
    <cellStyle name="Comma 7 2 2 2" xfId="3478" xr:uid="{C0261D6F-E132-4CEA-AE99-2A57BCDD2967}"/>
    <cellStyle name="Comma 7 2 2 3" xfId="1618" xr:uid="{DDF77EAD-ED38-4499-B1CE-9BEB3C593D47}"/>
    <cellStyle name="Comma 7 2 3" xfId="2998" xr:uid="{79C835F0-F497-401A-AE69-98D948CE4D8D}"/>
    <cellStyle name="Comma 7 2 4" xfId="2988" xr:uid="{1D1443C7-32D2-4DD3-8179-33063A67B865}"/>
    <cellStyle name="Comma 7 2 5" xfId="1617" xr:uid="{EF468156-DBEF-48D6-9C5B-5201A957D9E2}"/>
    <cellStyle name="Comma 7 3" xfId="605" xr:uid="{B06BAE1B-D059-4E4B-96AB-344A63DF24C8}"/>
    <cellStyle name="Comma 7 3 2" xfId="3487" xr:uid="{C56ADD20-BFC2-424C-97C2-5E99424F8C5B}"/>
    <cellStyle name="Comma 7 3 3" xfId="3173" xr:uid="{72D6ECF5-13EE-4FC8-9898-7A783371B396}"/>
    <cellStyle name="Comma 7 3 4" xfId="1619" xr:uid="{08DC06D2-B404-4C35-94C4-833AFE6E2183}"/>
    <cellStyle name="Comma 7 4" xfId="606" xr:uid="{E43A030B-9DE4-4F08-BF90-4A953744DAFD}"/>
    <cellStyle name="Comma 7 4 2" xfId="3489" xr:uid="{BACE9A85-896F-4926-9374-DFA757A83884}"/>
    <cellStyle name="Comma 7 4 2 2" xfId="3397" xr:uid="{9D1BA75E-E6C8-44FE-BCB3-7A9EA40D31FE}"/>
    <cellStyle name="Comma 7 4 2 2 2" xfId="3704" xr:uid="{53780472-98FE-4C51-AF1D-75EC8FD79204}"/>
    <cellStyle name="Comma 7 4 2 2 3" xfId="3788" xr:uid="{C2296A83-2E2F-499E-952A-926D15E7C93B}"/>
    <cellStyle name="Comma 7 4 2 3" xfId="3638" xr:uid="{1F34D335-E83A-4847-9201-F190FC17B476}"/>
    <cellStyle name="Comma 7 4 2 4" xfId="3787" xr:uid="{8AA7CACA-8B23-4C59-A897-A1DDD0B40583}"/>
    <cellStyle name="Comma 7 4 3" xfId="3353" xr:uid="{08BEABC1-6888-478C-BF13-4C1AA512E486}"/>
    <cellStyle name="Comma 7 4 3 2" xfId="3672" xr:uid="{5A2D599C-A66D-4B78-A7FC-956C187F3BEE}"/>
    <cellStyle name="Comma 7 4 3 3" xfId="3789" xr:uid="{44E2195F-0496-4DC4-924C-6AD2796305F3}"/>
    <cellStyle name="Comma 7 4 4" xfId="3606" xr:uid="{07A496BF-F005-431D-9BBF-6F76A9A22994}"/>
    <cellStyle name="Comma 7 4 5" xfId="3786" xr:uid="{0DAC238B-1B2D-47CD-8BC4-23D3EA177E50}"/>
    <cellStyle name="Comma 7 4 6" xfId="3545" xr:uid="{A4FC073F-0EC7-4181-B561-7E5B9392CB78}"/>
    <cellStyle name="Comma 7 4 7" xfId="1620" xr:uid="{15E4421A-A1A8-4070-8D2E-0459BCC1F175}"/>
    <cellStyle name="Comma 7 5" xfId="995" xr:uid="{9A7A60D2-FDCE-4019-A411-D66EEDE6A023}"/>
    <cellStyle name="Comma 7 5 2" xfId="3313" xr:uid="{70774BCE-085F-4F26-9208-D624BD557F7F}"/>
    <cellStyle name="Comma 7 5 2 2" xfId="3688" xr:uid="{4B24A856-D6CE-4F28-AB0B-2C98EC579F08}"/>
    <cellStyle name="Comma 7 5 2 3" xfId="3791" xr:uid="{2A1474CB-D9F2-4923-9D8A-D6E93811D313}"/>
    <cellStyle name="Comma 7 5 3" xfId="3622" xr:uid="{590BCC42-7611-4671-A605-3166CA46BB85}"/>
    <cellStyle name="Comma 7 5 4" xfId="3790" xr:uid="{871B41B7-F9E3-4709-B523-42CC94E5898D}"/>
    <cellStyle name="Comma 7 5 5" xfId="3416" xr:uid="{AEFD1C8F-6342-4AB4-B4F5-8C21A4B14B4F}"/>
    <cellStyle name="Comma 7 5 6" xfId="2038" xr:uid="{3D499C40-D75E-421B-885E-B84B58B5DF63}"/>
    <cellStyle name="Comma 7 6" xfId="2481" xr:uid="{790069B0-575B-4F2B-B623-0DC34A5E7F79}"/>
    <cellStyle name="Comma 7 6 2" xfId="3657" xr:uid="{79CD2A53-1899-417E-AF0A-322971B10A15}"/>
    <cellStyle name="Comma 7 6 3" xfId="3792" xr:uid="{C0572544-1F53-4C8D-A689-2AE40774A2C4}"/>
    <cellStyle name="Comma 7 6 4" xfId="3531" xr:uid="{66849454-BCD0-4D69-B143-1D362C5D819E}"/>
    <cellStyle name="Comma 7 7" xfId="3410" xr:uid="{624CD69E-5FFC-43D7-B3CF-C61F5899A3D7}"/>
    <cellStyle name="Comma 7 8" xfId="3785" xr:uid="{277365EA-EAF9-4859-A46E-32555C879649}"/>
    <cellStyle name="Comma 7 9" xfId="2506" xr:uid="{50B89871-C3AE-493A-A409-2B964FF5ED6E}"/>
    <cellStyle name="Comma 8" xfId="607" xr:uid="{FFFECCFB-2D04-4134-9E2F-CE1CB07277AD}"/>
    <cellStyle name="Comma 8 2" xfId="608" xr:uid="{DAB6D1E1-9D15-4C60-B8C2-E8951D968184}"/>
    <cellStyle name="Comma 8 2 2" xfId="3584" xr:uid="{4F42FBF6-DA23-4E75-B3B9-04E50F71AF79}"/>
    <cellStyle name="Comma 8 2 3" xfId="3201" xr:uid="{5A5E2487-A26A-4830-8759-ECAB4E612578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8 3 3" xfId="3504" xr:uid="{3D93E0F6-58FB-4A0C-8D1E-3767CEFBCF03}"/>
    <cellStyle name="Comma 8 4" xfId="996" xr:uid="{194E97D8-47D0-46B3-A27C-BA6069473100}"/>
    <cellStyle name="Comma 8 4 2" xfId="2984" xr:uid="{AB2E842D-B4E7-4586-B0BA-850984D2DFD3}"/>
    <cellStyle name="Comma 9" xfId="612" xr:uid="{B11EE26D-631D-492A-917E-22F1BDACBBB9}"/>
    <cellStyle name="Comma 9 2" xfId="613" xr:uid="{A98FCD49-F679-4ABF-9D1D-426B69F03405}"/>
    <cellStyle name="Comma 9 2 2" xfId="3271" xr:uid="{2992DCEF-48D3-463A-BBF3-EA3EA4B07983}"/>
    <cellStyle name="Comma 9 2 2 2" xfId="3696" xr:uid="{4E391083-86A3-4C5D-AD4E-F63D2FAF9C37}"/>
    <cellStyle name="Comma 9 2 2 3" xfId="3795" xr:uid="{53D80294-0477-4978-8FF1-3D13FD369368}"/>
    <cellStyle name="Comma 9 2 3" xfId="3630" xr:uid="{81AD6B64-6125-4D28-9CD2-40B70E6FA25E}"/>
    <cellStyle name="Comma 9 2 4" xfId="3794" xr:uid="{F6B43803-5C64-4778-8A90-63840399C4FF}"/>
    <cellStyle name="Comma 9 2 5" xfId="3375" xr:uid="{8B4508D4-90C7-410B-B8E7-FB731B91C6B5}"/>
    <cellStyle name="Comma 9 2 6" xfId="1621" xr:uid="{0556BDC2-9AC5-4DFA-88DE-3DB47272EF0F}"/>
    <cellStyle name="Comma 9 3" xfId="614" xr:uid="{E9ADA992-6A6F-4731-8312-36F678236A6B}"/>
    <cellStyle name="Comma 9 3 2" xfId="3664" xr:uid="{2104C961-3347-4D60-B7E1-061F7AEFE514}"/>
    <cellStyle name="Comma 9 3 3" xfId="3796" xr:uid="{3B67DE08-707E-4280-AB8F-A88D48CFF0D1}"/>
    <cellStyle name="Comma 9 3 4" xfId="3494" xr:uid="{27D19C02-AA1C-401A-8132-E992CE4461AA}"/>
    <cellStyle name="Comma 9 3 5" xfId="1622" xr:uid="{14368965-509C-4B8A-A3D5-E3A2A0A1AD42}"/>
    <cellStyle name="Comma 9 4" xfId="997" xr:uid="{D57925CB-5F96-41E3-81CC-68EADACC4101}"/>
    <cellStyle name="Comma 9 4 2" xfId="3598" xr:uid="{AA0ADD2D-10D0-4043-8D5F-0BEB7F510F2B}"/>
    <cellStyle name="Comma 9 4 3" xfId="1910" xr:uid="{17B1454E-D71C-467C-B3E6-EACBE980C772}"/>
    <cellStyle name="Comma 9 5" xfId="2482" xr:uid="{9384C108-27BD-4AEC-850E-37B348F0EAB6}"/>
    <cellStyle name="Comma 9 5 2" xfId="3793" xr:uid="{132966F0-DBEA-4B17-88A4-E1ED413100A1}"/>
    <cellStyle name="Comma 9 6" xfId="3538" xr:uid="{3829610B-1726-479A-97EE-2E3904138A34}"/>
    <cellStyle name="Comma 9 7" xfId="3019" xr:uid="{3FFA0091-1906-4F26-8204-ED84D6D50E7E}"/>
    <cellStyle name="Comma 9 8" xfId="4286" xr:uid="{F51A8F01-4D97-4598-9FDA-ED896E610A87}"/>
    <cellStyle name="Comma0" xfId="1952" xr:uid="{942E2052-DDD4-4DC7-A49B-01EC149BA322}"/>
    <cellStyle name="Comma0 2" xfId="1953" xr:uid="{549B99C4-AC95-453A-BD2C-8802614810E2}"/>
    <cellStyle name="Comma0 2 2" xfId="1954" xr:uid="{90329285-9B25-4DDC-A5E4-16853FEC8A23}"/>
    <cellStyle name="Comma0 2 2 2" xfId="4289" xr:uid="{F5E65232-0E98-4314-AAA7-C51670E620AB}"/>
    <cellStyle name="Comma0 2 3" xfId="4288" xr:uid="{98C271D9-9642-4DA3-84D9-9B7013D8F62C}"/>
    <cellStyle name="Comma0 3" xfId="4287" xr:uid="{34E9B3C7-AF03-40BF-90AA-8E02FC94E8A0}"/>
    <cellStyle name="Currency [0] 2" xfId="615" xr:uid="{93A60FB3-5377-4630-9FE6-C2A75ACC1550}"/>
    <cellStyle name="Currency [0] 2 2" xfId="988" xr:uid="{E3798ADF-8E8C-4960-8CC2-BF75748E008D}"/>
    <cellStyle name="Currency [0] 3" xfId="616" xr:uid="{5989D65A-D4F8-43D5-AADC-F598729F73D9}"/>
    <cellStyle name="Currency [0] 3 2" xfId="982" xr:uid="{FB2978C8-0B76-4784-B41F-DA9943B1E206}"/>
    <cellStyle name="Currency 10" xfId="1011" xr:uid="{DA6E298B-B7BB-4EEE-BBB4-8E663CE0C1E1}"/>
    <cellStyle name="Currency 11" xfId="1012" xr:uid="{0CEDF93F-EE72-47C8-8D6F-CD3D6667C9B0}"/>
    <cellStyle name="Currency 12" xfId="1013" xr:uid="{A4EA27E4-F73B-4EAB-A16D-BFDF101D0B13}"/>
    <cellStyle name="Currency 13" xfId="1014" xr:uid="{217B3AEF-5784-4345-A1F5-AFC8244E9960}"/>
    <cellStyle name="Currency 14" xfId="1005" xr:uid="{4178398F-10E5-45CE-9625-BE3FEC592AB5}"/>
    <cellStyle name="Currency 15" xfId="1015" xr:uid="{CB16E830-BF45-4E13-A54E-33DA0C2BA822}"/>
    <cellStyle name="Currency 16" xfId="1017" xr:uid="{820690A9-86FF-4047-898E-EC8300C805F2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2 2 2 2" xfId="1624" xr:uid="{538675A1-4C05-402F-91BC-5C660F37A0F3}"/>
    <cellStyle name="Currency 2 2 2 3" xfId="3525" xr:uid="{B9305495-0136-4158-87FE-5FE6222AF1C0}"/>
    <cellStyle name="Currency 2 2 2 4" xfId="1623" xr:uid="{D45CB59E-10C9-4254-BE38-010098640F25}"/>
    <cellStyle name="Currency 2 2 3" xfId="3341" xr:uid="{59ACD6A8-3E3F-4A9C-AED7-32BF83D24FE1}"/>
    <cellStyle name="Currency 2 3" xfId="621" xr:uid="{976B9A1B-17E3-4754-B13E-F5D3C585CFAE}"/>
    <cellStyle name="Currency 2 3 2" xfId="622" xr:uid="{6E06CFD6-2470-424F-8CE0-771AE22E1419}"/>
    <cellStyle name="Currency 2 3 2 2" xfId="1626" xr:uid="{7632FB11-A757-4955-BF03-B5A3CCED37FC}"/>
    <cellStyle name="Currency 2 3 3" xfId="3469" xr:uid="{E64B6C2C-9332-41C3-BFDD-93B18E6F0F70}"/>
    <cellStyle name="Currency 2 3 4" xfId="1625" xr:uid="{8384E9B9-AC40-4AA2-A106-F3E287526230}"/>
    <cellStyle name="Currency 2 4" xfId="623" xr:uid="{D3F320E5-DBA9-44AD-A944-C3B3A60EDD29}"/>
    <cellStyle name="Currency 2 4 2" xfId="3522" xr:uid="{757EA5EF-0B37-4330-A7CF-D6DA0312196F}"/>
    <cellStyle name="Currency 2 4 3" xfId="1627" xr:uid="{0B1F45F5-2C30-4F18-9755-DFC9E3A1C8A4}"/>
    <cellStyle name="Currency 2 5" xfId="624" xr:uid="{F2C74B1E-7E29-4687-8D89-F494831056D1}"/>
    <cellStyle name="Currency 2 5 2" xfId="3493" xr:uid="{872525D6-107F-404E-8012-BE52F0B5F681}"/>
    <cellStyle name="Currency 2 5 3" xfId="1628" xr:uid="{6FBBB505-22F6-468E-BFF2-FBB28D6E721B}"/>
    <cellStyle name="Currency 2 6" xfId="987" xr:uid="{10FABCFF-6B40-4B0F-8267-A2957E73421E}"/>
    <cellStyle name="Currency 2 6 2" xfId="3073" xr:uid="{7114E996-7181-41D5-9CB3-02660DF15976}"/>
    <cellStyle name="Currency 2 6 3" xfId="1995" xr:uid="{DD6CC7A7-749B-4C9D-B2AA-1A23D9D4B49E}"/>
    <cellStyle name="Currency 2 7" xfId="2479" xr:uid="{87080AA6-EE67-4861-B86F-11F9520B1CE3}"/>
    <cellStyle name="Currency 2 8" xfId="4290" xr:uid="{E870D6F6-8C2C-4FA7-AC87-EAC368AEA090}"/>
    <cellStyle name="Currency 3" xfId="625" xr:uid="{EC9EE869-9115-4813-8A2C-4126BDB8AE5B}"/>
    <cellStyle name="Currency 3 2" xfId="981" xr:uid="{91F2A966-CB96-4399-ACD6-153FB9785503}"/>
    <cellStyle name="Currency 3 2 2" xfId="3333" xr:uid="{95E0F26B-1A92-46B7-8E70-41702A0CD3E8}"/>
    <cellStyle name="Currency 3 3" xfId="3292" xr:uid="{B8DA2350-400C-45E7-8EF7-212FD803372B}"/>
    <cellStyle name="Currency 3 4" xfId="3325" xr:uid="{EF99610C-95B7-486B-9D13-116A60AFE1B2}"/>
    <cellStyle name="Currency 3 5" xfId="3033" xr:uid="{FADE0B69-5966-4511-BBBE-AEE9E4BFEF93}"/>
    <cellStyle name="Currency 4" xfId="626" xr:uid="{F7362295-5CCD-403C-9F28-9081E8B2B3B8}"/>
    <cellStyle name="Currency 4 2" xfId="993" xr:uid="{8C30316E-EBD7-43D5-85B2-8CE78F3408A4}"/>
    <cellStyle name="Currency 5" xfId="627" xr:uid="{B7A4F1DA-139A-41A6-9610-F152D4EF33C1}"/>
    <cellStyle name="Currency 5 2" xfId="1001" xr:uid="{356DC4EB-1C2C-49A5-AE06-B72E077D72F9}"/>
    <cellStyle name="Currency 5 2 2" xfId="3404" xr:uid="{F2E1A37B-8CC2-49BB-BC4A-F9248C1D6EE8}"/>
    <cellStyle name="Currency 5 3" xfId="3010" xr:uid="{2608B10C-F9E3-417F-9535-9634AF492D43}"/>
    <cellStyle name="Currency 6" xfId="628" xr:uid="{ED44A28B-5F57-456F-84E6-6D7F0B86C39A}"/>
    <cellStyle name="Currency 6 2" xfId="1002" xr:uid="{0A76C0B0-2825-45F1-9CDC-76D72AEC6121}"/>
    <cellStyle name="Currency 6 2 2" xfId="3240" xr:uid="{182CE440-1095-4516-B8A9-59CC7ED3965E}"/>
    <cellStyle name="Currency 6 3" xfId="3597" xr:uid="{639F705F-7D5F-43D0-9C72-5C4A8B560D9A}"/>
    <cellStyle name="Currency 6 4" xfId="3067" xr:uid="{A894E18B-AAE5-48ED-9476-03C60D87BCDF}"/>
    <cellStyle name="Currency 7" xfId="629" xr:uid="{F129607A-4C3B-455F-858E-AC0A369C8744}"/>
    <cellStyle name="Currency 7 2" xfId="1003" xr:uid="{A70757C3-64F1-43DE-A180-7DB1B285383E}"/>
    <cellStyle name="Currency 8" xfId="630" xr:uid="{BF1285C0-96B1-4B61-A1E7-CE7F4FAC5815}"/>
    <cellStyle name="Currency 8 2" xfId="1004" xr:uid="{BD43A4E1-BB31-46B4-AC97-C4D0878015B3}"/>
    <cellStyle name="Currency 9" xfId="998" xr:uid="{6E0E2767-FE26-47C8-AF87-7DFD8D15D78D}"/>
    <cellStyle name="Currency0" xfId="1955" xr:uid="{F86A4F0E-9D1A-4244-8E01-C6793BB5A594}"/>
    <cellStyle name="Currency0 2" xfId="1956" xr:uid="{BD3D4700-7788-4CD6-A685-8DEDA67949E4}"/>
    <cellStyle name="Currency0 2 2" xfId="1957" xr:uid="{793DB86E-C150-418C-B8BB-BAF99E0C046E}"/>
    <cellStyle name="Currency0 2 2 2" xfId="4293" xr:uid="{698DFBA4-7DB2-41E6-96B6-7CD81F5C5829}"/>
    <cellStyle name="Currency0 2 3" xfId="4292" xr:uid="{0B6DAB4A-03F6-46CC-8728-A32C1FC0EEAC}"/>
    <cellStyle name="Currency0 3" xfId="4291" xr:uid="{FC8A7A0B-A555-45E9-A461-A05E2ADFF383}"/>
    <cellStyle name="Date" xfId="1958" xr:uid="{C38CE2A4-EB37-4F54-8C77-87061B90064D}"/>
    <cellStyle name="Date 2" xfId="1959" xr:uid="{E28C62A7-647D-4707-AC12-C1CA234B03E2}"/>
    <cellStyle name="Date 2 2" xfId="1960" xr:uid="{F4AAA473-A05B-4A48-925A-48AF59237253}"/>
    <cellStyle name="Date 2 2 2" xfId="4296" xr:uid="{D937A8F8-16C5-4E12-8B40-24C8C655316D}"/>
    <cellStyle name="Date 2 3" xfId="4295" xr:uid="{8FC7F3EA-E6BC-467C-8318-D4BEBAE8BF2E}"/>
    <cellStyle name="Date 3" xfId="4294" xr:uid="{DB5B2A46-5CF9-40CC-9E1D-E75C4F22D167}"/>
    <cellStyle name="Explanatory Text" xfId="1030" builtinId="53" customBuiltin="1"/>
    <cellStyle name="Explanatory Text 2" xfId="1961" xr:uid="{17085DB1-7E0B-4ACF-B602-A6A0F7C97EF9}"/>
    <cellStyle name="Explanatory Text 2 2" xfId="3339" xr:uid="{30036EAB-976A-4102-8FAF-E996BADE4E7C}"/>
    <cellStyle name="Explanatory Text 2 3" xfId="3477" xr:uid="{90A5F87D-D485-4A98-9785-3B24718B9F5D}"/>
    <cellStyle name="Explanatory Text 2 4" xfId="3255" xr:uid="{B8AC50D8-9380-4997-8910-BAD0A0D1C8B5}"/>
    <cellStyle name="Explanatory Text 2 5" xfId="4298" xr:uid="{EE633BDD-4C91-40B9-AB2F-211286A27857}"/>
    <cellStyle name="Explanatory Text 3" xfId="4297" xr:uid="{8F2E9BE6-94A1-4974-B6C1-5D69C049FD84}"/>
    <cellStyle name="Fixed" xfId="1962" xr:uid="{CA6B62D4-3EE2-4246-A699-030F38280371}"/>
    <cellStyle name="Fixed 2" xfId="1963" xr:uid="{DAEBF016-4F75-4B97-9F4A-90CB87B35727}"/>
    <cellStyle name="Fixed 2 2" xfId="1964" xr:uid="{090A6A3B-D13A-4DD3-8EFC-04F13684159A}"/>
    <cellStyle name="Fixed 2 2 2" xfId="4301" xr:uid="{E0CDCF0C-0DC0-4139-88E1-3EC541AADF6D}"/>
    <cellStyle name="Fixed 2 3" xfId="4300" xr:uid="{61326B67-D3F1-455C-B524-D7371D627D96}"/>
    <cellStyle name="Fixed 3" xfId="4299" xr:uid="{A99E8DB5-581E-4AA0-900E-C43A4CEF5D42}"/>
    <cellStyle name="Good" xfId="1022" builtinId="26" customBuiltin="1"/>
    <cellStyle name="Good 2" xfId="1965" xr:uid="{B2ECCF32-33BC-416E-B28B-8B4D468FC5AC}"/>
    <cellStyle name="Good 2 2" xfId="3528" xr:uid="{5081EE3C-CD29-4BE2-B38B-AA94A46752E4}"/>
    <cellStyle name="Good 2 3" xfId="3303" xr:uid="{5D6E739F-2061-42BF-BA2F-B61F185EBBFB}"/>
    <cellStyle name="Good 2 4" xfId="3246" xr:uid="{64F61B3E-870A-4695-A47F-3CCE0161426E}"/>
    <cellStyle name="Good 2 5" xfId="4303" xr:uid="{6179685A-9590-4253-9170-26E5A86F2867}"/>
    <cellStyle name="Good 3" xfId="4302" xr:uid="{8CA9C5C8-8EED-4515-9F12-58AAD0848B43}"/>
    <cellStyle name="Heading 1" xfId="1018" builtinId="16" customBuiltin="1"/>
    <cellStyle name="Heading 1 2" xfId="1966" xr:uid="{45F1885C-E187-402B-BEA2-3C4A48D42A04}"/>
    <cellStyle name="Heading 1 2 2" xfId="1967" xr:uid="{C45912BB-28F5-484F-A211-E619567E09E8}"/>
    <cellStyle name="Heading 1 2 2 2" xfId="3586" xr:uid="{8BE52D8A-8EFD-42B2-963C-ABF67B895616}"/>
    <cellStyle name="Heading 1 2 2 3" xfId="4306" xr:uid="{4D08FC6D-7DF3-4769-B226-D010F93B17B5}"/>
    <cellStyle name="Heading 1 2 3" xfId="2020" xr:uid="{74E68DC1-48E4-4562-BC1E-B2175453526B}"/>
    <cellStyle name="Heading 1 2 3 2" xfId="3523" xr:uid="{50CB3342-4DF0-4975-997E-A17F35559B93}"/>
    <cellStyle name="Heading 1 2 3 3" xfId="4307" xr:uid="{4079B7E4-3F02-40A9-9927-56C261852041}"/>
    <cellStyle name="Heading 1 2 4" xfId="3242" xr:uid="{B438E0D8-5AD8-4FBD-858A-2123F55B1AD2}"/>
    <cellStyle name="Heading 1 2 5" xfId="4305" xr:uid="{D2A10560-B2A1-474B-994C-68866996F7A6}"/>
    <cellStyle name="Heading 1 3" xfId="1968" xr:uid="{A88C42ED-B0A8-4EFC-9000-CFFC9D49CBF6}"/>
    <cellStyle name="Heading 1 3 2" xfId="1969" xr:uid="{3B9F9E8A-CCA3-4AD9-8153-8484D4D96968}"/>
    <cellStyle name="Heading 1 3 2 2" xfId="4309" xr:uid="{DBDE6ACD-AD8A-4CBF-A755-C7CDACE4745F}"/>
    <cellStyle name="Heading 1 3 3" xfId="4308" xr:uid="{78FBA5CA-73A7-48DD-B5F4-E18A88DA3CFF}"/>
    <cellStyle name="Heading 1 4" xfId="4304" xr:uid="{144593D6-B36C-485C-BDC8-E0568675EAB2}"/>
    <cellStyle name="Heading 2" xfId="1019" builtinId="17" customBuiltin="1"/>
    <cellStyle name="Heading 2 2" xfId="1970" xr:uid="{4B4963DD-0E2C-4F48-B9E8-CFADC3D3A252}"/>
    <cellStyle name="Heading 2 2 2" xfId="1971" xr:uid="{7CBED021-0063-4CEC-93FB-7053FDDF511F}"/>
    <cellStyle name="Heading 2 2 2 2" xfId="3277" xr:uid="{6708C814-7FBD-4212-A9B8-145B5FFBA4D6}"/>
    <cellStyle name="Heading 2 2 2 3" xfId="4312" xr:uid="{F4127C73-C9DC-4B91-B950-DC35A917EB8B}"/>
    <cellStyle name="Heading 2 2 3" xfId="2021" xr:uid="{22FBA601-0DF4-46F8-9833-F091A3524552}"/>
    <cellStyle name="Heading 2 2 3 2" xfId="3311" xr:uid="{700BCC84-62A1-4856-B1FA-B9E5525268EA}"/>
    <cellStyle name="Heading 2 2 3 3" xfId="4313" xr:uid="{AD21B2DE-D8ED-4458-8824-9C2A7F7B3BF9}"/>
    <cellStyle name="Heading 2 2 4" xfId="3243" xr:uid="{6A2A33F4-6D75-48E3-9BDA-7719729483E7}"/>
    <cellStyle name="Heading 2 2 5" xfId="4311" xr:uid="{B713CD62-EE62-4C50-9AF2-7DA5A3646516}"/>
    <cellStyle name="Heading 2 3" xfId="1972" xr:uid="{9D2B1DB2-1147-40DE-948A-2E1962608CFA}"/>
    <cellStyle name="Heading 2 3 2" xfId="1973" xr:uid="{928DF46A-0B27-46B0-BB39-28A70CC95293}"/>
    <cellStyle name="Heading 2 3 2 2" xfId="4315" xr:uid="{7D7CC6B6-8AA9-4914-A2FF-F582FF87E88B}"/>
    <cellStyle name="Heading 2 3 3" xfId="4314" xr:uid="{F071C687-168B-41E9-938F-CF9B78418CAE}"/>
    <cellStyle name="Heading 2 4" xfId="4310" xr:uid="{7800162B-EE9C-4A20-B936-E5B0571F9B67}"/>
    <cellStyle name="Heading 3" xfId="1020" builtinId="18" customBuiltin="1"/>
    <cellStyle name="Heading 3 2" xfId="1974" xr:uid="{55BCAE2B-8793-4601-87C6-10690BB327DF}"/>
    <cellStyle name="Heading 3 2 2" xfId="3293" xr:uid="{C317B7E2-94B7-471E-8821-1314812A6305}"/>
    <cellStyle name="Heading 3 2 3" xfId="3438" xr:uid="{5F9119AF-1C9A-4267-B336-10211BD1D83D}"/>
    <cellStyle name="Heading 3 2 4" xfId="3244" xr:uid="{714AE1AD-BCC5-4430-AD22-E6C6C4DC559B}"/>
    <cellStyle name="Heading 3 2 5" xfId="4317" xr:uid="{5C671A40-1E9F-48B5-84EF-F264753F0F82}"/>
    <cellStyle name="Heading 3 3" xfId="4316" xr:uid="{4622ADE5-303D-4972-A539-5B1D3567C6A4}"/>
    <cellStyle name="Heading 4" xfId="1021" builtinId="19" customBuiltin="1"/>
    <cellStyle name="Heading 4 2" xfId="1975" xr:uid="{BF30F082-FEAC-49D4-8A87-B932F2DD3BC5}"/>
    <cellStyle name="Heading 4 2 2" xfId="3526" xr:uid="{31F1C2C0-0445-4D5E-9BF5-6318A7C9F413}"/>
    <cellStyle name="Heading 4 2 3" xfId="3505" xr:uid="{E5A8AD83-6734-4905-8B9E-C4F4117B43A6}"/>
    <cellStyle name="Heading 4 2 4" xfId="3245" xr:uid="{F5D93FB0-83F7-45A0-8204-AD07821691ED}"/>
    <cellStyle name="Heading 4 2 5" xfId="4319" xr:uid="{D912EA21-E772-44D2-BF71-1FA3B055D665}"/>
    <cellStyle name="Heading 4 3" xfId="4318" xr:uid="{B37C6C0E-8CAF-4FD5-B49D-E7986A9CEA5B}"/>
    <cellStyle name="Hyperlink" xfId="631" builtinId="8"/>
    <cellStyle name="Hyperlink 2" xfId="632" xr:uid="{72C248C7-D0F7-4568-897B-9508CE00105E}"/>
    <cellStyle name="Hyperlink 2 2" xfId="991" xr:uid="{9A1DB173-43A5-476E-AD9A-2D767DDB6011}"/>
    <cellStyle name="Hyperlink 2 3" xfId="3581" xr:uid="{D860B47F-6471-4721-90CE-FAAB534A052D}"/>
    <cellStyle name="Hyperlink 3" xfId="633" xr:uid="{325A48BC-2671-48BA-B978-3356B3928895}"/>
    <cellStyle name="Hyperlink 3 2" xfId="3585" xr:uid="{68CD73A8-799E-4CE0-A667-AC5587FAA506}"/>
    <cellStyle name="Hyperlink 4" xfId="634" xr:uid="{4E246F5C-2532-4DE9-AEDB-229C548EC72F}"/>
    <cellStyle name="Hyperlink 4 2" xfId="3559" xr:uid="{CDBCF9A6-DC26-43DA-81C8-66B9DB65B136}"/>
    <cellStyle name="Hyperlink 5" xfId="985" xr:uid="{EED844AB-301C-4886-8C12-323A2BC44050}"/>
    <cellStyle name="Hyperlink 6" xfId="2491" xr:uid="{0548B214-5A99-43CE-A91A-ABDED10B245A}"/>
    <cellStyle name="Input" xfId="1024" builtinId="20" customBuiltin="1"/>
    <cellStyle name="Input 2" xfId="1976" xr:uid="{664BE953-6A1A-4C7C-BB97-E3567866AF35}"/>
    <cellStyle name="Input 2 2" xfId="3314" xr:uid="{47A1896D-B9AB-4AEA-84DB-CE476BCD46DB}"/>
    <cellStyle name="Input 2 3" xfId="3445" xr:uid="{95177817-D465-4D11-9426-B2C7052BFA36}"/>
    <cellStyle name="Input 2 4" xfId="3248" xr:uid="{1E3CE60E-0468-4930-A5BA-0096FB45CD85}"/>
    <cellStyle name="Input 2 5" xfId="4321" xr:uid="{519577A7-BE63-4CF7-8EE5-C88BE066D216}"/>
    <cellStyle name="Input 3" xfId="4320" xr:uid="{DC633087-37DA-46B5-89F9-0E27763D9054}"/>
    <cellStyle name="Linked Cell" xfId="1027" builtinId="24" customBuiltin="1"/>
    <cellStyle name="Linked Cell 2" xfId="1977" xr:uid="{19077C4B-41CB-4E51-BF35-3C514B975A4B}"/>
    <cellStyle name="Linked Cell 2 2" xfId="3552" xr:uid="{D8CA148E-6676-40D7-9A74-10EB80119903}"/>
    <cellStyle name="Linked Cell 2 3" xfId="3413" xr:uid="{B82CFEDD-F671-4CFB-9F72-92EBBF1E6E8E}"/>
    <cellStyle name="Linked Cell 2 4" xfId="3251" xr:uid="{21C546ED-5D5C-42A2-8CBE-F6A5A0480267}"/>
    <cellStyle name="Linked Cell 2 5" xfId="4323" xr:uid="{02CE9A41-104E-4451-B4D5-58423981BA86}"/>
    <cellStyle name="Linked Cell 3" xfId="4322" xr:uid="{6BBD499D-201E-45A3-A414-F2486DBA3542}"/>
    <cellStyle name="Neutral 2" xfId="635" xr:uid="{79177FC8-16C0-40A6-8AA7-25337658310C}"/>
    <cellStyle name="Neutral 2 2" xfId="1978" xr:uid="{851B02D3-77BC-4269-ACD9-6A37BB886077}"/>
    <cellStyle name="Neutral 2 2 2" xfId="3431" xr:uid="{ED1523CC-D871-4E49-BFF4-728BBEC32D4A}"/>
    <cellStyle name="Neutral 2 2 3" xfId="3064" xr:uid="{A458E067-321B-458B-94C7-6527BBD7738E}"/>
    <cellStyle name="Neutral 2 3" xfId="3385" xr:uid="{F71F9FEC-80DA-4664-B9BA-ED2AEBD56958}"/>
    <cellStyle name="Neutral 2 4" xfId="3007" xr:uid="{8DC5683E-E9BB-499A-9E1E-7F93D3345523}"/>
    <cellStyle name="Neutral 2 5" xfId="4324" xr:uid="{27D034A6-3C7D-488C-9D5A-4DEC33C60E60}"/>
    <cellStyle name="Neutral 3" xfId="636" xr:uid="{A23A70BF-F25F-4546-9343-5EF89EE01D3C}"/>
    <cellStyle name="Neutral 3 2" xfId="1913" xr:uid="{8351F3C8-E91B-4800-BCBE-9EEC01EFEB92}"/>
    <cellStyle name="Neutral 3 3" xfId="4325" xr:uid="{1457D1EF-DBB3-415A-8092-2B79B2D04E3C}"/>
    <cellStyle name="Neutral 4" xfId="637" xr:uid="{C3B92DAA-E070-4907-897C-8C12144FBDA6}"/>
    <cellStyle name="Normal" xfId="0" builtinId="0"/>
    <cellStyle name="Normal 10" xfId="638" xr:uid="{7564AD33-7F52-4DC6-9B64-749C5A3049E4}"/>
    <cellStyle name="Normal 10 10" xfId="1629" xr:uid="{518F80A3-9033-4852-8B18-433C722234CA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2 2 2" xfId="3703" xr:uid="{47B4C358-1C70-4B07-A978-C83727C5F33F}"/>
    <cellStyle name="Normal 10 2 2 2 2 3" xfId="1633" xr:uid="{9898D01B-FB21-4C28-ABB9-7A703970E2DC}"/>
    <cellStyle name="Normal 10 2 2 2 3" xfId="3800" xr:uid="{53BD1B76-3A45-43A2-92E0-16FA7802577A}"/>
    <cellStyle name="Normal 10 2 2 2 4" xfId="3427" xr:uid="{0A4CE265-9AC4-4B16-848B-FF372DA44AA4}"/>
    <cellStyle name="Normal 10 2 2 2 5" xfId="1632" xr:uid="{0A3894E8-0243-40F3-A317-DBA1F12E8C7B}"/>
    <cellStyle name="Normal 10 2 2 3" xfId="643" xr:uid="{A484FED7-637B-4A0F-9A5B-26DDDF44F7BF}"/>
    <cellStyle name="Normal 10 2 2 3 2" xfId="3637" xr:uid="{24D4C4CC-5855-4E85-A700-E68F4344B8AA}"/>
    <cellStyle name="Normal 10 2 2 3 3" xfId="1634" xr:uid="{BB1760F0-3CA0-41B9-AD9E-7A51E784CD32}"/>
    <cellStyle name="Normal 10 2 2 4" xfId="3799" xr:uid="{7BB188B0-C739-4B63-B640-AA71DA371240}"/>
    <cellStyle name="Normal 10 2 2 5" xfId="3198" xr:uid="{7002AB54-29A0-4A57-9F5D-62FD31255BA9}"/>
    <cellStyle name="Normal 10 2 2 6" xfId="1631" xr:uid="{DED7A463-372E-4637-ADC1-F16F2417993E}"/>
    <cellStyle name="Normal 10 2 3" xfId="644" xr:uid="{ACBF9B93-4116-429A-97F7-B795CACE7D99}"/>
    <cellStyle name="Normal 10 2 3 2" xfId="645" xr:uid="{C20DD564-555A-48FF-9AAE-EEDE546498B6}"/>
    <cellStyle name="Normal 10 2 3 2 2" xfId="3671" xr:uid="{51802F8E-8DCE-4C71-8C4D-EA4F80444242}"/>
    <cellStyle name="Normal 10 2 3 2 3" xfId="3801" xr:uid="{D6621BF0-8183-48F0-964E-B29818790AA2}"/>
    <cellStyle name="Normal 10 2 3 2 4" xfId="3396" xr:uid="{0C27F079-EE69-4344-B8D5-C10984099084}"/>
    <cellStyle name="Normal 10 2 3 2 5" xfId="1636" xr:uid="{5BB3F4A4-572D-4FD7-9065-34176310EE6B}"/>
    <cellStyle name="Normal 10 2 3 3" xfId="3434" xr:uid="{51561BE0-9460-4A1D-9D40-70732976497B}"/>
    <cellStyle name="Normal 10 2 3 4" xfId="1635" xr:uid="{63C2120E-5252-46C5-A3B1-F05330D1838D}"/>
    <cellStyle name="Normal 10 2 4" xfId="646" xr:uid="{DC3DD205-F7BB-4FE2-9685-8F1C1B1F4F57}"/>
    <cellStyle name="Normal 10 2 4 2" xfId="3605" xr:uid="{3FD7A5C2-C70A-4E92-BCC1-3AF9502A054C}"/>
    <cellStyle name="Normal 10 2 4 3" xfId="1637" xr:uid="{43D49634-9947-4F2B-9596-5AC86C09DD45}"/>
    <cellStyle name="Normal 10 2 5" xfId="2487" xr:uid="{798FFA0D-4B0B-44D4-9EAF-D63BD7E7D92E}"/>
    <cellStyle name="Normal 10 2 5 2" xfId="3798" xr:uid="{8DDB67BE-0092-4AE0-8EC4-EDD806D76CB0}"/>
    <cellStyle name="Normal 10 2 6" xfId="2511" xr:uid="{EC762D1A-23DF-4887-A1D1-26D04BD38792}"/>
    <cellStyle name="Normal 10 2 7" xfId="2986" xr:uid="{D3FD0A02-34BA-4E73-8699-1800DE77F8CF}"/>
    <cellStyle name="Normal 10 2 8" xfId="1630" xr:uid="{AC296F73-84C6-4DB5-BBC4-C4BD8364FFA3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2 2 2" xfId="3687" xr:uid="{BDBCD650-A37D-4FCB-BB0D-565491C4DEC6}"/>
    <cellStyle name="Normal 10 3 2 2 3" xfId="1640" xr:uid="{812724F8-4F67-433A-865D-E561A72A35CB}"/>
    <cellStyle name="Normal 10 3 2 3" xfId="3803" xr:uid="{05553DBA-9894-405F-AED5-3617D519C273}"/>
    <cellStyle name="Normal 10 3 2 4" xfId="3226" xr:uid="{6DB46CB7-D24E-4C6F-A702-DF82F2974DB6}"/>
    <cellStyle name="Normal 10 3 2 5" xfId="1639" xr:uid="{77D78BA0-940F-4D8A-A261-9D8B5200011A}"/>
    <cellStyle name="Normal 10 3 3" xfId="650" xr:uid="{F739C181-A55B-4208-BA30-28843C3C3905}"/>
    <cellStyle name="Normal 10 3 3 2" xfId="3621" xr:uid="{732BEDA9-02F7-4E77-8F8A-DAC6AD8ACDE0}"/>
    <cellStyle name="Normal 10 3 3 3" xfId="1641" xr:uid="{B5BD0316-7EF7-43E8-B208-4F26D2A7779F}"/>
    <cellStyle name="Normal 10 3 4" xfId="3802" xr:uid="{BFD640EF-E9E9-48FE-9675-8B6B0D67868E}"/>
    <cellStyle name="Normal 10 3 5" xfId="3145" xr:uid="{E39743C9-32BB-4E2C-B9A7-29C91AE376EC}"/>
    <cellStyle name="Normal 10 3 6" xfId="1638" xr:uid="{3DD0C39B-5C83-4100-8895-2262957B2D83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2 2 2" xfId="1644" xr:uid="{8D1CD5B6-C76A-4A6C-9793-BDA64DA89BD3}"/>
    <cellStyle name="Normal 10 4 2 3" xfId="3656" xr:uid="{CE751003-720A-4CCC-A90E-1C0C10A4C32A}"/>
    <cellStyle name="Normal 10 4 2 4" xfId="1643" xr:uid="{E107B60D-7811-447A-BA0E-D7B2D0B56C5B}"/>
    <cellStyle name="Normal 10 4 3" xfId="654" xr:uid="{2E0076E5-588F-4600-ADAB-65BF50C4BF6B}"/>
    <cellStyle name="Normal 10 4 3 2" xfId="3804" xr:uid="{EDF6407A-27F8-465F-B20B-DDF50351B29D}"/>
    <cellStyle name="Normal 10 4 3 3" xfId="1645" xr:uid="{A9271565-1974-4222-9269-64C1FC2FED7E}"/>
    <cellStyle name="Normal 10 4 4" xfId="3051" xr:uid="{A999424F-1D9E-437E-B521-04FA1A708DB7}"/>
    <cellStyle name="Normal 10 4 5" xfId="1642" xr:uid="{BF6F0E67-57A2-4E48-ACCB-47200F8DC750}"/>
    <cellStyle name="Normal 10 5" xfId="655" xr:uid="{9819C990-34C3-4BED-84E5-59C38EFDA677}"/>
    <cellStyle name="Normal 10 5 2" xfId="656" xr:uid="{27D0A213-C87F-460C-8B8A-79126D5D14FC}"/>
    <cellStyle name="Normal 10 5 2 2" xfId="1647" xr:uid="{4F4C1D13-DECA-4F9D-93BF-CFD431082E72}"/>
    <cellStyle name="Normal 10 5 3" xfId="3400" xr:uid="{26ECB93A-90CB-4B71-96A6-9B411D3CB8CE}"/>
    <cellStyle name="Normal 10 5 4" xfId="1646" xr:uid="{8F8B1167-D878-4369-BD1C-C1025FD22D9E}"/>
    <cellStyle name="Normal 10 6" xfId="657" xr:uid="{AFA34B20-5EFE-4B2F-9DC6-FCC3B9546F27}"/>
    <cellStyle name="Normal 10 6 2" xfId="3797" xr:uid="{E47439F7-C964-4066-8976-710D6A78C6BE}"/>
    <cellStyle name="Normal 10 6 3" xfId="1648" xr:uid="{54DAD85A-C74E-4682-BF4C-11B93850C03B}"/>
    <cellStyle name="Normal 10 7" xfId="1909" xr:uid="{8DF3D031-8CA1-4A35-94E5-3B66C82B8840}"/>
    <cellStyle name="Normal 10 7 2" xfId="3042" xr:uid="{E9319D4F-510D-4766-A999-9F13EF10CFF4}"/>
    <cellStyle name="Normal 10 8" xfId="2486" xr:uid="{D8CAC2F6-0EE7-4E76-91D8-8EBCDBAF5BF6}"/>
    <cellStyle name="Normal 10 9" xfId="4326" xr:uid="{6040B504-2468-4D54-B1E7-926E197FB7F5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2 2 2" xfId="3382" xr:uid="{B7D1DDB0-8772-4AC8-9C1F-8E54731EBB38}"/>
    <cellStyle name="Normal 11 2 2 3" xfId="1651" xr:uid="{ECAE1ED1-BCC0-4FE4-8584-0B165CDB1B5A}"/>
    <cellStyle name="Normal 11 2 3" xfId="3012" xr:uid="{B2C019D2-E391-4583-A2B1-5AE1A6253966}"/>
    <cellStyle name="Normal 11 2 4" xfId="2985" xr:uid="{D5674DEC-E64C-4C2A-885B-CFC18AF6FFA0}"/>
    <cellStyle name="Normal 11 2 5" xfId="1650" xr:uid="{DA138400-C40F-4987-A8D8-50EA04BB711F}"/>
    <cellStyle name="Normal 11 3" xfId="661" xr:uid="{8C0773E3-FEAE-4787-83F1-F4767A577642}"/>
    <cellStyle name="Normal 11 3 2" xfId="3335" xr:uid="{C8487B89-C1D6-4DEC-8295-7A1B845F35D6}"/>
    <cellStyle name="Normal 11 3 3" xfId="1652" xr:uid="{A50A11B7-05A6-4769-A53F-85DB0453EAAC}"/>
    <cellStyle name="Normal 11 4" xfId="3062" xr:uid="{B9D70CAE-4B16-4B20-A64B-B81732E761A1}"/>
    <cellStyle name="Normal 11 5" xfId="2504" xr:uid="{24C63801-CA47-4EA6-90AB-DA515E065E89}"/>
    <cellStyle name="Normal 11 6" xfId="4327" xr:uid="{EE8219D5-D20A-46C8-B701-B7C5BDA75572}"/>
    <cellStyle name="Normal 11 7" xfId="1649" xr:uid="{A67D2093-68AE-4B26-91FC-A36A6BF0EBFD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2 2 2 2" xfId="3580" xr:uid="{1EC202FF-6407-411D-8D45-81E3D3394912}"/>
    <cellStyle name="Normal 12 2 2 3" xfId="1654" xr:uid="{F6B0B83D-04FF-4FE2-961D-12DA2806776D}"/>
    <cellStyle name="Normal 12 2 3" xfId="3101" xr:uid="{FCDA4F92-DA0B-4770-A8F4-6DBDA845E6AF}"/>
    <cellStyle name="Normal 12 2 4" xfId="1653" xr:uid="{619CEB56-0A44-4A8A-9504-37317CFBD805}"/>
    <cellStyle name="Normal 12 3" xfId="3172" xr:uid="{63EC26F7-AB0C-4FE0-B1AE-B6AC63F54BE0}"/>
    <cellStyle name="Normal 12 4" xfId="3422" xr:uid="{ED02C76A-5892-4D8B-AD13-A056FF4C9F71}"/>
    <cellStyle name="Normal 12 5" xfId="3009" xr:uid="{27C0DF60-6BE5-4029-A299-63F303FE3569}"/>
    <cellStyle name="Normal 13" xfId="665" xr:uid="{C0C5C85F-5CA4-4ADC-82A5-5444DF57AF2E}"/>
    <cellStyle name="Normal 13 2" xfId="666" xr:uid="{F4466316-6B99-460C-8517-F2EA99C15592}"/>
    <cellStyle name="Normal 13 2 2" xfId="3465" xr:uid="{D2488DC0-BFEC-4099-A3BE-F6DF02E088AA}"/>
    <cellStyle name="Normal 13 2 2 2" xfId="3695" xr:uid="{3841E334-1EC6-4C2B-BD15-F9152E6A469A}"/>
    <cellStyle name="Normal 13 2 2 3" xfId="3807" xr:uid="{77307220-E9BE-45E0-948F-B589C086F1F4}"/>
    <cellStyle name="Normal 13 2 3" xfId="3629" xr:uid="{10CEC51C-C94D-4444-A7A1-1200941AD061}"/>
    <cellStyle name="Normal 13 2 4" xfId="3806" xr:uid="{3E5D8A84-7EC7-4892-A7E1-BEB8B1339DA3}"/>
    <cellStyle name="Normal 13 2 5" xfId="3200" xr:uid="{DF8616D3-53C2-4E47-98FE-ED01F0DA00E6}"/>
    <cellStyle name="Normal 13 2 6" xfId="1656" xr:uid="{2A793BA6-B449-4A69-92F2-02E7410D0F86}"/>
    <cellStyle name="Normal 13 3" xfId="3270" xr:uid="{AA69925E-0108-4588-AF7A-F38D342F15B3}"/>
    <cellStyle name="Normal 13 3 2" xfId="3663" xr:uid="{87666137-2CB6-4909-A8A9-95BD57953519}"/>
    <cellStyle name="Normal 13 3 3" xfId="3808" xr:uid="{9A5E01BB-9E4A-4809-B207-787A5C5AF11C}"/>
    <cellStyle name="Normal 13 4" xfId="3455" xr:uid="{7E4E8A71-B848-4800-BEF3-5C3DB91C3CDD}"/>
    <cellStyle name="Normal 13 5" xfId="3805" xr:uid="{F269E06D-EF71-4945-9333-9D52E7452654}"/>
    <cellStyle name="Normal 13 6" xfId="2996" xr:uid="{73EAF74F-FBE8-4E66-A413-9FECE25AC717}"/>
    <cellStyle name="Normal 13 7" xfId="1655" xr:uid="{FA2E06BA-0D97-47DD-960C-91DF7C7C2CE5}"/>
    <cellStyle name="Normal 14" xfId="667" xr:uid="{57B6D162-5BA2-4D24-99D4-37FD4888EBBE}"/>
    <cellStyle name="Normal 14 2" xfId="3553" xr:uid="{3B984557-DE05-4F9B-A242-14660CBDD280}"/>
    <cellStyle name="Normal 14 2 2" xfId="3679" xr:uid="{A6622A9E-34E0-43DB-AFCC-513EFA3B7C28}"/>
    <cellStyle name="Normal 14 2 3" xfId="3810" xr:uid="{B510EECE-E3D7-4AB2-A7BA-AE81822BED22}"/>
    <cellStyle name="Normal 14 3" xfId="3613" xr:uid="{9DD27F46-821F-40E5-BE5D-9E7329577A3A}"/>
    <cellStyle name="Normal 14 4" xfId="3809" xr:uid="{361AFC0B-2434-41B1-8425-73347CEB653F}"/>
    <cellStyle name="Normal 14 5" xfId="3329" xr:uid="{12A051FF-58C4-4663-A595-42DB64498881}"/>
    <cellStyle name="Normal 14 6" xfId="3164" xr:uid="{0CA14D57-274E-4E6A-9A04-9524DB07E12C}"/>
    <cellStyle name="Normal 15" xfId="668" xr:uid="{0B0AA0B6-4F0A-4164-949C-FFC676BC6229}"/>
    <cellStyle name="Normal 15 2" xfId="3461" xr:uid="{17157544-DF54-40E9-A873-9897FECB8A4F}"/>
    <cellStyle name="Normal 15 2 2" xfId="3645" xr:uid="{E61F61A2-BABC-4236-A19A-A13A68CA6DC0}"/>
    <cellStyle name="Normal 15 3" xfId="3453" xr:uid="{4DCED2C5-A1B2-4A6E-A896-50628FE9FC29}"/>
    <cellStyle name="Normal 15 4" xfId="3264" xr:uid="{28038072-CF05-4727-892C-2CB81972B344}"/>
    <cellStyle name="Normal 15 5" xfId="3099" xr:uid="{C327D11B-0EA0-45D4-BB80-92E2DF4CD1A6}"/>
    <cellStyle name="Normal 15 6" xfId="1657" xr:uid="{DCF43584-DBB1-4900-B267-4D2C9C2ECA26}"/>
    <cellStyle name="Normal 16" xfId="977" xr:uid="{9C8C1D45-385A-46B9-AA3E-7A895A2D4A35}"/>
    <cellStyle name="Normal 16 2" xfId="3508" xr:uid="{ACB7E686-8BED-4D40-A39C-6E9C1C0EC453}"/>
    <cellStyle name="Normal 16 3" xfId="3040" xr:uid="{BBC10697-4D1D-4BE0-8490-5926185F8361}"/>
    <cellStyle name="Normal 16 4" xfId="1906" xr:uid="{2796637A-21AF-4505-824C-FBDCC1BA8D47}"/>
    <cellStyle name="Normal 17" xfId="2477" xr:uid="{2FBF8F11-4034-4903-9AC1-4D53952B08B7}"/>
    <cellStyle name="Normal 17 2" xfId="3472" xr:uid="{4FE88173-488B-4781-A23F-FC935BD41289}"/>
    <cellStyle name="Normal 17 3" xfId="3811" xr:uid="{6E0DE6FD-E4B7-448C-A332-5482B7F76588}"/>
    <cellStyle name="Normal 17 4" xfId="3560" xr:uid="{17BBC396-C84A-4981-82DE-ADD5E1CC7271}"/>
    <cellStyle name="Normal 18" xfId="3267" xr:uid="{ADD9A54E-7AB1-4156-A820-CC1F5B3DB1D8}"/>
    <cellStyle name="Normal 19" xfId="3509" xr:uid="{7EB09D27-5FAB-412C-A9D4-6129B076BCE4}"/>
    <cellStyle name="Normal 2" xfId="669" xr:uid="{B190D761-ADDB-4CFB-8149-54EEFCE0B1C0}"/>
    <cellStyle name="Normal 2 10" xfId="670" xr:uid="{25635D35-6675-4E4D-AAB1-9A83726B5117}"/>
    <cellStyle name="Normal 2 10 2" xfId="3471" xr:uid="{573C3AD9-F11F-4363-88C9-6D91E341CA06}"/>
    <cellStyle name="Normal 2 10 3" xfId="1658" xr:uid="{C231220F-81AF-4F62-8CD3-B45800AF6135}"/>
    <cellStyle name="Normal 2 11" xfId="1920" xr:uid="{7DC575E3-9C0A-4EC8-80F3-18F7D0EBD100}"/>
    <cellStyle name="Normal 2 11 2" xfId="3297" xr:uid="{55B7D9AE-0E64-4B40-981A-03D47F89E1A6}"/>
    <cellStyle name="Normal 2 12" xfId="3018" xr:uid="{B7D7CC1D-AFBE-4FB8-9F80-02F2AA7A8078}"/>
    <cellStyle name="Normal 2 2" xfId="671" xr:uid="{55E2D636-4C9F-4C55-9A3D-57247FEC84CD}"/>
    <cellStyle name="Normal 2 2 2" xfId="672" xr:uid="{F6E20830-CB29-47A4-B0A7-092DAD9B1053}"/>
    <cellStyle name="Normal 2 2 2 2" xfId="3458" xr:uid="{E34B561D-18F2-4AC5-BBE7-8B1E009B5D68}"/>
    <cellStyle name="Normal 2 2 2 2 2" xfId="3398" xr:uid="{9FDF5DEB-C39D-4C08-95AA-E33BA00DE639}"/>
    <cellStyle name="Normal 2 2 2 2 2 2" xfId="3510" xr:uid="{6A87DE5A-3F45-4EBF-879E-E9DC87F73C73}"/>
    <cellStyle name="Normal 2 2 2 2 2 2 2" xfId="3700" xr:uid="{D75BC228-9BDF-47DA-B95D-8229448F7D4F}"/>
    <cellStyle name="Normal 2 2 2 2 2 2 3" xfId="3816" xr:uid="{4FCB3C56-F536-4ABA-BDB8-1BD76F0F7C6F}"/>
    <cellStyle name="Normal 2 2 2 2 2 3" xfId="3634" xr:uid="{0559C359-1BE8-469E-955A-E59322FDB619}"/>
    <cellStyle name="Normal 2 2 2 2 2 4" xfId="3815" xr:uid="{4C34F0C5-EED1-403E-9ECD-7A1349FE2508}"/>
    <cellStyle name="Normal 2 2 2 2 3" xfId="3315" xr:uid="{393776EE-54F0-47D9-ABE7-AC2063433D7B}"/>
    <cellStyle name="Normal 2 2 2 2 3 2" xfId="3668" xr:uid="{F2FC07AE-421B-48E1-BFF2-2735222D15FC}"/>
    <cellStyle name="Normal 2 2 2 2 3 3" xfId="3817" xr:uid="{2B20230E-B569-4011-87E8-FC2B198DF6B5}"/>
    <cellStyle name="Normal 2 2 2 2 4" xfId="3602" xr:uid="{188683BB-28CB-4F74-838C-84C9FC7F9E69}"/>
    <cellStyle name="Normal 2 2 2 2 5" xfId="3814" xr:uid="{351357EC-24C4-441A-A633-E931AB736B28}"/>
    <cellStyle name="Normal 2 2 2 3" xfId="3294" xr:uid="{C1FB9420-F9C4-4594-B221-F293B3FA7C18}"/>
    <cellStyle name="Normal 2 2 2 3 2" xfId="3283" xr:uid="{C9BB3288-35FC-4D8F-945E-45BB3B79D7E2}"/>
    <cellStyle name="Normal 2 2 2 3 2 2" xfId="3684" xr:uid="{43C5EB97-DD22-439A-9E93-279D4B90CB79}"/>
    <cellStyle name="Normal 2 2 2 3 2 3" xfId="3819" xr:uid="{98DA55F9-9EEB-40BB-A16F-7F4203218A0A}"/>
    <cellStyle name="Normal 2 2 2 3 3" xfId="3618" xr:uid="{EDE8174F-5AF4-4B68-A643-AC7DDF117081}"/>
    <cellStyle name="Normal 2 2 2 3 4" xfId="3818" xr:uid="{5C40D9D6-7C9D-420D-BAEF-C55CD4C1BA5B}"/>
    <cellStyle name="Normal 2 2 2 4" xfId="3373" xr:uid="{AFBF06D2-5EB4-4A07-A400-340699C12564}"/>
    <cellStyle name="Normal 2 2 2 4 2" xfId="3653" xr:uid="{74AC3F30-7478-41FE-A842-C83294F64AF0}"/>
    <cellStyle name="Normal 2 2 2 4 3" xfId="3820" xr:uid="{9B943F57-DB62-4259-8955-70D5C1B41F22}"/>
    <cellStyle name="Normal 2 2 2 5" xfId="3589" xr:uid="{3BEA50C5-B1BE-4CE5-B651-AD8E97946BDE}"/>
    <cellStyle name="Normal 2 2 2 6" xfId="3813" xr:uid="{348BF08B-8735-4C78-B274-11B219EAAB4E}"/>
    <cellStyle name="Normal 2 2 2 7" xfId="3387" xr:uid="{9A4EB794-12A8-426D-BA4E-C13BF1B3898A}"/>
    <cellStyle name="Normal 2 2 3" xfId="673" xr:uid="{70F82632-05ED-411E-A5E9-816E6BE868EF}"/>
    <cellStyle name="Normal 2 2 3 2" xfId="3324" xr:uid="{C80348B3-C6E5-4FF5-97FC-13B5E84E0E96}"/>
    <cellStyle name="Normal 2 2 4" xfId="674" xr:uid="{787980A7-A1D0-4AB3-BD87-C3C6CA094986}"/>
    <cellStyle name="Normal 2 2 4 2" xfId="3579" xr:uid="{DD18919E-E139-48D8-BA88-39AEAE0175EB}"/>
    <cellStyle name="Normal 2 2 4 2 2" xfId="3366" xr:uid="{244B3994-90E5-40A7-939A-F005CEC3E318}"/>
    <cellStyle name="Normal 2 2 4 2 2 2" xfId="3698" xr:uid="{1A67C685-D72F-4BFE-BE85-9FC8FD6347C7}"/>
    <cellStyle name="Normal 2 2 4 2 2 3" xfId="3823" xr:uid="{78050A84-BDD9-4292-A586-1F737725EFA8}"/>
    <cellStyle name="Normal 2 2 4 2 3" xfId="3632" xr:uid="{C9B84919-23EF-4FC9-98AF-C6A4FA98038F}"/>
    <cellStyle name="Normal 2 2 4 2 4" xfId="3822" xr:uid="{B513B037-C289-4394-A445-4D8AAD1AFBC6}"/>
    <cellStyle name="Normal 2 2 4 3" xfId="3514" xr:uid="{FA2DC33B-9CF4-4045-9EC7-150748C31763}"/>
    <cellStyle name="Normal 2 2 4 3 2" xfId="3666" xr:uid="{AB24F87B-8947-48D8-8C98-618024C78767}"/>
    <cellStyle name="Normal 2 2 4 3 3" xfId="3824" xr:uid="{E9CA0248-0B28-4D76-B7E3-661CED8E2992}"/>
    <cellStyle name="Normal 2 2 4 4" xfId="3600" xr:uid="{B706C70C-7E42-4291-B70E-ED3C89E8E478}"/>
    <cellStyle name="Normal 2 2 4 5" xfId="3821" xr:uid="{8AD3386C-73F5-46C9-B61F-80C406990956}"/>
    <cellStyle name="Normal 2 2 4 6" xfId="3342" xr:uid="{412418F5-B02A-4D51-BFBE-C15667147252}"/>
    <cellStyle name="Normal 2 2 5" xfId="2488" xr:uid="{B0FB7DB2-61AB-447D-8480-038414037C5B}"/>
    <cellStyle name="Normal 2 2 5 2" xfId="3322" xr:uid="{8F5864D8-3861-4925-9E5C-FC0E3C803B03}"/>
    <cellStyle name="Normal 2 2 5 2 2" xfId="3682" xr:uid="{5EBEA8DA-FF19-4EFE-A51F-5E4D8EE6F1E5}"/>
    <cellStyle name="Normal 2 2 5 2 3" xfId="3826" xr:uid="{E8091A65-F507-4D7C-B70B-BF6F5F75296E}"/>
    <cellStyle name="Normal 2 2 5 3" xfId="3616" xr:uid="{51C9AA85-11AD-4510-8F47-99C90AC55046}"/>
    <cellStyle name="Normal 2 2 5 4" xfId="3825" xr:uid="{BA85A0D2-FB2E-4DED-83C1-1451E9154BF9}"/>
    <cellStyle name="Normal 2 2 5 5" xfId="3338" xr:uid="{E24CFEF8-DC21-4487-AC96-663C3C3A00F5}"/>
    <cellStyle name="Normal 2 2 6" xfId="3291" xr:uid="{A15918B9-5C23-405A-A087-E6C3110D7F8D}"/>
    <cellStyle name="Normal 2 2 6 2" xfId="3651" xr:uid="{D979C3A0-172E-4CD6-B639-589D39F6D19D}"/>
    <cellStyle name="Normal 2 2 6 3" xfId="3827" xr:uid="{4B2F68AF-770A-4696-A0F0-7700353A8694}"/>
    <cellStyle name="Normal 2 2 7" xfId="3374" xr:uid="{3E52FC6A-F7E4-4382-9FF9-7E02B62813AC}"/>
    <cellStyle name="Normal 2 2 8" xfId="3812" xr:uid="{EE1E2A5C-188D-43CF-B01B-325E8EF21621}"/>
    <cellStyle name="Normal 2 2 9" xfId="3466" xr:uid="{915208E2-2E2F-4CFA-8917-D991DE16F90F}"/>
    <cellStyle name="Normal 2 3" xfId="675" xr:uid="{EE51CE16-A86F-4A42-B2B8-C3995AB8789D}"/>
    <cellStyle name="Normal 2 3 2" xfId="2130" xr:uid="{ACB36D2D-8B15-4CC7-9836-73A74A2D5E48}"/>
    <cellStyle name="Normal 2 3 2 2" xfId="3181" xr:uid="{975F9443-A930-4C53-887C-B0AB039B9F36}"/>
    <cellStyle name="Normal 2 3 2 3" xfId="3380" xr:uid="{E73C2968-D5F1-4FA9-9E13-E2D9DC53874C}"/>
    <cellStyle name="Normal 2 3 2 4" xfId="3074" xr:uid="{F1273DBE-F780-49A6-84F2-22C66DD9EC96}"/>
    <cellStyle name="Normal 2 3 3" xfId="3132" xr:uid="{9BB55A86-7358-4B0D-AE21-42856DD51275}"/>
    <cellStyle name="Normal 2 3 3 2" xfId="3209" xr:uid="{10213472-7745-4EC9-A848-93CE2F613C2B}"/>
    <cellStyle name="Normal 2 3 3 2 2" xfId="3572" xr:uid="{26728B3C-6C11-4CC6-8328-77939B1795C6}"/>
    <cellStyle name="Normal 2 3 3 2 2 2" xfId="3699" xr:uid="{82FE1CA3-F4C0-43C7-986C-06A545CC7F89}"/>
    <cellStyle name="Normal 2 3 3 2 2 3" xfId="3830" xr:uid="{1B714075-B31C-4E70-BCC9-0E3E1EF96E5A}"/>
    <cellStyle name="Normal 2 3 3 2 3" xfId="3633" xr:uid="{45EB6C1B-36A0-4030-8AA7-0778609FB07B}"/>
    <cellStyle name="Normal 2 3 3 2 4" xfId="3829" xr:uid="{859D8DE9-E898-4272-8B05-10EBCE0E2A6B}"/>
    <cellStyle name="Normal 2 3 3 3" xfId="3513" xr:uid="{A5526A4C-C0F3-4094-82DD-573A03CCC3C4}"/>
    <cellStyle name="Normal 2 3 3 3 2" xfId="3667" xr:uid="{31710E99-D06C-4CCD-AF16-067B688FA580}"/>
    <cellStyle name="Normal 2 3 3 3 3" xfId="3831" xr:uid="{F1BD732E-043D-4CA2-B1C8-CCE1B94B8188}"/>
    <cellStyle name="Normal 2 3 3 4" xfId="3540" xr:uid="{0F6DF9F3-8F19-44B3-88E2-9BB1DFFF6051}"/>
    <cellStyle name="Normal 2 3 3 4 2" xfId="3601" xr:uid="{49E41926-87DE-4CD5-BECE-BE30201B6E4D}"/>
    <cellStyle name="Normal 2 3 3 4 3" xfId="3832" xr:uid="{78F1B0B0-C0B9-4015-9E9F-51B668B5E42B}"/>
    <cellStyle name="Normal 2 3 3 5" xfId="3544" xr:uid="{FE74739A-F64E-46CA-B154-FF3F0BA81298}"/>
    <cellStyle name="Normal 2 3 4" xfId="3473" xr:uid="{EEA5B026-000A-49C5-9616-E6E42E5E1238}"/>
    <cellStyle name="Normal 2 3 4 2" xfId="3401" xr:uid="{115E3430-6794-4B3F-BC3A-42A5E28A9CAF}"/>
    <cellStyle name="Normal 2 3 4 2 2" xfId="3683" xr:uid="{4FB0B33F-CE74-4639-9125-D3590D09EEFD}"/>
    <cellStyle name="Normal 2 3 4 2 3" xfId="3834" xr:uid="{6B0F7352-FBFA-4478-99B0-6337F14ACB3C}"/>
    <cellStyle name="Normal 2 3 4 3" xfId="3617" xr:uid="{67F4A69C-6306-4B5E-9DE5-02CE6958443B}"/>
    <cellStyle name="Normal 2 3 4 4" xfId="3833" xr:uid="{4DD55579-910B-45BD-B6E8-65CD68B257C4}"/>
    <cellStyle name="Normal 2 3 5" xfId="3346" xr:uid="{D5BEE2E1-A829-4207-AD2A-859C97AAC18F}"/>
    <cellStyle name="Normal 2 3 5 2" xfId="3652" xr:uid="{2E57B41E-0DB4-44C8-840E-BBF766411BB7}"/>
    <cellStyle name="Normal 2 3 5 3" xfId="3835" xr:uid="{EB5A81CF-624D-4862-B5F0-B43967A33444}"/>
    <cellStyle name="Normal 2 3 6" xfId="3310" xr:uid="{D045A780-9AE8-499E-AAE1-3C019635A961}"/>
    <cellStyle name="Normal 2 3 7" xfId="3828" xr:uid="{41D4C234-0822-48AE-BF18-0F430983DA79}"/>
    <cellStyle name="Normal 2 3 8" xfId="3000" xr:uid="{4C4762EA-6281-4C61-B2CD-F8B899046826}"/>
    <cellStyle name="Normal 2 4" xfId="676" xr:uid="{62F8335A-0A0B-473F-BFB1-B1345EC3444C}"/>
    <cellStyle name="Normal 2 4 2" xfId="2085" xr:uid="{C4772801-739C-4671-BDAC-34CA19D621BB}"/>
    <cellStyle name="Normal 2 4 2 2" xfId="3302" xr:uid="{D79F1BA6-4E6A-43A3-B561-C2CEB76288CB}"/>
    <cellStyle name="Normal 2 4 3" xfId="3578" xr:uid="{B6B66964-F415-45C5-AB23-8AE18A0C34B6}"/>
    <cellStyle name="Normal 2 4 4" xfId="3467" xr:uid="{42DFC2F0-8831-4DD1-AA4D-551177F80083}"/>
    <cellStyle name="Normal 2 4 5" xfId="3160" xr:uid="{822F3492-ED76-4A51-BABB-E16DD3880C5E}"/>
    <cellStyle name="Normal 2 5" xfId="677" xr:uid="{1018115F-0B68-4177-878D-9C0AC00A4442}"/>
    <cellStyle name="Normal 2 5 2" xfId="678" xr:uid="{8789BCFD-BFDF-43D8-BBF7-0B43107CEE65}"/>
    <cellStyle name="Normal 2 5 2 2" xfId="3541" xr:uid="{A33BD339-62FA-42EA-BA9B-A4F8A04B9C68}"/>
    <cellStyle name="Normal 2 5 3" xfId="679" xr:uid="{63557A34-8E41-4EEA-8236-120652649AD6}"/>
    <cellStyle name="Normal 2 5 3 2" xfId="680" xr:uid="{1CF34A91-7FB5-4070-AB32-83A6E8A236AD}"/>
    <cellStyle name="Normal 2 5 3 3" xfId="3146" xr:uid="{13F4D070-C72F-421C-BF9A-A29E3044CD52}"/>
    <cellStyle name="Normal 2 5 4" xfId="2144" xr:uid="{2829BD39-08DB-49DA-A0FA-6ED7C53FCBB9}"/>
    <cellStyle name="Normal 2 6" xfId="681" xr:uid="{0DE13140-C6B1-40AE-87DF-195FB27EE2A4}"/>
    <cellStyle name="Normal 2 6 2" xfId="3425" xr:uid="{CDCDD625-EB14-4B20-96C9-66584BFF2146}"/>
    <cellStyle name="Normal 2 6 2 2" xfId="3301" xr:uid="{83383905-5E02-4FCC-BFD1-0E3C6B5F1BE9}"/>
    <cellStyle name="Normal 2 6 2 2 2" xfId="3566" xr:uid="{27A6C2DF-C5DB-422D-9741-70974B4EC6CF}"/>
    <cellStyle name="Normal 2 6 2 2 2 2" xfId="3707" xr:uid="{50731CD8-E512-446F-8D91-C51F77A49BA8}"/>
    <cellStyle name="Normal 2 6 2 2 2 3" xfId="3839" xr:uid="{19816C94-A753-483C-8F45-987ADFAA60CC}"/>
    <cellStyle name="Normal 2 6 2 2 3" xfId="3641" xr:uid="{351F51A2-ABEA-4877-B383-BF7553113EF2}"/>
    <cellStyle name="Normal 2 6 2 2 4" xfId="3838" xr:uid="{6568E7EB-AB06-40B8-900E-496BF7557FD7}"/>
    <cellStyle name="Normal 2 6 2 3" xfId="3306" xr:uid="{C06DB427-6615-43AF-B969-E2220E1CCF38}"/>
    <cellStyle name="Normal 2 6 2 3 2" xfId="3675" xr:uid="{5730F533-4086-4C51-9F92-E4F0A634464A}"/>
    <cellStyle name="Normal 2 6 2 3 3" xfId="3840" xr:uid="{5280B840-597B-4908-82F4-4FBF963C4E7A}"/>
    <cellStyle name="Normal 2 6 2 4" xfId="3609" xr:uid="{C834D761-F662-424F-9512-D1BF33251C5F}"/>
    <cellStyle name="Normal 2 6 2 5" xfId="3837" xr:uid="{A8D96062-2836-418B-929D-1CE45FFFC111}"/>
    <cellStyle name="Normal 2 6 3" xfId="3403" xr:uid="{A1F8EE5E-632B-451F-B0DC-8B745B39A7AE}"/>
    <cellStyle name="Normal 2 6 3 2" xfId="3364" xr:uid="{1ED6F133-454E-4AAE-A9E5-39D7CE649C62}"/>
    <cellStyle name="Normal 2 6 3 2 2" xfId="3691" xr:uid="{14813628-402D-4BC7-8FB7-97E5DD8E4680}"/>
    <cellStyle name="Normal 2 6 3 2 3" xfId="3842" xr:uid="{568809B1-7611-49F6-B1E8-896CDD542A00}"/>
    <cellStyle name="Normal 2 6 3 3" xfId="3625" xr:uid="{4CC94F98-EB17-454D-B38C-6A6E8406A075}"/>
    <cellStyle name="Normal 2 6 3 4" xfId="3841" xr:uid="{5F6B3AC3-8C50-41B1-A635-1A4B33FB63CC}"/>
    <cellStyle name="Normal 2 6 4" xfId="3539" xr:uid="{CBD255B2-4372-4128-AE33-6A86E8023083}"/>
    <cellStyle name="Normal 2 6 4 2" xfId="3650" xr:uid="{59CD038B-AAFF-4BEB-B683-B71163CDE38B}"/>
    <cellStyle name="Normal 2 6 4 3" xfId="3843" xr:uid="{E9ED7643-60B8-4DF1-A2A3-8E4FBC7AD1C8}"/>
    <cellStyle name="Normal 2 6 5" xfId="3468" xr:uid="{105F788A-329A-4D72-80D5-698DF3C7D568}"/>
    <cellStyle name="Normal 2 6 6" xfId="3836" xr:uid="{1E5C73C5-3834-4353-AC6B-D5E7123B78E0}"/>
    <cellStyle name="Normal 2 6 7" xfId="3330" xr:uid="{4D9CE4B3-AC35-4E7C-9FFD-F3EC0C8CC101}"/>
    <cellStyle name="Normal 2 6 8" xfId="4328" xr:uid="{0EA9D116-0935-4FBD-9026-91DE3CC6D589}"/>
    <cellStyle name="Normal 2 7" xfId="682" xr:uid="{CB1065D6-AD36-4EC5-B4D5-C61BF4CCEE2B}"/>
    <cellStyle name="Normal 2 7 2" xfId="683" xr:uid="{8BEC1807-E7E5-4E52-9C27-29361B5EE81F}"/>
    <cellStyle name="Normal 2 7 2 2" xfId="3564" xr:uid="{D1DD1B09-D2F8-43D3-A2AF-31B7CD373A31}"/>
    <cellStyle name="Normal 2 7 2 2 2" xfId="3697" xr:uid="{6C7B3B39-6664-4E0E-B758-F0E28A74EF44}"/>
    <cellStyle name="Normal 2 7 2 2 3" xfId="3846" xr:uid="{28E26D73-0F40-455E-9F4B-2EC71D4A59F4}"/>
    <cellStyle name="Normal 2 7 2 3" xfId="3631" xr:uid="{6DB2B5DD-0258-4F6F-86C7-B414FCE60595}"/>
    <cellStyle name="Normal 2 7 2 4" xfId="3845" xr:uid="{26374014-F32F-4F10-902B-C0820F840D3D}"/>
    <cellStyle name="Normal 2 7 2 5" xfId="3309" xr:uid="{2E038802-2D4C-40E0-9394-B7EA8DDB325D}"/>
    <cellStyle name="Normal 2 7 3" xfId="3595" xr:uid="{78FA5463-CD66-487D-8D3E-E0409817C664}"/>
    <cellStyle name="Normal 2 7 3 2" xfId="3665" xr:uid="{E371753D-7FA6-4525-8261-7DF59E2815F2}"/>
    <cellStyle name="Normal 2 7 3 3" xfId="3847" xr:uid="{65518354-4C20-4EF3-90DA-3B1C889C0293}"/>
    <cellStyle name="Normal 2 7 4" xfId="3599" xr:uid="{EE5AE55F-0218-4B29-86BC-9EF606C2EEEE}"/>
    <cellStyle name="Normal 2 7 5" xfId="3844" xr:uid="{F18F938A-2A74-4DAF-95AE-43419687196E}"/>
    <cellStyle name="Normal 2 7 6" xfId="3516" xr:uid="{A01C1C68-6C5C-4A44-BC06-71CD0144DA57}"/>
    <cellStyle name="Normal 2 8" xfId="684" xr:uid="{38121FA4-9845-4987-B0F6-C865DEF1E885}"/>
    <cellStyle name="Normal 2 8 2" xfId="3501" xr:uid="{4B0A155F-7C02-40A3-B970-306B1B844043}"/>
    <cellStyle name="Normal 2 8 2 2" xfId="3681" xr:uid="{1FD5BF1A-555D-4F76-B244-FEE1C29D0384}"/>
    <cellStyle name="Normal 2 8 2 3" xfId="3849" xr:uid="{B704FB54-C379-45CE-B544-60E8F6CB35EA}"/>
    <cellStyle name="Normal 2 8 3" xfId="3615" xr:uid="{B9D9D485-5631-4D6C-9590-CF47DCBF4D8A}"/>
    <cellStyle name="Normal 2 8 4" xfId="3848" xr:uid="{B0CE0BDB-8498-4E24-814F-AD27DF280BD5}"/>
    <cellStyle name="Normal 2 8 5" xfId="3488" xr:uid="{40681A61-7921-4FDC-A015-10D73259B824}"/>
    <cellStyle name="Normal 2 9" xfId="685" xr:uid="{2EB4CE9B-28FF-4B50-85FA-CD94D99C8F74}"/>
    <cellStyle name="Normal 2 9 2" xfId="3554" xr:uid="{18C75E8C-A293-4929-9454-DE60F092DDD8}"/>
    <cellStyle name="Normal 2 9 3" xfId="3850" xr:uid="{FB1E14C6-97DF-48CD-A379-DA5BEC08A99A}"/>
    <cellStyle name="Normal 2 9 4" xfId="3569" xr:uid="{C4C3290E-1212-4132-A970-4E00FC3E8B40}"/>
    <cellStyle name="Normal 2 9 5" xfId="1659" xr:uid="{729F940C-6914-4845-8A09-802F97265475}"/>
    <cellStyle name="Normal 20" xfId="3711" xr:uid="{BC000002-6F28-4FB0-9B5D-AC7D018987AB}"/>
    <cellStyle name="Normal 3" xfId="686" xr:uid="{FA44C62A-AE90-40A1-AE26-4083C65C8737}"/>
    <cellStyle name="Normal 3 10" xfId="687" xr:uid="{25131E57-6E37-4D51-8C61-581136D4B736}"/>
    <cellStyle name="Normal 3 10 2" xfId="2039" xr:uid="{2C39E3C6-F275-44D5-A192-DCD0EFD44EAB}"/>
    <cellStyle name="Normal 3 10 3" xfId="2556" xr:uid="{EA5B2C99-BBB6-4784-B31F-FFF40F46449E}"/>
    <cellStyle name="Normal 3 10 4" xfId="4330" xr:uid="{2AA11DD3-C719-4BDC-BC5B-94A94D7B3DAF}"/>
    <cellStyle name="Normal 3 11" xfId="1921" xr:uid="{28275136-A84D-4EB3-834F-5C47C0424583}"/>
    <cellStyle name="Normal 3 12" xfId="2515" xr:uid="{5EFF7E3B-DB97-4D41-8091-9CC02040BEDA}"/>
    <cellStyle name="Normal 3 13" xfId="4329" xr:uid="{10BB1A14-D099-4EA1-A2CA-10663449E1D0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2 2 2" xfId="1664" xr:uid="{E7EE7583-0815-4130-A10C-EEC3DC43D216}"/>
    <cellStyle name="Normal 3 2 2 2 2 2 3" xfId="1663" xr:uid="{2AEFEE8B-161F-4ACE-A49C-8FF12F2838F9}"/>
    <cellStyle name="Normal 3 2 2 2 2 3" xfId="694" xr:uid="{EF49C759-4180-43D3-A67A-292B6F990792}"/>
    <cellStyle name="Normal 3 2 2 2 2 3 2" xfId="1665" xr:uid="{4289ED0F-4D00-4178-B3DF-91D66D1D369B}"/>
    <cellStyle name="Normal 3 2 2 2 2 4" xfId="1662" xr:uid="{2D383C60-3303-403C-9F89-9768A90C67D0}"/>
    <cellStyle name="Normal 3 2 2 2 3" xfId="695" xr:uid="{F0A25478-B998-4266-A275-2CC74B35F8B5}"/>
    <cellStyle name="Normal 3 2 2 2 3 2" xfId="696" xr:uid="{A7230ABC-CBCA-43C0-8C9A-5D6FE9E33408}"/>
    <cellStyle name="Normal 3 2 2 2 3 2 2" xfId="1667" xr:uid="{1567EBBC-523B-4132-A8BB-985AC8E4E863}"/>
    <cellStyle name="Normal 3 2 2 2 3 3" xfId="1666" xr:uid="{0EF49D24-A04F-4DA9-BE54-F7D68AC36768}"/>
    <cellStyle name="Normal 3 2 2 2 4" xfId="697" xr:uid="{B525BC2D-12DE-44CD-934C-6E90F4F5AC76}"/>
    <cellStyle name="Normal 3 2 2 2 4 2" xfId="1668" xr:uid="{5BBA190D-1469-4755-B535-80D726D8D580}"/>
    <cellStyle name="Normal 3 2 2 2 5" xfId="1661" xr:uid="{DB4A2D8A-A3C4-4F85-B22E-F1413E5AC0B7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2 2 2" xfId="1671" xr:uid="{D6255D65-9D06-4D2C-986C-5EED699F65FD}"/>
    <cellStyle name="Normal 3 2 2 3 2 3" xfId="1670" xr:uid="{4F687491-FFB3-4799-AACB-70A00ED88EA3}"/>
    <cellStyle name="Normal 3 2 2 3 3" xfId="701" xr:uid="{ECC9F8C5-081B-4588-AA52-3F45F81F1FCC}"/>
    <cellStyle name="Normal 3 2 2 3 3 2" xfId="1672" xr:uid="{F9E6375A-D43A-4361-B367-3AD199438E89}"/>
    <cellStyle name="Normal 3 2 2 3 4" xfId="1669" xr:uid="{C54F34F0-C531-4752-BF61-EBA1E68445D7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2 2 2" xfId="1675" xr:uid="{1719793F-EDE9-4E0F-A12A-23ECBC22E7F7}"/>
    <cellStyle name="Normal 3 2 2 4 2 3" xfId="1674" xr:uid="{4B12A0CA-8C40-490E-B74B-B620086BFCEF}"/>
    <cellStyle name="Normal 3 2 2 4 3" xfId="705" xr:uid="{7D8BB6D3-E8F1-41A0-A43B-A984197EF5B1}"/>
    <cellStyle name="Normal 3 2 2 4 3 2" xfId="1676" xr:uid="{59B74647-6043-480A-BA3A-057FC02DE119}"/>
    <cellStyle name="Normal 3 2 2 4 4" xfId="1673" xr:uid="{D4D6F49D-C97E-4D1F-8F1C-37A86E241612}"/>
    <cellStyle name="Normal 3 2 2 5" xfId="706" xr:uid="{4498BB89-B864-421F-BB6E-449085AE8AD8}"/>
    <cellStyle name="Normal 3 2 2 5 2" xfId="707" xr:uid="{BEE51D17-757E-4A5D-9F72-C9A1FA2C0514}"/>
    <cellStyle name="Normal 3 2 2 5 2 2" xfId="1678" xr:uid="{FF76B091-0989-4396-9102-2AC405AC7849}"/>
    <cellStyle name="Normal 3 2 2 5 3" xfId="1677" xr:uid="{A4C1B765-6E07-4177-83D0-5C5C7F35BE92}"/>
    <cellStyle name="Normal 3 2 2 6" xfId="708" xr:uid="{B8C92B9F-8386-4A1C-ACE4-3AB3142E1929}"/>
    <cellStyle name="Normal 3 2 2 6 2" xfId="1679" xr:uid="{B7F61CD8-B00F-4A23-B22C-4EF7DA564151}"/>
    <cellStyle name="Normal 3 2 2 7" xfId="3320" xr:uid="{01DFC4D9-9F12-499B-9402-01972313C609}"/>
    <cellStyle name="Normal 3 2 2 8" xfId="1660" xr:uid="{80130867-CF66-4399-85E7-73F67AC6E455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2 2 2" xfId="1683" xr:uid="{66056D46-55D4-45D7-B606-8A060D7419D1}"/>
    <cellStyle name="Normal 3 2 3 2 2 3" xfId="1682" xr:uid="{D4D877F6-3E8C-4BDB-BAE5-D98396F01F0E}"/>
    <cellStyle name="Normal 3 2 3 2 3" xfId="713" xr:uid="{E7BF92E8-01DC-4D3E-9763-7B6C8A6AC278}"/>
    <cellStyle name="Normal 3 2 3 2 3 2" xfId="1684" xr:uid="{38B99A17-39CA-42D4-8502-33419508D56A}"/>
    <cellStyle name="Normal 3 2 3 2 4" xfId="1681" xr:uid="{295DE73E-A99D-4BC4-95BC-05ABDCC5214D}"/>
    <cellStyle name="Normal 3 2 3 3" xfId="714" xr:uid="{7700AAF2-49A7-441A-B865-0911529CEB94}"/>
    <cellStyle name="Normal 3 2 3 3 2" xfId="715" xr:uid="{25DA516C-F5DE-49FD-AC94-CC821CC1F880}"/>
    <cellStyle name="Normal 3 2 3 3 2 2" xfId="1686" xr:uid="{F45370A8-3005-4084-B057-D5550492C283}"/>
    <cellStyle name="Normal 3 2 3 3 3" xfId="1685" xr:uid="{359F1F9B-9508-4029-A213-E9077D756D52}"/>
    <cellStyle name="Normal 3 2 3 4" xfId="716" xr:uid="{A9DAD83A-794B-43DA-9D86-8B1B4BFD87F9}"/>
    <cellStyle name="Normal 3 2 3 4 2" xfId="1687" xr:uid="{0858C491-7FC6-47BB-9DF8-B89D0E851DA4}"/>
    <cellStyle name="Normal 3 2 3 5" xfId="3295" xr:uid="{143F3EDD-0586-49F4-B2B3-75A22DD3B352}"/>
    <cellStyle name="Normal 3 2 3 6" xfId="1680" xr:uid="{3FA6D10A-3D76-4A56-920A-48242C95544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2 2 2" xfId="1690" xr:uid="{3645AB95-B95F-40D8-9B28-E13A1ACCB265}"/>
    <cellStyle name="Normal 3 2 4 2 3" xfId="1689" xr:uid="{1663F825-B8F0-4584-80BD-64F2B7A82AD2}"/>
    <cellStyle name="Normal 3 2 4 3" xfId="720" xr:uid="{4538E28C-B035-4376-901F-57D2F660E618}"/>
    <cellStyle name="Normal 3 2 4 3 2" xfId="1691" xr:uid="{0D91F0DB-5BFD-4672-AB6A-FB85F42180B4}"/>
    <cellStyle name="Normal 3 2 4 4" xfId="3049" xr:uid="{EBD92083-EDA2-4812-8AF7-C02D0932D316}"/>
    <cellStyle name="Normal 3 2 4 5" xfId="1688" xr:uid="{922FD1F8-CA69-4CE8-B8DD-01D6F86A3732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2 2 2" xfId="1694" xr:uid="{0B4286DB-48FF-406E-BC74-13A94ACD41C9}"/>
    <cellStyle name="Normal 3 2 6 2 3" xfId="1693" xr:uid="{8958BD14-8650-437C-874D-920467C164EA}"/>
    <cellStyle name="Normal 3 2 6 3" xfId="725" xr:uid="{F40B7711-5978-41B5-9782-FFBEA49568C6}"/>
    <cellStyle name="Normal 3 2 6 3 2" xfId="1695" xr:uid="{13D222F2-A100-4554-B3A5-1A86E53CFA76}"/>
    <cellStyle name="Normal 3 2 6 4" xfId="1692" xr:uid="{EC58E2D6-D186-458A-A886-EA0D19F72ED1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2 2 2" xfId="1698" xr:uid="{121FF1BA-FA52-4A40-804D-0AD2163E127C}"/>
    <cellStyle name="Normal 3 2 7 2 3" xfId="1697" xr:uid="{041750EA-740E-41F7-AE7C-106D52946C9A}"/>
    <cellStyle name="Normal 3 2 7 3" xfId="729" xr:uid="{81D0F847-F1B5-45F7-945B-9B43247768BB}"/>
    <cellStyle name="Normal 3 2 7 3 2" xfId="1699" xr:uid="{D1E23DD6-6ACA-4E7D-ABEF-89450952A541}"/>
    <cellStyle name="Normal 3 2 7 4" xfId="1696" xr:uid="{4DB46132-521F-4813-91BA-63C644659801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2 2 2" xfId="2476" xr:uid="{0B32FE70-5588-4006-B2C1-FEE1C3C260F5}"/>
    <cellStyle name="Normal 3 3 2 2 2 2 2 2" xfId="2981" xr:uid="{46C08F48-B366-4E6D-9741-2027A3482317}"/>
    <cellStyle name="Normal 3 3 2 2 2 2 2 3" xfId="4334" xr:uid="{32401C30-FBD4-49C3-8F09-43F9C4504523}"/>
    <cellStyle name="Normal 3 3 2 2 2 2 3" xfId="2257" xr:uid="{95C88700-973B-42CC-B16C-54C39F1A7062}"/>
    <cellStyle name="Normal 3 3 2 2 2 2 4" xfId="2762" xr:uid="{7AF2953B-D97E-4438-8145-B78593218F0E}"/>
    <cellStyle name="Normal 3 3 2 2 2 2 5" xfId="4333" xr:uid="{4A8D907E-1FD3-496D-9708-2A1959D3ECD8}"/>
    <cellStyle name="Normal 3 3 2 2 2 2 6" xfId="1703" xr:uid="{59544A3B-A372-4E39-9804-65020D93B7FF}"/>
    <cellStyle name="Normal 3 3 2 2 2 3" xfId="2366" xr:uid="{20A649B4-E67C-41B4-8E2D-26D303F8E412}"/>
    <cellStyle name="Normal 3 3 2 2 2 3 2" xfId="2871" xr:uid="{5405F07B-AFA9-48E7-8CEC-63EF8646225E}"/>
    <cellStyle name="Normal 3 3 2 2 2 3 3" xfId="4335" xr:uid="{00DC4D00-6B6C-4739-A573-1C188D572703}"/>
    <cellStyle name="Normal 3 3 2 2 2 4" xfId="2142" xr:uid="{DEA3D780-0619-48FA-BBE9-52C814BE4AF3}"/>
    <cellStyle name="Normal 3 3 2 2 2 5" xfId="2652" xr:uid="{324FEB0D-FD69-4FDE-AD42-AA67E08874A3}"/>
    <cellStyle name="Normal 3 3 2 2 2 6" xfId="4332" xr:uid="{4875CB0A-0BDB-4BD6-995D-6402645577AD}"/>
    <cellStyle name="Normal 3 3 2 2 2 7" xfId="1702" xr:uid="{223D85D2-860C-49AC-9267-389AC2DCF2B5}"/>
    <cellStyle name="Normal 3 3 2 2 3" xfId="735" xr:uid="{99132380-225D-4978-8A2F-5CDBFB1D5107}"/>
    <cellStyle name="Normal 3 3 2 2 3 2" xfId="1704" xr:uid="{C20523E6-2606-4E5B-9A9F-BEC3739AE771}"/>
    <cellStyle name="Normal 3 3 2 2 4" xfId="2094" xr:uid="{6F96EF76-7896-440C-ADCF-23BFCCA65204}"/>
    <cellStyle name="Normal 3 3 2 2 5" xfId="1701" xr:uid="{84905453-00BC-4DEE-A4E3-495A03BC8A19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2 3" xfId="2408" xr:uid="{50E97957-F6E0-4F96-8A28-9782644E6E59}"/>
    <cellStyle name="Normal 3 3 2 3 2 4" xfId="2913" xr:uid="{F0A8CAAA-CC06-4EAF-BF69-63EC37DA87FA}"/>
    <cellStyle name="Normal 3 3 2 3 2 5" xfId="4337" xr:uid="{83737730-EC48-40F5-B7C2-DFD9B7C1248E}"/>
    <cellStyle name="Normal 3 3 2 3 3" xfId="739" xr:uid="{811CDBBF-BBAD-43BB-8D0D-6A39A10E299A}"/>
    <cellStyle name="Normal 3 3 2 3 3 2" xfId="740" xr:uid="{0C52F58A-AE55-4D13-AEED-5B82D81A7EF5}"/>
    <cellStyle name="Normal 3 3 2 3 3 2 2" xfId="1706" xr:uid="{AC17FA20-4FD1-4D63-841D-68FF0DD1E20F}"/>
    <cellStyle name="Normal 3 3 2 3 3 3" xfId="1705" xr:uid="{7CDFEF9A-D05D-4A71-9974-E343CEA1C027}"/>
    <cellStyle name="Normal 3 3 2 3 4" xfId="2189" xr:uid="{FEA9D8A7-1B06-4E7F-9BD6-8B2DC0314E95}"/>
    <cellStyle name="Normal 3 3 2 3 5" xfId="2694" xr:uid="{24715734-576C-4FAD-BD3B-7B8571BCC8D4}"/>
    <cellStyle name="Normal 3 3 2 3 6" xfId="4336" xr:uid="{DE920C7A-08B5-431F-8358-A6A5A0E1CD52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4 2 2 2" xfId="1708" xr:uid="{D7E2AC08-6D0F-4F11-B7EA-41C1B0B157AB}"/>
    <cellStyle name="Normal 3 3 2 4 2 3" xfId="1707" xr:uid="{773AACC4-C608-4389-AB68-0883C63512E1}"/>
    <cellStyle name="Normal 3 3 2 4 3" xfId="2298" xr:uid="{097986CD-D73E-4316-A113-384B4D8ABFFC}"/>
    <cellStyle name="Normal 3 3 2 4 4" xfId="2803" xr:uid="{6AC8AF79-C58B-4E22-A94F-89B77B90CD6A}"/>
    <cellStyle name="Normal 3 3 2 4 5" xfId="4338" xr:uid="{72DA1784-6AF0-4E7A-B2D5-A0B4515F95C2}"/>
    <cellStyle name="Normal 3 3 2 5" xfId="744" xr:uid="{BC9AE9C6-F1D1-41AF-934D-90F54514E75F}"/>
    <cellStyle name="Normal 3 3 2 5 2" xfId="2067" xr:uid="{F18B1996-37D4-4D4F-B756-4F8D8ADA0E44}"/>
    <cellStyle name="Normal 3 3 2 5 3" xfId="2584" xr:uid="{324F8D7B-2FCD-47B8-8B79-D265F2BE50EC}"/>
    <cellStyle name="Normal 3 3 2 5 4" xfId="4339" xr:uid="{B3C51F74-BE31-4172-B8C3-1D0E91A99CAA}"/>
    <cellStyle name="Normal 3 3 2 5 5" xfId="1709" xr:uid="{DDEE8F69-8F95-4793-9B20-7D0B45DC7961}"/>
    <cellStyle name="Normal 3 3 2 6" xfId="2019" xr:uid="{A5BB1BBD-4C27-4E6C-A0DD-1470F27B6C78}"/>
    <cellStyle name="Normal 3 3 2 6 2" xfId="3482" xr:uid="{0CD7CFB5-1ABA-41F9-9738-14C16E785D1C}"/>
    <cellStyle name="Normal 3 3 2 7" xfId="2543" xr:uid="{211A34CF-3835-4114-B921-03FE601734B2}"/>
    <cellStyle name="Normal 3 3 2 8" xfId="4331" xr:uid="{C5F4733F-A6F9-43C2-B0C6-222AE4D1533E}"/>
    <cellStyle name="Normal 3 3 2 9" xfId="1700" xr:uid="{E8D44EB2-5E9F-4E73-BE2D-7EBFA856DD18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2 2 2" xfId="2426" xr:uid="{3B187E1F-A4D2-44FB-9096-B7CA2932A0B8}"/>
    <cellStyle name="Normal 3 3 3 2 2 3" xfId="2931" xr:uid="{BCFD304B-18B6-44B7-AA09-541135C76A22}"/>
    <cellStyle name="Normal 3 3 3 2 2 4" xfId="4342" xr:uid="{9289F836-DCEB-4A76-B109-5E31BD045C2F}"/>
    <cellStyle name="Normal 3 3 3 2 2 5" xfId="1712" xr:uid="{AF0E6E2E-3177-4BD0-BABF-A94607F26D76}"/>
    <cellStyle name="Normal 3 3 3 2 3" xfId="2207" xr:uid="{07E62DAA-6273-422D-8435-D0F45C8A016D}"/>
    <cellStyle name="Normal 3 3 3 2 4" xfId="2712" xr:uid="{F72FC8A6-B73C-4406-9BF3-9E2948132876}"/>
    <cellStyle name="Normal 3 3 3 2 5" xfId="4341" xr:uid="{6A6A6394-FDEE-4BB1-9F54-28EBB026E412}"/>
    <cellStyle name="Normal 3 3 3 2 6" xfId="1711" xr:uid="{F6A85591-4A6D-411E-9C84-B3420CAD3C6C}"/>
    <cellStyle name="Normal 3 3 3 3" xfId="748" xr:uid="{E0A389F1-B2CE-4A04-8A55-422F8B7CC18C}"/>
    <cellStyle name="Normal 3 3 3 3 2" xfId="2316" xr:uid="{97DAC0BD-CFF6-47AE-8D4A-079849C5796E}"/>
    <cellStyle name="Normal 3 3 3 3 3" xfId="2821" xr:uid="{970122D4-AA4E-4B28-8293-4B0A559C97B7}"/>
    <cellStyle name="Normal 3 3 3 3 4" xfId="4343" xr:uid="{50B7B37A-0A2F-42EE-B9D1-7C46787D4E98}"/>
    <cellStyle name="Normal 3 3 3 3 5" xfId="1713" xr:uid="{E8D6ED2B-C1B2-4469-8933-40A5D07ABAD2}"/>
    <cellStyle name="Normal 3 3 3 4" xfId="2087" xr:uid="{A6019603-E4E0-41EA-97FF-D86D9051607D}"/>
    <cellStyle name="Normal 3 3 3 4 2" xfId="3359" xr:uid="{72D75985-79EE-48F1-A9A8-8D6DBE997058}"/>
    <cellStyle name="Normal 3 3 3 5" xfId="2602" xr:uid="{4CEB0261-EEE3-47C0-B3A7-020C6AD7B4E2}"/>
    <cellStyle name="Normal 3 3 3 6" xfId="4340" xr:uid="{CD81200B-6D89-4B5C-8FC1-C360F04E0B4B}"/>
    <cellStyle name="Normal 3 3 3 7" xfId="1710" xr:uid="{015A4597-E1D9-4CD8-836B-62B717533E89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2 2 2" xfId="1716" xr:uid="{8A75208C-3FA8-4B74-AA22-B3A19B8B1D4E}"/>
    <cellStyle name="Normal 3 3 4 2 3" xfId="1715" xr:uid="{A600BC38-8A20-4BE5-ADC4-DB694FC34175}"/>
    <cellStyle name="Normal 3 3 4 3" xfId="752" xr:uid="{D5DF03D1-0235-4214-A608-8DCD337182B7}"/>
    <cellStyle name="Normal 3 3 4 3 2" xfId="1717" xr:uid="{B4D8561F-9025-4BAB-A1C3-D488F3ED89A0}"/>
    <cellStyle name="Normal 3 3 4 4" xfId="3097" xr:uid="{BAD88E53-A7D0-4ACB-A97A-290F35611176}"/>
    <cellStyle name="Normal 3 3 4 5" xfId="1714" xr:uid="{F9682449-B84A-4889-A52D-7ED803284C23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2 2 2" xfId="1720" xr:uid="{64033F9D-AD81-4593-9A66-3ECF6B88397E}"/>
    <cellStyle name="Normal 3 3 5 2 3" xfId="1719" xr:uid="{8FA495CB-5886-4915-B9EF-EED0BC63ED45}"/>
    <cellStyle name="Normal 3 3 5 3" xfId="756" xr:uid="{FDAFEE01-4373-4099-A938-6E0E18D57027}"/>
    <cellStyle name="Normal 3 3 5 3 2" xfId="1721" xr:uid="{A7CAC4C8-DEA5-48A7-A5A5-47E8E306761E}"/>
    <cellStyle name="Normal 3 3 5 4" xfId="3358" xr:uid="{29E07923-8D31-49E7-9F12-7BD03AEB27BE}"/>
    <cellStyle name="Normal 3 3 5 5" xfId="1718" xr:uid="{BE908F01-BC65-4087-A0C6-4CA0D896DE65}"/>
    <cellStyle name="Normal 3 3 6" xfId="757" xr:uid="{2D3F8685-6A12-44A6-94E5-8A4BAD1834AC}"/>
    <cellStyle name="Normal 3 3 7" xfId="1993" xr:uid="{6BB4E02B-CB35-4C76-8576-D7EA7126906A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2 2 2" xfId="1725" xr:uid="{7A81798A-125D-4CA7-B11F-4C06ABC750D9}"/>
    <cellStyle name="Normal 3 4 2 2 2 3" xfId="1724" xr:uid="{7EAFAA4B-9847-43A6-BD36-9DECDFC46765}"/>
    <cellStyle name="Normal 3 4 2 2 3" xfId="763" xr:uid="{42322AA4-5E52-4611-8FE7-BA12B908C600}"/>
    <cellStyle name="Normal 3 4 2 2 3 2" xfId="1726" xr:uid="{5D95BB93-66A7-470D-9E53-538FB450E2BC}"/>
    <cellStyle name="Normal 3 4 2 2 4" xfId="2445" xr:uid="{4D33E148-6397-4714-AAEF-212E08ABA4D3}"/>
    <cellStyle name="Normal 3 4 2 2 5" xfId="2950" xr:uid="{FB7CD369-A5C2-4BAD-B867-D5C41537F4D7}"/>
    <cellStyle name="Normal 3 4 2 2 6" xfId="4346" xr:uid="{13BB5681-581E-4477-91C6-3636BFF88740}"/>
    <cellStyle name="Normal 3 4 2 2 7" xfId="1723" xr:uid="{73DC70F2-EB5C-4D8B-9AEF-B4158A3CD310}"/>
    <cellStyle name="Normal 3 4 2 3" xfId="764" xr:uid="{660FF2EF-D82E-4895-99AE-FF6D2CB3C0AA}"/>
    <cellStyle name="Normal 3 4 2 3 2" xfId="765" xr:uid="{A5AF76C7-711D-40D7-821C-CCA6F6A1C607}"/>
    <cellStyle name="Normal 3 4 2 3 2 2" xfId="1728" xr:uid="{33EA7313-DAC9-4FE3-ABF2-EA3CB6D8FCB6}"/>
    <cellStyle name="Normal 3 4 2 3 3" xfId="1727" xr:uid="{9277F463-08F8-4EC7-86A3-399553DD21A4}"/>
    <cellStyle name="Normal 3 4 2 4" xfId="766" xr:uid="{21734E5E-ACD1-4837-8EE5-4C6599962D16}"/>
    <cellStyle name="Normal 3 4 2 4 2" xfId="1729" xr:uid="{41A07063-2C02-4D6A-9EB5-F536C0E9F015}"/>
    <cellStyle name="Normal 3 4 2 5" xfId="2226" xr:uid="{8BEEC3B9-0BB4-424D-BE94-94F6D5D476BA}"/>
    <cellStyle name="Normal 3 4 2 6" xfId="2731" xr:uid="{D6FE0C83-0647-4E83-947E-93884D141290}"/>
    <cellStyle name="Normal 3 4 2 7" xfId="4345" xr:uid="{BEE917E2-16FC-4A14-8E17-BB987ED1B599}"/>
    <cellStyle name="Normal 3 4 2 8" xfId="1722" xr:uid="{698053BD-6257-4FC5-80FE-FD3FBD4AA145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2 2 2" xfId="1732" xr:uid="{1A22F7E0-50A7-44E4-B796-E47488DA8A6F}"/>
    <cellStyle name="Normal 3 4 3 2 3" xfId="1731" xr:uid="{2F441A1A-18B6-4CCB-A160-FD37E613C994}"/>
    <cellStyle name="Normal 3 4 3 3" xfId="770" xr:uid="{1D74C723-9142-4C17-AD07-8440935E0D39}"/>
    <cellStyle name="Normal 3 4 3 3 2" xfId="1733" xr:uid="{60C9654D-72AA-40BE-B7E6-C0AD211B6F74}"/>
    <cellStyle name="Normal 3 4 3 4" xfId="2335" xr:uid="{8F55B56B-8871-4C8A-BCE2-9A8A229888F0}"/>
    <cellStyle name="Normal 3 4 3 5" xfId="2840" xr:uid="{7A104F5E-CD80-4BE0-8B3F-011D13A3A417}"/>
    <cellStyle name="Normal 3 4 3 6" xfId="4347" xr:uid="{CFC8C821-F4FD-49B6-B6BA-B1181A612F12}"/>
    <cellStyle name="Normal 3 4 3 7" xfId="1730" xr:uid="{7F13F2E3-4DB2-4500-A159-57B7593181C2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2 2 2" xfId="1736" xr:uid="{B51C84C3-9098-4DDB-99D3-CF4F09AAB13A}"/>
    <cellStyle name="Normal 3 4 4 2 3" xfId="1735" xr:uid="{563448B4-D14C-4B08-9C70-F0DE24133AC0}"/>
    <cellStyle name="Normal 3 4 4 3" xfId="774" xr:uid="{4D377FCB-335F-47FC-B783-D92C7AECE9D1}"/>
    <cellStyle name="Normal 3 4 4 3 2" xfId="1737" xr:uid="{925C2C5F-654C-4576-8C4F-5F1E0E596451}"/>
    <cellStyle name="Normal 3 4 4 4" xfId="3318" xr:uid="{9145C8A1-5565-47C6-809C-5926CFF77353}"/>
    <cellStyle name="Normal 3 4 4 5" xfId="1734" xr:uid="{34D8E9B0-BBCD-4BFB-BE68-E8C90BE17886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2 2 2" xfId="1740" xr:uid="{E0F8A639-7DCB-4DCD-8F0A-9BA6DBB8A3F4}"/>
    <cellStyle name="Normal 3 4 5 2 3" xfId="1739" xr:uid="{79BF61A4-7370-4A62-BA24-344DCBEF9CA7}"/>
    <cellStyle name="Normal 3 4 5 3" xfId="778" xr:uid="{7477BD7B-946F-4FFB-9C3A-BAA6883FFB21}"/>
    <cellStyle name="Normal 3 4 5 3 2" xfId="1741" xr:uid="{EE103007-9685-46A1-A9DB-FDEE15781A75}"/>
    <cellStyle name="Normal 3 4 5 4" xfId="1738" xr:uid="{BE6D5ED0-7D76-4851-99C0-5305BA004D90}"/>
    <cellStyle name="Normal 3 4 6" xfId="2109" xr:uid="{2D4D652F-E020-49F1-85E0-FE62F8279314}"/>
    <cellStyle name="Normal 3 4 7" xfId="2621" xr:uid="{D011E191-1F6E-4293-9C83-2F71E5E05152}"/>
    <cellStyle name="Normal 3 4 8" xfId="4344" xr:uid="{6112885E-5FAF-4FE1-B46D-46590B9AF168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2 2 2" xfId="1745" xr:uid="{B658518B-14A6-4EB5-8E09-4DEF3D0A62C9}"/>
    <cellStyle name="Normal 3 5 2 2 3" xfId="2464" xr:uid="{01ECED24-9E07-4F2A-82A0-A62080B2B7EC}"/>
    <cellStyle name="Normal 3 5 2 2 4" xfId="2969" xr:uid="{FC4A0460-EF98-4DED-A137-4B564C5F7D81}"/>
    <cellStyle name="Normal 3 5 2 2 5" xfId="4350" xr:uid="{FC7C4228-DD61-4D4F-B00A-8C484A67D952}"/>
    <cellStyle name="Normal 3 5 2 2 6" xfId="1744" xr:uid="{E615337C-2C73-4313-A251-C0388D0829D0}"/>
    <cellStyle name="Normal 3 5 2 3" xfId="783" xr:uid="{9506690E-BFF2-4C62-8F25-63A279217D71}"/>
    <cellStyle name="Normal 3 5 2 3 2" xfId="1746" xr:uid="{41B5E77B-34F4-4632-8BEF-F3AAB854459A}"/>
    <cellStyle name="Normal 3 5 2 4" xfId="2245" xr:uid="{4828AC55-FFBA-4FB5-82AE-BF06882A5C52}"/>
    <cellStyle name="Normal 3 5 2 5" xfId="2750" xr:uid="{14B920E9-B265-4420-B22E-A0615AA4708D}"/>
    <cellStyle name="Normal 3 5 2 6" xfId="4349" xr:uid="{9B215B0C-3BC2-45BC-BE29-A5C19E53E89F}"/>
    <cellStyle name="Normal 3 5 2 7" xfId="1743" xr:uid="{A1019BCB-3644-489F-AF12-B71FDE0C7D97}"/>
    <cellStyle name="Normal 3 5 3" xfId="784" xr:uid="{DA816FA3-E839-4B6A-B2EC-ECB0B9779924}"/>
    <cellStyle name="Normal 3 5 3 2" xfId="785" xr:uid="{C5FE0C4E-1A6C-415B-93DB-94CCFF1156BA}"/>
    <cellStyle name="Normal 3 5 3 2 2" xfId="1748" xr:uid="{53FA14ED-D39E-4CFD-8508-83EC0FA47C3D}"/>
    <cellStyle name="Normal 3 5 3 3" xfId="2354" xr:uid="{BB2BF9B3-55C9-4869-90AC-36DCD223DF80}"/>
    <cellStyle name="Normal 3 5 3 4" xfId="2859" xr:uid="{AFDE9CD4-2196-45F7-9690-0A0C072C369B}"/>
    <cellStyle name="Normal 3 5 3 5" xfId="4351" xr:uid="{F557F807-EFE9-4EDF-B567-4D9B3129CDB0}"/>
    <cellStyle name="Normal 3 5 3 6" xfId="1747" xr:uid="{C7833131-1FBD-4FE7-BA70-2A59B256932A}"/>
    <cellStyle name="Normal 3 5 4" xfId="786" xr:uid="{6B9ACA1D-FB21-4FA6-8650-B15ED748739D}"/>
    <cellStyle name="Normal 3 5 4 2" xfId="3518" xr:uid="{2681BEFE-567B-415C-A95F-7256CF09C5FA}"/>
    <cellStyle name="Normal 3 5 4 3" xfId="1749" xr:uid="{3C5F3C99-F6B8-47E6-ABA9-BF956CF6DBE2}"/>
    <cellStyle name="Normal 3 5 5" xfId="2129" xr:uid="{193ACCB0-244F-4D3A-B7FE-5F7F08B7333F}"/>
    <cellStyle name="Normal 3 5 6" xfId="2640" xr:uid="{25956DC6-AFCC-44DA-9BA3-45867164EA04}"/>
    <cellStyle name="Normal 3 5 7" xfId="4348" xr:uid="{8A683799-6EA1-4F4A-A8CD-60D98682DFF4}"/>
    <cellStyle name="Normal 3 5 8" xfId="1742" xr:uid="{0D4C0396-DFBA-4149-B0FA-F986DD3C94CC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2 2 2" xfId="3332" xr:uid="{F60B91FA-4232-472D-8ACB-F5A484A5F230}"/>
    <cellStyle name="Normal 3 6 2 2 2 2" xfId="3710" xr:uid="{9B554E6A-1D07-4A99-A627-FEC2F1F7AA9B}"/>
    <cellStyle name="Normal 3 6 2 2 2 3" xfId="3854" xr:uid="{8A38A058-C106-493A-A45F-7915C6470C7A}"/>
    <cellStyle name="Normal 3 6 2 2 3" xfId="3644" xr:uid="{0A61D04F-6D63-4E35-80A7-E5D38079574A}"/>
    <cellStyle name="Normal 3 6 2 2 4" xfId="3853" xr:uid="{8CF8D8FA-48FE-419E-9967-CA83015642BF}"/>
    <cellStyle name="Normal 3 6 2 2 5" xfId="3463" xr:uid="{4DD43C76-4C36-4E8B-BA9D-9BD90279D26E}"/>
    <cellStyle name="Normal 3 6 2 2 6" xfId="1752" xr:uid="{EBD6E2AD-D920-4813-A86A-49E5E25A05B0}"/>
    <cellStyle name="Normal 3 6 2 3" xfId="3442" xr:uid="{CF0934A0-ECCF-4861-A096-BA0B5BB606E7}"/>
    <cellStyle name="Normal 3 6 2 3 2" xfId="3678" xr:uid="{B5526EDF-0415-42E5-A0E3-4B893340B55F}"/>
    <cellStyle name="Normal 3 6 2 3 3" xfId="3855" xr:uid="{65446FB6-EDC4-49D4-B76A-1043BF90A1D0}"/>
    <cellStyle name="Normal 3 6 2 4" xfId="3612" xr:uid="{02D3FFBA-250D-4D16-A395-1EE1A97D2AE2}"/>
    <cellStyle name="Normal 3 6 2 5" xfId="3852" xr:uid="{85A03166-25FF-4BDE-B234-2427DB187836}"/>
    <cellStyle name="Normal 3 6 2 6" xfId="3327" xr:uid="{9232B6E8-56A7-48EF-BBA9-D53E36F8D93C}"/>
    <cellStyle name="Normal 3 6 2 7" xfId="1751" xr:uid="{B13D918C-BC0E-4733-A867-ACD768D03E8A}"/>
    <cellStyle name="Normal 3 6 3" xfId="790" xr:uid="{F83CC2CB-798D-4A73-B173-294A9801445C}"/>
    <cellStyle name="Normal 3 6 3 2" xfId="3563" xr:uid="{388E73F8-470D-4B9F-8F05-AC7374F86EF7}"/>
    <cellStyle name="Normal 3 6 3 2 2" xfId="3694" xr:uid="{4CA9D223-5F00-4646-B509-9F7E6A48F537}"/>
    <cellStyle name="Normal 3 6 3 2 3" xfId="3857" xr:uid="{BA8230B8-273B-4D69-A381-199AD535543F}"/>
    <cellStyle name="Normal 3 6 3 3" xfId="3628" xr:uid="{9549F00D-CD63-4965-8F35-E2652D24256D}"/>
    <cellStyle name="Normal 3 6 3 4" xfId="3856" xr:uid="{38F8B58D-462D-4244-87C0-CE59BCB1F7E7}"/>
    <cellStyle name="Normal 3 6 3 5" xfId="3450" xr:uid="{DC0E8A0D-DD4E-423A-8848-0C2AFADFFBA7}"/>
    <cellStyle name="Normal 3 6 3 6" xfId="1753" xr:uid="{87ADC94B-615D-4DB4-B2B4-C48A60C214E7}"/>
    <cellStyle name="Normal 3 6 4" xfId="2122" xr:uid="{A3E30979-80BB-47C1-A4F8-740F4D0679B7}"/>
    <cellStyle name="Normal 3 6 4 2" xfId="3662" xr:uid="{D60C377E-4108-44BD-8D4F-5477759727DC}"/>
    <cellStyle name="Normal 3 6 4 3" xfId="3858" xr:uid="{B2C25DF2-582C-45DC-A8D3-CC8A6FD5F8CB}"/>
    <cellStyle name="Normal 3 6 4 4" xfId="3542" xr:uid="{0B070ADB-23D2-4F85-AD87-83E7DEA59D96}"/>
    <cellStyle name="Normal 3 6 5" xfId="3408" xr:uid="{A5CFE72F-CF99-4CD0-8940-CF0CADC4076F}"/>
    <cellStyle name="Normal 3 6 6" xfId="3851" xr:uid="{EB73B832-4D43-4DA0-8212-FF8AF4A4F893}"/>
    <cellStyle name="Normal 3 6 7" xfId="3392" xr:uid="{6890ACE9-E0F9-4EEB-AEF9-84E9AAF39E26}"/>
    <cellStyle name="Normal 3 6 8" xfId="1750" xr:uid="{B4BE7B13-4A76-47C0-956D-22A20FB45949}"/>
    <cellStyle name="Normal 3 7" xfId="791" xr:uid="{40FB0793-A32A-4B42-980F-F09705F0E00B}"/>
    <cellStyle name="Normal 3 7 2" xfId="2190" xr:uid="{E042DB9F-85DD-438B-8F9E-704F009F5C9F}"/>
    <cellStyle name="Normal 3 7 2 2" xfId="2409" xr:uid="{22B8A63F-FE41-4989-B5C4-E0786A209A9D}"/>
    <cellStyle name="Normal 3 7 2 2 2" xfId="2914" xr:uid="{AC758845-24BE-4979-B664-F373BFF89D89}"/>
    <cellStyle name="Normal 3 7 2 2 3" xfId="4354" xr:uid="{A4DFF07C-AC7D-4E2B-A8BA-3F9F2245B20A}"/>
    <cellStyle name="Normal 3 7 2 3" xfId="2695" xr:uid="{0C204AA9-DC2B-4BAA-A0FF-6E074970F13F}"/>
    <cellStyle name="Normal 3 7 2 4" xfId="4353" xr:uid="{14BCA538-F395-4727-A38F-54EFA27280F6}"/>
    <cellStyle name="Normal 3 7 3" xfId="2299" xr:uid="{C5E5CD30-3559-48B7-B4F5-1C9DB3D409D6}"/>
    <cellStyle name="Normal 3 7 3 2" xfId="2804" xr:uid="{8A939C16-D230-42EC-880D-0BBDC691753A}"/>
    <cellStyle name="Normal 3 7 3 3" xfId="4355" xr:uid="{8A43CA23-04E2-427A-9129-B0BD5A842150}"/>
    <cellStyle name="Normal 3 7 4" xfId="2068" xr:uid="{509880B9-BB73-4434-AA5A-93E57DD3C1A4}"/>
    <cellStyle name="Normal 3 7 5" xfId="2585" xr:uid="{8C385C82-8A95-4812-B575-7248BB969142}"/>
    <cellStyle name="Normal 3 7 6" xfId="4352" xr:uid="{F3AE815F-5EDF-423B-BDFF-99A056EAD620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2 2 2" xfId="1756" xr:uid="{378C950C-B788-4945-8D9B-C0CA951739C5}"/>
    <cellStyle name="Normal 3 8 2 3" xfId="2380" xr:uid="{BACDB437-EAC8-4ED3-A0A7-5C420CA2A8FA}"/>
    <cellStyle name="Normal 3 8 2 4" xfId="2885" xr:uid="{DA1B54A8-016C-430E-B501-83513EE8EDDD}"/>
    <cellStyle name="Normal 3 8 2 5" xfId="4357" xr:uid="{005D209F-9FE5-4C20-81E9-6E4A9F3E1C0E}"/>
    <cellStyle name="Normal 3 8 2 6" xfId="1755" xr:uid="{DECD2328-A0F6-4555-9F30-A19CF30B5BDB}"/>
    <cellStyle name="Normal 3 8 3" xfId="795" xr:uid="{D42A0CB4-E4FC-48F2-B9BB-1E3BEC1D3835}"/>
    <cellStyle name="Normal 3 8 3 2" xfId="3331" xr:uid="{687844F7-F60B-4591-B0AB-B787ABFF6F8E}"/>
    <cellStyle name="Normal 3 8 3 3" xfId="1757" xr:uid="{0D9D62AA-F90C-48CF-A16D-6E10141AE8DF}"/>
    <cellStyle name="Normal 3 8 4" xfId="2161" xr:uid="{BB5C4839-D8BD-42B7-AAA7-4CA0ED8079D1}"/>
    <cellStyle name="Normal 3 8 5" xfId="2666" xr:uid="{1D302A74-A3E7-4F8C-A910-BA05B8CAFD86}"/>
    <cellStyle name="Normal 3 8 6" xfId="4356" xr:uid="{00F9A901-4F4B-49EC-B513-249C3C6D5DC8}"/>
    <cellStyle name="Normal 3 8 7" xfId="1754" xr:uid="{7454C11A-22A5-4381-B9BD-0D61B30E28AE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2 2 2" xfId="1760" xr:uid="{3F1C7DB5-B3A7-40B5-A8AC-DBBD1DCE09E2}"/>
    <cellStyle name="Normal 3 9 2 3" xfId="3123" xr:uid="{C32CFE0D-40C8-40EE-9A9E-7D56A06D93A0}"/>
    <cellStyle name="Normal 3 9 2 4" xfId="1759" xr:uid="{7263DA78-158F-4D3D-870C-1D7DE8209E25}"/>
    <cellStyle name="Normal 3 9 3" xfId="799" xr:uid="{BAD45978-21FA-4362-B342-065B858DFB74}"/>
    <cellStyle name="Normal 3 9 3 2" xfId="1761" xr:uid="{E847F40D-0564-4F0A-8750-C26B9E11E495}"/>
    <cellStyle name="Normal 3 9 4" xfId="2270" xr:uid="{A029ADEE-8E2B-443B-8619-FE2A16E670B7}"/>
    <cellStyle name="Normal 3 9 5" xfId="2775" xr:uid="{06D3AAAC-4D28-42EE-8EF1-6022092E7EAC}"/>
    <cellStyle name="Normal 3 9 6" xfId="4358" xr:uid="{D5B758C5-EF55-4DAF-8CC4-E8590F772558}"/>
    <cellStyle name="Normal 3 9 7" xfId="1758" xr:uid="{1EC00D6D-17A9-49E1-B8BD-19E5E9BC12C6}"/>
    <cellStyle name="Normal 4" xfId="800" xr:uid="{13042FC4-9BD5-4C20-A973-2AEC839823D4}"/>
    <cellStyle name="Normal 4 10" xfId="2517" xr:uid="{26D7318A-DED3-447B-98BA-69F7B2A02D93}"/>
    <cellStyle name="Normal 4 11" xfId="4359" xr:uid="{21E36E6D-2853-4C82-8043-71E54BA75B71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2 2 2" xfId="2447" xr:uid="{6D9D535B-3B2E-4AAC-9D6E-4EC756C493B9}"/>
    <cellStyle name="Normal 4 2 2 2 2 2" xfId="2952" xr:uid="{78271CE3-462E-4CC0-B187-6D739E0C6883}"/>
    <cellStyle name="Normal 4 2 2 2 2 3" xfId="4363" xr:uid="{0E626D94-3BB2-40E1-AC80-04E5F8B5E28E}"/>
    <cellStyle name="Normal 4 2 2 2 3" xfId="2228" xr:uid="{9BDB5FFD-8539-4F64-9755-AC4C755F05DE}"/>
    <cellStyle name="Normal 4 2 2 2 4" xfId="2733" xr:uid="{47EF90B7-04AE-4283-9C93-7F4DDF945334}"/>
    <cellStyle name="Normal 4 2 2 2 5" xfId="4362" xr:uid="{CEF1AA06-F8A4-477D-A158-A92EED698C8E}"/>
    <cellStyle name="Normal 4 2 2 2 6" xfId="1764" xr:uid="{5B9C65EE-BC5F-42EC-8567-190226E8AFA4}"/>
    <cellStyle name="Normal 4 2 2 3" xfId="2337" xr:uid="{A406228A-C5F4-4148-AC78-EEB134D8DCF7}"/>
    <cellStyle name="Normal 4 2 2 3 2" xfId="2842" xr:uid="{EF387682-ADE2-4853-9743-61BCAC35DDC9}"/>
    <cellStyle name="Normal 4 2 2 3 3" xfId="4364" xr:uid="{FC5C743B-11E2-4343-8C5D-5251D03F5366}"/>
    <cellStyle name="Normal 4 2 2 4" xfId="2111" xr:uid="{344D0BE1-98AD-4ECD-B406-48D601825742}"/>
    <cellStyle name="Normal 4 2 2 4 2" xfId="3405" xr:uid="{41D77BEE-5C2E-455E-BE7C-214F5F141D8C}"/>
    <cellStyle name="Normal 4 2 2 5" xfId="2623" xr:uid="{C7B3C72B-020A-41E9-B3D0-0A2984935ABF}"/>
    <cellStyle name="Normal 4 2 2 6" xfId="4361" xr:uid="{935651EB-B310-49C7-AB38-ED790EEE2D54}"/>
    <cellStyle name="Normal 4 2 2 7" xfId="1763" xr:uid="{27B1CCAC-A1D3-4A10-81E8-1C80B6E60290}"/>
    <cellStyle name="Normal 4 2 3" xfId="804" xr:uid="{44DA1297-8985-42EB-9508-12DB949A0957}"/>
    <cellStyle name="Normal 4 2 3 2" xfId="805" xr:uid="{8358CA1C-6788-482E-AA10-22104055CD20}"/>
    <cellStyle name="Normal 4 2 3 2 2" xfId="2403" xr:uid="{1F340339-02B4-471E-95C0-430452F7DAEB}"/>
    <cellStyle name="Normal 4 2 3 2 3" xfId="2908" xr:uid="{63C57C5E-01C4-42AE-A56E-D64C45C400A9}"/>
    <cellStyle name="Normal 4 2 3 2 4" xfId="4366" xr:uid="{4E8690A4-FCD5-4BD8-B68A-FBA47236A352}"/>
    <cellStyle name="Normal 4 2 3 2 5" xfId="1766" xr:uid="{0641284A-2222-4360-9689-D32821F3E2F5}"/>
    <cellStyle name="Normal 4 2 3 3" xfId="2184" xr:uid="{8A55B511-BB7E-4917-8F91-2ACE39D79B72}"/>
    <cellStyle name="Normal 4 2 3 3 2" xfId="3355" xr:uid="{A2C0068D-6C15-4038-9149-B515AA09E7F5}"/>
    <cellStyle name="Normal 4 2 3 4" xfId="2689" xr:uid="{973FC708-860D-4D26-800D-5BBE0F61E4D0}"/>
    <cellStyle name="Normal 4 2 3 5" xfId="4365" xr:uid="{053E6129-EF8A-4859-9352-559F92D87949}"/>
    <cellStyle name="Normal 4 2 3 6" xfId="1765" xr:uid="{09530B1B-EC90-4E84-9CDC-650527686660}"/>
    <cellStyle name="Normal 4 2 4" xfId="806" xr:uid="{A9FD5343-5700-4B48-B61A-BBBEDC2C4343}"/>
    <cellStyle name="Normal 4 2 4 2" xfId="2293" xr:uid="{C8338955-F8B4-4670-A717-BA75C93A20DF}"/>
    <cellStyle name="Normal 4 2 4 2 2" xfId="3537" xr:uid="{80ACD4A1-386E-4D22-B80A-883792728109}"/>
    <cellStyle name="Normal 4 2 4 3" xfId="2798" xr:uid="{A29B5C53-6E7A-440D-9A94-B17D07FC46C1}"/>
    <cellStyle name="Normal 4 2 4 4" xfId="4367" xr:uid="{4D2B287F-B6A8-4286-81C8-CBA50106849C}"/>
    <cellStyle name="Normal 4 2 4 5" xfId="1767" xr:uid="{93A94359-37BB-4C4D-9B28-27D478F0A5BA}"/>
    <cellStyle name="Normal 4 2 5" xfId="2062" xr:uid="{22EBF5CC-33D3-4130-8438-40489E8368F1}"/>
    <cellStyle name="Normal 4 2 5 2" xfId="2579" xr:uid="{F0E3771D-F1A6-40C9-8418-5243CDB3E867}"/>
    <cellStyle name="Normal 4 2 5 3" xfId="4368" xr:uid="{BF69AEBA-92DB-4967-AB54-177C3100DDF3}"/>
    <cellStyle name="Normal 4 2 6" xfId="2014" xr:uid="{ACD30058-B294-4296-97F0-5553015DCC81}"/>
    <cellStyle name="Normal 4 2 6 2" xfId="3059" xr:uid="{8EFE8463-E4AD-4CAB-8104-98D245AD8CF1}"/>
    <cellStyle name="Normal 4 2 7" xfId="2538" xr:uid="{CB4E19A0-CC04-45E7-95ED-A24A0484303B}"/>
    <cellStyle name="Normal 4 2 8" xfId="4360" xr:uid="{3CCB8B02-CFAF-44A2-BACE-2CFF47D35B50}"/>
    <cellStyle name="Normal 4 2 9" xfId="1762" xr:uid="{CDEFE69B-2EEE-4642-BBBA-6411C0426842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3 2 2 3" xfId="2466" xr:uid="{5AAED3D3-0363-4CC9-8A16-CF2DF36A5541}"/>
    <cellStyle name="Normal 4 3 2 2 4" xfId="2971" xr:uid="{485A9A5D-566A-4295-9C36-80DCBAE6F022}"/>
    <cellStyle name="Normal 4 3 2 2 5" xfId="4371" xr:uid="{87FD5F75-BCF1-4CF7-9B50-7F95E992796B}"/>
    <cellStyle name="Normal 4 3 2 3" xfId="2247" xr:uid="{96D04B82-603E-4ABF-A6E5-2FB2ABCB05D9}"/>
    <cellStyle name="Normal 4 3 2 3 2" xfId="3391" xr:uid="{203F169A-F7FA-4155-B281-B7D71A368D93}"/>
    <cellStyle name="Normal 4 3 2 4" xfId="2752" xr:uid="{A6A8401B-7E25-456C-BEF6-5BB4820A03FB}"/>
    <cellStyle name="Normal 4 3 2 5" xfId="4370" xr:uid="{AAE454F8-316B-477F-A1EE-9352C4CEC05A}"/>
    <cellStyle name="Normal 4 3 3" xfId="2356" xr:uid="{416FAB62-9E32-44E8-9C68-E7FEE6938906}"/>
    <cellStyle name="Normal 4 3 3 2" xfId="2861" xr:uid="{2F2B7F1B-1431-4AE4-BA58-1BEBE546F6BA}"/>
    <cellStyle name="Normal 4 3 3 3" xfId="4372" xr:uid="{6582C99E-83F5-4CCA-A371-2BFE6A4A3AF3}"/>
    <cellStyle name="Normal 4 3 4" xfId="2132" xr:uid="{B9FC40C8-BC65-4928-AA23-925EEE6B2BB7}"/>
    <cellStyle name="Normal 4 3 4 2" xfId="3417" xr:uid="{6EDB9BC5-F4B9-4153-A06A-FE98122EF90A}"/>
    <cellStyle name="Normal 4 3 5" xfId="2642" xr:uid="{012D1348-7A4E-47BE-90F7-E63E8E0612CA}"/>
    <cellStyle name="Normal 4 3 6" xfId="4369" xr:uid="{6B316210-17E1-4E14-9AD0-702528239DC9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4 4 2 2 2" xfId="2428" xr:uid="{1258BE43-B2C3-4AF7-A863-16389B74E189}"/>
    <cellStyle name="Normal 4 4 2 2 3" xfId="2933" xr:uid="{B3D1AD82-66E8-4A94-8C72-BA938B3500EF}"/>
    <cellStyle name="Normal 4 4 2 2 4" xfId="4375" xr:uid="{2B9454F2-D733-4886-9D9E-09CCFFC8E0AA}"/>
    <cellStyle name="Normal 4 4 2 3" xfId="2209" xr:uid="{F0BE99DE-CDF6-4304-94B8-15E06EA8AA89}"/>
    <cellStyle name="Normal 4 4 2 4" xfId="2714" xr:uid="{EA5A634C-C6C2-456F-A237-F06A55DCEB5C}"/>
    <cellStyle name="Normal 4 4 2 5" xfId="4374" xr:uid="{39984F14-03F7-4B1E-BD56-94C073CEC075}"/>
    <cellStyle name="Normal 4 4 3" xfId="2318" xr:uid="{3B9234BE-F1C5-4AA4-9A3A-93EC8D4CD3C8}"/>
    <cellStyle name="Normal 4 4 3 2" xfId="2823" xr:uid="{9734D84E-04AF-436A-9FD8-0F594EF10086}"/>
    <cellStyle name="Normal 4 4 3 3" xfId="4376" xr:uid="{066774FA-BB8E-41E4-90A1-59273B050971}"/>
    <cellStyle name="Normal 4 4 4" xfId="2089" xr:uid="{AD6779AF-3822-4DC1-ADAC-D89987013600}"/>
    <cellStyle name="Normal 4 4 4 2" xfId="3371" xr:uid="{F66B776D-654D-4227-8BB5-B415540356F0}"/>
    <cellStyle name="Normal 4 4 5" xfId="2604" xr:uid="{D032771D-186D-40D2-B001-5ECA38CD95E9}"/>
    <cellStyle name="Normal 4 4 6" xfId="4373" xr:uid="{DA2272EF-D6D9-4526-BF7E-367F654B699B}"/>
    <cellStyle name="Normal 4 5" xfId="2070" xr:uid="{26C3D9B1-355D-46F4-A7E9-41D6CCCDE33B}"/>
    <cellStyle name="Normal 4 5 2" xfId="2192" xr:uid="{FA591D3A-50B7-4930-92D2-195487580DE2}"/>
    <cellStyle name="Normal 4 5 2 2" xfId="2411" xr:uid="{91836522-20A9-448A-A51B-43E53699A5F7}"/>
    <cellStyle name="Normal 4 5 2 2 2" xfId="2916" xr:uid="{6BD18887-877E-433C-B97F-D5609E086174}"/>
    <cellStyle name="Normal 4 5 2 2 3" xfId="4379" xr:uid="{B893B579-0C23-44A8-8B52-6DAD91BE7EDD}"/>
    <cellStyle name="Normal 4 5 2 3" xfId="2697" xr:uid="{E9A847F5-D227-40C1-A5D3-5105448862B1}"/>
    <cellStyle name="Normal 4 5 2 4" xfId="4378" xr:uid="{A4E8711D-09E7-46E1-85B0-701F17E81DF0}"/>
    <cellStyle name="Normal 4 5 3" xfId="2301" xr:uid="{2BB254CE-EAC2-4B54-83F4-060C7DF1017D}"/>
    <cellStyle name="Normal 4 5 3 2" xfId="2806" xr:uid="{B303538F-9E33-439E-9D71-A342556167E1}"/>
    <cellStyle name="Normal 4 5 3 3" xfId="4380" xr:uid="{BBBE8F89-6144-4FAE-90B1-9620C2760CF3}"/>
    <cellStyle name="Normal 4 5 4" xfId="3530" xr:uid="{BB34331F-440F-41DC-8211-1A56B1DEA788}"/>
    <cellStyle name="Normal 4 5 5" xfId="2587" xr:uid="{380C3F40-FE16-4777-AF62-4F089EF9782F}"/>
    <cellStyle name="Normal 4 5 6" xfId="4377" xr:uid="{8E3E10C2-B86F-4E02-8C3A-146393463056}"/>
    <cellStyle name="Normal 4 6" xfId="2163" xr:uid="{08031F9B-96C7-4F59-800E-071E3FC1777E}"/>
    <cellStyle name="Normal 4 6 2" xfId="2382" xr:uid="{9BE6BB11-31CC-44CE-A7E2-784AF39944BB}"/>
    <cellStyle name="Normal 4 6 2 2" xfId="3568" xr:uid="{ED34D14D-4E07-476F-ABE5-1F050B04BEC3}"/>
    <cellStyle name="Normal 4 6 2 3" xfId="2887" xr:uid="{61E0781A-E655-4034-B0E5-5054BEDBBC67}"/>
    <cellStyle name="Normal 4 6 2 4" xfId="4382" xr:uid="{63FC381F-42AF-4B49-A0B7-7DF42550FF8D}"/>
    <cellStyle name="Normal 4 6 3" xfId="3308" xr:uid="{AD90174A-877D-4E49-9B61-99B56513B94E}"/>
    <cellStyle name="Normal 4 6 4" xfId="2668" xr:uid="{B1BC8FD7-DB41-4E37-B7FD-93057759C4E8}"/>
    <cellStyle name="Normal 4 6 5" xfId="4381" xr:uid="{5A00F13B-0AAD-440E-ACAF-8620D2F117ED}"/>
    <cellStyle name="Normal 4 7" xfId="2272" xr:uid="{F3084E44-8237-44D0-A5D7-BBB64BDD10C5}"/>
    <cellStyle name="Normal 4 7 2" xfId="3125" xr:uid="{E2417DA6-FDDF-42FF-9EE7-B1D1F23338D2}"/>
    <cellStyle name="Normal 4 7 3" xfId="3551" xr:uid="{8D45EC71-03FE-4382-B595-53BCBFABB455}"/>
    <cellStyle name="Normal 4 7 4" xfId="2777" xr:uid="{26A13AC9-34D4-4AE1-948D-74948E93948E}"/>
    <cellStyle name="Normal 4 7 5" xfId="4383" xr:uid="{4B0B16CA-A193-484D-9422-AC61DF77B490}"/>
    <cellStyle name="Normal 4 8" xfId="2041" xr:uid="{B99AB8A7-0E25-4D0B-A82C-F5CE700E7F3A}"/>
    <cellStyle name="Normal 4 8 2" xfId="2558" xr:uid="{AD3E834C-3A67-4015-B3DF-E7D2CE0EDA29}"/>
    <cellStyle name="Normal 4 8 3" xfId="4384" xr:uid="{1EE4E62F-3C87-43EE-9238-9E4D35684F85}"/>
    <cellStyle name="Normal 4 9" xfId="1979" xr:uid="{12AF5511-2408-47BF-A05E-425FA85FA048}"/>
    <cellStyle name="Normal 4 9 2" xfId="3137" xr:uid="{7801AFA4-0D48-4B61-87CF-B09EE9FD6002}"/>
    <cellStyle name="Normal 5" xfId="814" xr:uid="{59CA6C65-BF07-4715-8093-0D2DD85EDE28}"/>
    <cellStyle name="Normal 5 2" xfId="1996" xr:uid="{B245FDCB-A499-40B8-883A-DC310B80A7B8}"/>
    <cellStyle name="Normal 5 2 2" xfId="2022" xr:uid="{958032C7-2914-48AF-AA4C-454696F1147D}"/>
    <cellStyle name="Normal 5 2 2 2" xfId="2114" xr:uid="{8309FEB6-46E0-4811-81A1-3394C66D4A36}"/>
    <cellStyle name="Normal 5 2 2 2 2" xfId="2143" xr:uid="{E99146BB-3E18-4721-AEE7-807BE3AF13D4}"/>
    <cellStyle name="Normal 5 2 2 2 2 2" xfId="3153" xr:uid="{439BB294-B4F3-4264-8AB9-7931ACA2350C}"/>
    <cellStyle name="Normal 5 2 2 2 3" xfId="2231" xr:uid="{926A2DBB-C3CA-4A68-8C73-16C68BEDF13A}"/>
    <cellStyle name="Normal 5 2 2 2 3 2" xfId="2450" xr:uid="{B0C2F5F2-AF4B-4660-A2CA-A4992C093506}"/>
    <cellStyle name="Normal 5 2 2 2 3 2 2" xfId="2955" xr:uid="{1F0EFAC1-B628-4DB5-B290-1E78CE07AFD1}"/>
    <cellStyle name="Normal 5 2 2 2 3 2 3" xfId="4388" xr:uid="{CEC5FB3E-287C-4108-ABEC-BC666215A168}"/>
    <cellStyle name="Normal 5 2 2 2 3 3" xfId="2736" xr:uid="{00AF1C19-4341-41C3-91E9-D5A5D61D1FD8}"/>
    <cellStyle name="Normal 5 2 2 2 3 4" xfId="4387" xr:uid="{0515023C-E873-4BD1-96EE-B3E544070A12}"/>
    <cellStyle name="Normal 5 2 2 2 4" xfId="2340" xr:uid="{3F871226-5FF5-4162-B1B1-ECC66E3BFA6B}"/>
    <cellStyle name="Normal 5 2 2 2 4 2" xfId="2845" xr:uid="{651B61C6-C67E-4834-9514-95B5C28B3A32}"/>
    <cellStyle name="Normal 5 2 2 2 4 3" xfId="4389" xr:uid="{2D5F1995-79FA-4961-B6F5-392E13DE9E03}"/>
    <cellStyle name="Normal 5 2 2 2 5" xfId="2626" xr:uid="{3DEE322D-9B73-48FD-8AA9-90ED944D8023}"/>
    <cellStyle name="Normal 5 2 2 2 6" xfId="4386" xr:uid="{FC80EACF-8DF7-4C89-A04A-7BAB5D002467}"/>
    <cellStyle name="Normal 5 2 2 3" xfId="3111" xr:uid="{E480600B-1A72-45D8-87A1-AAF4BC659E91}"/>
    <cellStyle name="Normal 5 2 3" xfId="2135" xr:uid="{77B9DA9D-1DB5-48E0-A8D8-DD4AB8F99535}"/>
    <cellStyle name="Normal 5 2 3 2" xfId="2250" xr:uid="{230E517B-5D25-4B5A-AE01-93936976C708}"/>
    <cellStyle name="Normal 5 2 3 2 2" xfId="2469" xr:uid="{890444BB-C1EF-4D59-8B32-A04323E45DD1}"/>
    <cellStyle name="Normal 5 2 3 2 2 2" xfId="2974" xr:uid="{D4B32FF3-AB81-4D74-A9AB-F22E337089AC}"/>
    <cellStyle name="Normal 5 2 3 2 2 3" xfId="4392" xr:uid="{B59FB113-4692-4DCD-9696-15965353DC4A}"/>
    <cellStyle name="Normal 5 2 3 2 3" xfId="2755" xr:uid="{4666840A-1517-44CB-B906-038FC5CEB51C}"/>
    <cellStyle name="Normal 5 2 3 2 4" xfId="4391" xr:uid="{887BF90A-8BB4-4703-B8F6-0641CC89A4E9}"/>
    <cellStyle name="Normal 5 2 3 3" xfId="2359" xr:uid="{EAF36D14-57BA-47A2-BDA5-6BC37A1512A5}"/>
    <cellStyle name="Normal 5 2 3 3 2" xfId="2864" xr:uid="{915C3839-7A89-49D4-A9A5-06ED88DE998C}"/>
    <cellStyle name="Normal 5 2 3 3 3" xfId="4393" xr:uid="{BE38DB26-76AF-4EB2-9AE4-C13E9005CA4B}"/>
    <cellStyle name="Normal 5 2 3 4" xfId="3393" xr:uid="{6FF5A32F-84E2-4B9A-AF1F-ECE53A89CD18}"/>
    <cellStyle name="Normal 5 2 3 5" xfId="2645" xr:uid="{2F8C54B5-847A-46FC-A696-77E303E06F08}"/>
    <cellStyle name="Normal 5 2 3 6" xfId="4390" xr:uid="{ECAC23CE-8433-4D6F-9348-BCC368CC025A}"/>
    <cellStyle name="Normal 5 2 4" xfId="2095" xr:uid="{54B5FF65-1D7C-45F9-86CE-194AE7CD4923}"/>
    <cellStyle name="Normal 5 2 4 2" xfId="2212" xr:uid="{CBAF497E-130B-404B-A5F2-DA3AF4EAF6EF}"/>
    <cellStyle name="Normal 5 2 4 2 2" xfId="2431" xr:uid="{641572D2-F9BC-4D92-98EF-378EAC923FEA}"/>
    <cellStyle name="Normal 5 2 4 2 2 2" xfId="2936" xr:uid="{0FD8E4D9-AD11-439F-BCC4-2C8830F91CA3}"/>
    <cellStyle name="Normal 5 2 4 2 2 3" xfId="4396" xr:uid="{EF0463C8-1D2A-471E-B4E5-37ECA1A0F42A}"/>
    <cellStyle name="Normal 5 2 4 2 3" xfId="2717" xr:uid="{AF71EA3B-8358-4B6B-BB6A-63FE6ACD0EFD}"/>
    <cellStyle name="Normal 5 2 4 2 4" xfId="4395" xr:uid="{E0D156C6-0AFA-44A7-AE66-8C933DF08D01}"/>
    <cellStyle name="Normal 5 2 4 3" xfId="2321" xr:uid="{4D9F9FD4-B4D2-46A6-822F-27BDC5C4A65D}"/>
    <cellStyle name="Normal 5 2 4 3 2" xfId="2826" xr:uid="{41A62AEB-D2C5-4B5F-9845-2F1F343A2770}"/>
    <cellStyle name="Normal 5 2 4 3 3" xfId="4397" xr:uid="{1358F0F4-57E0-48CE-84E1-339E1C690CC4}"/>
    <cellStyle name="Normal 5 2 4 4" xfId="3448" xr:uid="{23C378FA-5D14-4994-B051-1066029DC33E}"/>
    <cellStyle name="Normal 5 2 4 5" xfId="2607" xr:uid="{B7F82991-E575-4BDF-A1C8-F9CD81202CC2}"/>
    <cellStyle name="Normal 5 2 4 6" xfId="4394" xr:uid="{3F09B07E-842A-443A-99C9-DAFF3843271C}"/>
    <cellStyle name="Normal 5 2 5" xfId="2166" xr:uid="{4256C91F-D9AF-4E73-8BD0-C8AA90137E39}"/>
    <cellStyle name="Normal 5 2 5 2" xfId="2385" xr:uid="{0322E35A-40C0-48FE-ADD6-13CFE013F7D8}"/>
    <cellStyle name="Normal 5 2 5 2 2" xfId="2890" xr:uid="{824A87BC-3064-403D-9770-917F06052564}"/>
    <cellStyle name="Normal 5 2 5 2 3" xfId="4399" xr:uid="{17D71408-D5C5-4F96-8AE5-A78685B21EB6}"/>
    <cellStyle name="Normal 5 2 5 3" xfId="2671" xr:uid="{1559830A-E513-4CFC-9A8A-12A090CE91FC}"/>
    <cellStyle name="Normal 5 2 5 4" xfId="4398" xr:uid="{2B8AFE43-25AB-4C31-9E4A-29E62A408FDA}"/>
    <cellStyle name="Normal 5 2 6" xfId="2275" xr:uid="{97804919-A421-40CF-8A1D-F2AFF9327494}"/>
    <cellStyle name="Normal 5 2 6 2" xfId="2780" xr:uid="{459FAF73-7BE1-490C-A04F-F656BF180374}"/>
    <cellStyle name="Normal 5 2 6 3" xfId="4400" xr:uid="{98AB8B7D-BE0E-4293-A4EA-AE67A4B96DD9}"/>
    <cellStyle name="Normal 5 2 7" xfId="2044" xr:uid="{438BE41B-F86A-43D8-895D-625D5BDC6376}"/>
    <cellStyle name="Normal 5 2 7 2" xfId="2561" xr:uid="{6CB26C06-023E-4448-B526-51E093C82A26}"/>
    <cellStyle name="Normal 5 2 7 3" xfId="4401" xr:uid="{7A50C3B8-6816-46D4-87A8-D0E0DDB5EF7F}"/>
    <cellStyle name="Normal 5 2 8" xfId="2520" xr:uid="{F64C9419-D2F9-4DCE-850F-4B76FA32CA93}"/>
    <cellStyle name="Normal 5 2 9" xfId="4385" xr:uid="{3360C641-6543-4386-AD80-746694E98479}"/>
    <cellStyle name="Normal 5 3" xfId="2017" xr:uid="{E507CFB7-CB25-49DE-A0F2-132285DF3A50}"/>
    <cellStyle name="Normal 5 3 2" xfId="2141" xr:uid="{749E6C15-4842-45E7-AB41-3D6A0CF095D1}"/>
    <cellStyle name="Normal 5 3 2 2" xfId="2256" xr:uid="{3105A15E-1570-4C9B-A905-663967EDED34}"/>
    <cellStyle name="Normal 5 3 2 2 2" xfId="2475" xr:uid="{9884FF78-88FA-40B7-A368-0126B2047FB8}"/>
    <cellStyle name="Normal 5 3 2 2 2 2" xfId="2980" xr:uid="{4CC1FA40-09C6-490C-9872-12C0A7C6A05B}"/>
    <cellStyle name="Normal 5 3 2 2 2 3" xfId="4405" xr:uid="{A9872FCA-125E-438C-893C-9D2154856D5B}"/>
    <cellStyle name="Normal 5 3 2 2 3" xfId="2761" xr:uid="{60C70252-662C-461A-8776-CEF04A370AA9}"/>
    <cellStyle name="Normal 5 3 2 2 4" xfId="4404" xr:uid="{D1AAFCF2-FA67-4AE1-96B3-C7B32A46068A}"/>
    <cellStyle name="Normal 5 3 2 3" xfId="2365" xr:uid="{E0136B56-D638-41C8-A2C8-36E67380207D}"/>
    <cellStyle name="Normal 5 3 2 3 2" xfId="2870" xr:uid="{CDA4BC0B-CE5C-470C-B4D0-A093C05315B2}"/>
    <cellStyle name="Normal 5 3 2 3 3" xfId="4406" xr:uid="{D680B4F3-7C2A-4874-A7AB-917EA949F251}"/>
    <cellStyle name="Normal 5 3 2 4" xfId="3388" xr:uid="{F5226845-FE1E-4261-9325-882556AA4CB0}"/>
    <cellStyle name="Normal 5 3 2 5" xfId="2651" xr:uid="{8E0EE8C6-2A72-4F4E-8DCD-1FC43AD2921C}"/>
    <cellStyle name="Normal 5 3 2 6" xfId="4403" xr:uid="{D5EABE7D-D904-40EF-BFF6-1253880A5B2A}"/>
    <cellStyle name="Normal 5 3 3" xfId="2187" xr:uid="{DAF35E07-5740-4DCF-AF6C-EFBAB4023791}"/>
    <cellStyle name="Normal 5 3 3 2" xfId="2406" xr:uid="{4DC3231A-483A-4008-80C3-2EC09C360744}"/>
    <cellStyle name="Normal 5 3 3 2 2" xfId="2911" xr:uid="{97F8666B-01D3-4729-99F0-0556141DF30C}"/>
    <cellStyle name="Normal 5 3 3 2 3" xfId="4408" xr:uid="{0DD6CDE4-5DD3-47F9-B092-1ADFF353637E}"/>
    <cellStyle name="Normal 5 3 3 3" xfId="2692" xr:uid="{664A5FA1-51E5-49AF-8756-F66BFDE97ABE}"/>
    <cellStyle name="Normal 5 3 3 4" xfId="4407" xr:uid="{51874C81-CE04-4EF1-A0C8-A4550E4D6802}"/>
    <cellStyle name="Normal 5 3 4" xfId="2296" xr:uid="{C1C86AB4-A58F-40CD-AA6B-901E337983C6}"/>
    <cellStyle name="Normal 5 3 4 2" xfId="2801" xr:uid="{7A0F1EE6-48D1-4049-91CD-1C28E1D17746}"/>
    <cellStyle name="Normal 5 3 4 3" xfId="4409" xr:uid="{60E31DCA-737C-4D88-816E-26763886CC42}"/>
    <cellStyle name="Normal 5 3 5" xfId="2065" xr:uid="{5AC73FBB-C0E9-4D41-B406-42B2E71D88D7}"/>
    <cellStyle name="Normal 5 3 5 2" xfId="2582" xr:uid="{0709D600-9097-4ABC-9EA6-5AF2EEDEE5C9}"/>
    <cellStyle name="Normal 5 3 5 3" xfId="4410" xr:uid="{E4B291EE-285F-4D3E-B1D9-357AD4264C3E}"/>
    <cellStyle name="Normal 5 3 6" xfId="3439" xr:uid="{1CAD019F-D234-4ACB-8CA6-F70742F1570B}"/>
    <cellStyle name="Normal 5 3 7" xfId="2541" xr:uid="{95634DC2-02F7-4DBC-824F-86260DA094B2}"/>
    <cellStyle name="Normal 5 3 8" xfId="4402" xr:uid="{43D20F62-96EF-44A4-9A5E-93491D95D10C}"/>
    <cellStyle name="Normal 5 4" xfId="1980" xr:uid="{447FD25B-600B-478B-BDA1-CCBB1D5DADDD}"/>
    <cellStyle name="Normal 5 4 2" xfId="3344" xr:uid="{4ECF81B5-00AA-45B5-A649-8E52C7E72DAC}"/>
    <cellStyle name="Normal 5 5" xfId="3527" xr:uid="{D13689F5-C9FF-4E75-A840-400B0C4104BA}"/>
    <cellStyle name="Normal 5 6" xfId="3519" xr:uid="{8702A803-348C-49C2-80B9-9251788DB4BD}"/>
    <cellStyle name="Normal 5 7" xfId="3590" xr:uid="{AF593975-87FD-40B6-87D0-18706A28A8E7}"/>
    <cellStyle name="Normal 5 8" xfId="3168" xr:uid="{F5EA9EB9-CC0F-4DD2-8C43-E30AC332F565}"/>
    <cellStyle name="Normal 6" xfId="815" xr:uid="{165B42D9-06D4-4925-989A-A82962B3770E}"/>
    <cellStyle name="Normal 6 10" xfId="3859" xr:uid="{54B1E411-4DFB-4C5C-9EB2-19E5E8F723FF}"/>
    <cellStyle name="Normal 6 11" xfId="3268" xr:uid="{3254267E-60E1-429A-83EA-B62EB3F652E4}"/>
    <cellStyle name="Normal 6 12" xfId="2522" xr:uid="{3666AE66-38F1-49F2-8CFB-47D2E8A26BAD}"/>
    <cellStyle name="Normal 6 13" xfId="4411" xr:uid="{358EE1A7-5529-4FE2-9B70-527F759E4AA3}"/>
    <cellStyle name="Normal 6 2" xfId="816" xr:uid="{9729BA65-6D6D-4F7C-8ACD-2EC108DDE1FF}"/>
    <cellStyle name="Normal 6 2 2" xfId="817" xr:uid="{2470A844-8FF8-461F-AD5D-ACF5978C1802}"/>
    <cellStyle name="Normal 6 2 2 2" xfId="2471" xr:uid="{B1D3C204-DC86-4676-B80B-B1F686A627B2}"/>
    <cellStyle name="Normal 6 2 2 2 2" xfId="3556" xr:uid="{FC8F3956-6F8E-4260-8A3E-D5B632C88893}"/>
    <cellStyle name="Normal 6 2 2 2 3" xfId="2976" xr:uid="{E981A1B6-9EB4-476C-9050-B7D83B0A2114}"/>
    <cellStyle name="Normal 6 2 2 2 4" xfId="4414" xr:uid="{AB596416-9F3F-42B2-B2F3-AF0AD8782928}"/>
    <cellStyle name="Normal 6 2 2 3" xfId="2252" xr:uid="{D44C3CC6-06F5-40F4-BFA4-D1D8DD73B3FF}"/>
    <cellStyle name="Normal 6 2 2 4" xfId="2757" xr:uid="{736B1844-CC7F-4834-94B0-85B77D49683F}"/>
    <cellStyle name="Normal 6 2 2 5" xfId="4413" xr:uid="{3F7C7A4A-D79C-47E4-AD44-E3480E75A22E}"/>
    <cellStyle name="Normal 6 2 3" xfId="818" xr:uid="{16F9FCAC-9BD7-4FB9-B411-1EA419BA9A86}"/>
    <cellStyle name="Normal 6 2 3 2" xfId="2361" xr:uid="{E4D1CA20-B460-4FA2-A5E8-7776E8EBCE7D}"/>
    <cellStyle name="Normal 6 2 3 2 2" xfId="3571" xr:uid="{72BD7921-BC12-4D94-81B6-62BE26DA3768}"/>
    <cellStyle name="Normal 6 2 3 3" xfId="2866" xr:uid="{2165E166-91A5-4AFF-9507-5F2A661484ED}"/>
    <cellStyle name="Normal 6 2 3 4" xfId="4415" xr:uid="{F62605EE-62BF-48D2-AE9D-373854FD3054}"/>
    <cellStyle name="Normal 6 2 3 5" xfId="1769" xr:uid="{26BD36D8-44E8-4A76-A59A-B6B7737DF791}"/>
    <cellStyle name="Normal 6 2 4" xfId="2137" xr:uid="{D39FFD00-7110-4B90-BB2A-19B51612B734}"/>
    <cellStyle name="Normal 6 2 5" xfId="2647" xr:uid="{D86207C6-0A5A-47F4-813C-C25E02D6E334}"/>
    <cellStyle name="Normal 6 2 6" xfId="4412" xr:uid="{926F0635-60F8-4323-9804-9093EE2B5630}"/>
    <cellStyle name="Normal 6 2 7" xfId="1768" xr:uid="{1E90B497-DED5-4F60-8F0A-43A15D877C02}"/>
    <cellStyle name="Normal 6 3" xfId="2168" xr:uid="{EBB6B6BC-0FA4-4841-9F6F-89C8E4DAB862}"/>
    <cellStyle name="Normal 6 3 2" xfId="2387" xr:uid="{49C1D4D6-A3BF-452D-B241-C3A3626CB5FC}"/>
    <cellStyle name="Normal 6 3 2 2" xfId="2892" xr:uid="{0F036A9F-56DE-4CF2-889D-40A30708DAD7}"/>
    <cellStyle name="Normal 6 3 2 3" xfId="4417" xr:uid="{C9D082E6-DFA2-4379-93C4-B352CBC669B8}"/>
    <cellStyle name="Normal 6 3 3" xfId="3289" xr:uid="{6066B7BE-31C4-4604-88E4-292D49D46D87}"/>
    <cellStyle name="Normal 6 3 4" xfId="2673" xr:uid="{BCCE1695-3F82-4AEC-9F14-4A9E669692AD}"/>
    <cellStyle name="Normal 6 3 5" xfId="4416" xr:uid="{55F75589-F972-4CCC-8332-01992E5E1E51}"/>
    <cellStyle name="Normal 6 4" xfId="2277" xr:uid="{741AE3E7-3720-430A-AFC3-E895CE8C15B3}"/>
    <cellStyle name="Normal 6 4 2" xfId="3343" xr:uid="{04E5D2CA-AE9C-4487-A2F7-70ECB82C218D}"/>
    <cellStyle name="Normal 6 4 3" xfId="2782" xr:uid="{E2FD9FD3-2FD7-4EB8-B478-CCDE2FACF875}"/>
    <cellStyle name="Normal 6 4 4" xfId="4418" xr:uid="{6820E234-A565-40C2-B690-8731453B4F2A}"/>
    <cellStyle name="Normal 6 5" xfId="2046" xr:uid="{4E44864E-05FC-453A-86D8-A6D69F25C078}"/>
    <cellStyle name="Normal 6 5 2" xfId="3420" xr:uid="{A2EA6704-2381-43D9-9D77-471C8A356DC0}"/>
    <cellStyle name="Normal 6 5 3" xfId="3499" xr:uid="{0D0494F4-CEAE-4A77-9A00-21426FF58E7E}"/>
    <cellStyle name="Normal 6 5 4" xfId="2563" xr:uid="{37AED20E-5AD5-416B-B256-1549E8B86397}"/>
    <cellStyle name="Normal 6 5 5" xfId="4419" xr:uid="{25073D03-2F9F-4F22-AD82-BDFEF3BD4C27}"/>
    <cellStyle name="Normal 6 6" xfId="1998" xr:uid="{FEB92925-11E2-4024-8E32-AD735C4C7E63}"/>
    <cellStyle name="Normal 6 6 2" xfId="3419" xr:uid="{BA712689-1636-4FCB-A2F8-AFDF0B844454}"/>
    <cellStyle name="Normal 6 6 2 2" xfId="3352" xr:uid="{FFF56C3B-D085-4972-9B17-8A69395D5D42}"/>
    <cellStyle name="Normal 6 6 2 2 2" xfId="3285" xr:uid="{C2ABEF63-0B26-4DD3-B120-8185590DB4C2}"/>
    <cellStyle name="Normal 6 6 2 2 2 2" xfId="3708" xr:uid="{72F72A07-B8D7-41C3-99F1-3BCA6A67B81C}"/>
    <cellStyle name="Normal 6 6 2 2 2 3" xfId="3862" xr:uid="{9DEC3C1E-2034-4385-B70B-02BD5DE38A57}"/>
    <cellStyle name="Normal 6 6 2 2 3" xfId="3642" xr:uid="{B0874E9B-5CF6-4FA4-8E8D-C09B543CD36E}"/>
    <cellStyle name="Normal 6 6 2 2 4" xfId="3861" xr:uid="{219DD749-B637-49E7-BDB2-5E2C7AAA3E4A}"/>
    <cellStyle name="Normal 6 6 2 3" xfId="3323" xr:uid="{42DFF3FE-D2AF-4A59-A6A7-47E63B089E56}"/>
    <cellStyle name="Normal 6 6 2 3 2" xfId="3676" xr:uid="{91688809-8A2D-46E1-BFD6-1F536595919C}"/>
    <cellStyle name="Normal 6 6 2 3 3" xfId="3863" xr:uid="{383024E9-0B48-40C7-8D24-CF958ED50F2D}"/>
    <cellStyle name="Normal 6 6 2 4" xfId="3610" xr:uid="{46836DA1-DCE8-4573-880E-351C4DEBA84C}"/>
    <cellStyle name="Normal 6 6 2 5" xfId="3860" xr:uid="{2C9BE62C-9CA1-4AFA-8ED1-CF17D44F9DB8}"/>
    <cellStyle name="Normal 6 6 3" xfId="3562" xr:uid="{8CF42059-BE29-4730-ACC7-E5B46DCBE1A9}"/>
    <cellStyle name="Normal 6 6 3 2" xfId="3449" xr:uid="{1FD27B29-62F3-4C37-889E-F8C9ED18D991}"/>
    <cellStyle name="Normal 6 6 3 2 2" xfId="3692" xr:uid="{A0457C26-3902-42C6-9097-F3E2ED55B6E5}"/>
    <cellStyle name="Normal 6 6 3 2 3" xfId="3865" xr:uid="{02873CD1-FA76-40D8-BA35-5D67388D5EE7}"/>
    <cellStyle name="Normal 6 6 3 3" xfId="3626" xr:uid="{C6A9A97A-F2D5-41D2-B43C-613DD06DCC0C}"/>
    <cellStyle name="Normal 6 6 3 4" xfId="3864" xr:uid="{74ED794C-7F0F-4275-A6DA-F1F6B52236CE}"/>
    <cellStyle name="Normal 6 6 4" xfId="3284" xr:uid="{5D008F09-3831-4E30-93D9-9F554E2952EA}"/>
    <cellStyle name="Normal 6 6 4 2" xfId="3660" xr:uid="{15D0C7B3-DAFC-4EA0-9DBC-0D1E4CFA4AEE}"/>
    <cellStyle name="Normal 6 6 4 3" xfId="3866" xr:uid="{2C6F5398-766B-4656-B14B-7A36ECB3DA74}"/>
    <cellStyle name="Normal 6 6 5" xfId="3529" xr:uid="{FB73F90F-39A0-450B-8A87-8668F30457BB}"/>
    <cellStyle name="Normal 6 6 5 2" xfId="3475" xr:uid="{E754D3E6-2D46-4904-8A11-03E8DA22F891}"/>
    <cellStyle name="Normal 6 6 5 3" xfId="3867" xr:uid="{799042CA-60F4-45D5-AB03-4CC67745A25D}"/>
    <cellStyle name="Normal 6 6 6" xfId="3389" xr:uid="{1E29EC85-9247-42CC-8BEE-7C7CF5136E58}"/>
    <cellStyle name="Normal 6 6 7" xfId="2990" xr:uid="{BCF02895-9728-4147-8141-36057858AE29}"/>
    <cellStyle name="Normal 6 7" xfId="3340" xr:uid="{9D2DAE4A-6ECF-4FEE-9FF3-0B6062F32914}"/>
    <cellStyle name="Normal 6 7 2" xfId="3649" xr:uid="{2F8AF8F6-33CC-4D0C-8B3D-4FCA8315A72D}"/>
    <cellStyle name="Normal 6 7 3" xfId="3868" xr:uid="{82936D3E-5168-401B-865A-D9C29A15A5EB}"/>
    <cellStyle name="Normal 6 8" xfId="3512" xr:uid="{26249631-B485-46F9-8790-FADC4D9BB832}"/>
    <cellStyle name="Normal 6 9" xfId="3336" xr:uid="{FFF3DDC0-6EAD-4C36-9D80-89FEBA39B60F}"/>
    <cellStyle name="Normal 63" xfId="819" xr:uid="{DC6344B4-84D0-4197-9DC3-F76847E0800F}"/>
    <cellStyle name="Normal 63 2" xfId="820" xr:uid="{D748FED0-FF16-4804-A67B-5ED2A442E56F}"/>
    <cellStyle name="Normal 63 2 2" xfId="1771" xr:uid="{92593F3D-9733-48F3-A03D-4EDCAE72699E}"/>
    <cellStyle name="Normal 63 3" xfId="1770" xr:uid="{276384A5-D1A1-48D7-B994-EB7C6360EC8A}"/>
    <cellStyle name="Normal 7" xfId="821" xr:uid="{194EA858-40D7-48A8-8B63-6120FB32CB5A}"/>
    <cellStyle name="Normal 7 2" xfId="822" xr:uid="{EC1084C4-C8D4-4DC0-B9D8-34A2905B3CA2}"/>
    <cellStyle name="Normal 7 2 2" xfId="3476" xr:uid="{4D7012EB-CD6A-47D0-A6A4-5B8BC00B0625}"/>
    <cellStyle name="Normal 7 3" xfId="823" xr:uid="{04AAF7DC-9C36-40C8-B936-F3918FE0773D}"/>
    <cellStyle name="Normal 7 3 2" xfId="824" xr:uid="{16D61482-724D-4C23-888A-FE277CE1775A}"/>
    <cellStyle name="Normal 7 3 2 2" xfId="1773" xr:uid="{459D7901-D419-4D4B-9C35-8936F6BE6DE9}"/>
    <cellStyle name="Normal 7 3 3" xfId="3321" xr:uid="{2D24C62D-9DAD-4E68-BB6A-FACDA1A11A48}"/>
    <cellStyle name="Normal 7 3 4" xfId="1772" xr:uid="{34B819A3-9485-4C31-8680-1BE94A8075D8}"/>
    <cellStyle name="Normal 7 4" xfId="2037" xr:uid="{2D1FC5EA-2164-4D71-B9C5-DE6AC22621E1}"/>
    <cellStyle name="Normal 7 4 2" xfId="3484" xr:uid="{FDDC3609-7885-4E26-A3D9-96B1F65CD6DB}"/>
    <cellStyle name="Normal 8" xfId="825" xr:uid="{BEA35215-AD9F-4BE4-8964-EF3E979D7F85}"/>
    <cellStyle name="Normal 8 10" xfId="1774" xr:uid="{E92FB191-9ECF-4F27-89CF-AD55E47BF831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2 2 2" xfId="3706" xr:uid="{54C18B89-2C9B-448F-AE08-4A920A42EDC7}"/>
    <cellStyle name="Normal 8 2 2 2 2 2 3" xfId="1779" xr:uid="{FD6DE0BE-85BE-4882-B66E-DEB1FC00A58F}"/>
    <cellStyle name="Normal 8 2 2 2 2 3" xfId="3872" xr:uid="{C9C603F3-2461-4C82-ACF5-3BC0E3B2C7C5}"/>
    <cellStyle name="Normal 8 2 2 2 2 4" xfId="3502" xr:uid="{3C63C2F6-405E-426C-99FB-E62EE57C043C}"/>
    <cellStyle name="Normal 8 2 2 2 2 5" xfId="1778" xr:uid="{F21F5841-D013-4F83-AA30-FF29CE428847}"/>
    <cellStyle name="Normal 8 2 2 2 3" xfId="831" xr:uid="{CB3DD3A2-BC75-4340-AFF7-42110BE4E319}"/>
    <cellStyle name="Normal 8 2 2 2 3 2" xfId="3640" xr:uid="{CF6ADE7D-F2CF-47FD-9845-ECDA981A99C6}"/>
    <cellStyle name="Normal 8 2 2 2 3 3" xfId="1780" xr:uid="{90BF239E-2B0E-463F-B92C-B567EB09B511}"/>
    <cellStyle name="Normal 8 2 2 2 4" xfId="3871" xr:uid="{37B5FC6E-0BC4-41C0-815D-038DC138FB5F}"/>
    <cellStyle name="Normal 8 2 2 2 5" xfId="3491" xr:uid="{F1F4F547-F625-4295-9AB0-82E7742B3E14}"/>
    <cellStyle name="Normal 8 2 2 2 6" xfId="1777" xr:uid="{AE4E915C-1DD4-4366-B76D-CBD30DE7C062}"/>
    <cellStyle name="Normal 8 2 2 3" xfId="832" xr:uid="{23F90A30-8ECF-4FED-800A-71D1D0A269DE}"/>
    <cellStyle name="Normal 8 2 2 3 2" xfId="833" xr:uid="{C54923C6-F265-4852-B75A-40660F5E93A0}"/>
    <cellStyle name="Normal 8 2 2 3 2 2" xfId="3674" xr:uid="{5E185232-E1E8-49B3-908D-141079C86D96}"/>
    <cellStyle name="Normal 8 2 2 3 2 3" xfId="1782" xr:uid="{6BB3171F-FFBB-421F-9134-C3DD1CC1585F}"/>
    <cellStyle name="Normal 8 2 2 3 3" xfId="3873" xr:uid="{2234AD07-D2C5-414A-8F0B-DD440F4594A9}"/>
    <cellStyle name="Normal 8 2 2 3 4" xfId="3368" xr:uid="{16EC955A-B68F-4B53-8427-5F17655AE36C}"/>
    <cellStyle name="Normal 8 2 2 3 5" xfId="1781" xr:uid="{A8347DD0-79D2-42C4-83C4-9EDCA20AB79A}"/>
    <cellStyle name="Normal 8 2 2 4" xfId="834" xr:uid="{F7E2C98C-9921-479D-8283-F1FDB875CD5B}"/>
    <cellStyle name="Normal 8 2 2 4 2" xfId="3608" xr:uid="{3C7C4588-F4A2-4921-9564-C639A3DACDFF}"/>
    <cellStyle name="Normal 8 2 2 4 3" xfId="1783" xr:uid="{6A6E4755-ADBE-4809-A153-6A46F0DC6F5D}"/>
    <cellStyle name="Normal 8 2 2 5" xfId="3870" xr:uid="{CB127BD7-D1ED-4F13-BE5B-CC5C2AE9C920}"/>
    <cellStyle name="Normal 8 2 2 6" xfId="3183" xr:uid="{41480DDF-7815-47C8-8FCF-96CAA670B320}"/>
    <cellStyle name="Normal 8 2 2 7" xfId="1776" xr:uid="{AEB445CB-7D90-43FB-A2AC-54A0B9A66FF5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2 2 2" xfId="3690" xr:uid="{9D0E9CF9-9BC5-42AB-B3CE-02013C7F2EAC}"/>
    <cellStyle name="Normal 8 2 3 2 2 3" xfId="1786" xr:uid="{82793A59-95D9-4FDB-9F17-14CBBBAEDF97}"/>
    <cellStyle name="Normal 8 2 3 2 3" xfId="3875" xr:uid="{25DC8E19-80A7-48FB-A528-AE2F7AB35836}"/>
    <cellStyle name="Normal 8 2 3 2 4" xfId="3424" xr:uid="{3684CF5B-C02E-4AE1-9DFF-A2F95AB0044B}"/>
    <cellStyle name="Normal 8 2 3 2 5" xfId="1785" xr:uid="{E53D536A-8407-42B5-98AB-AA73B062E6A5}"/>
    <cellStyle name="Normal 8 2 3 3" xfId="838" xr:uid="{9363D61C-780A-44D4-870F-92B7D0E9C53D}"/>
    <cellStyle name="Normal 8 2 3 3 2" xfId="3624" xr:uid="{81EAF896-4088-4827-8432-1022D8446C06}"/>
    <cellStyle name="Normal 8 2 3 3 3" xfId="1787" xr:uid="{CFFD4CD1-6716-48D2-A04C-1010A6C7319D}"/>
    <cellStyle name="Normal 8 2 3 4" xfId="3874" xr:uid="{1CD16F74-2849-493D-ABD6-A9634D0DCAA4}"/>
    <cellStyle name="Normal 8 2 3 5" xfId="3524" xr:uid="{B52BEA49-E690-438C-885B-76A65929746C}"/>
    <cellStyle name="Normal 8 2 3 6" xfId="1784" xr:uid="{FF719A50-1554-4EBB-80F1-AF424AF9D176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2 2 2" xfId="1790" xr:uid="{4F1D8201-CB22-468D-9CFE-2BEF0100B838}"/>
    <cellStyle name="Normal 8 2 4 2 3" xfId="3659" xr:uid="{D97E351E-5BE8-4A9E-BAD0-DEDA91D21938}"/>
    <cellStyle name="Normal 8 2 4 2 4" xfId="1789" xr:uid="{0F677D60-3CC6-4E97-9A33-DCE8AEA47B6B}"/>
    <cellStyle name="Normal 8 2 4 3" xfId="842" xr:uid="{3F49E3BD-F613-440C-875E-737FA83F0675}"/>
    <cellStyle name="Normal 8 2 4 3 2" xfId="3876" xr:uid="{2F2DAAFA-F5A2-4577-BF4B-DC533A001E68}"/>
    <cellStyle name="Normal 8 2 4 3 3" xfId="1791" xr:uid="{B8AE7018-B328-4785-AB17-BD0E3093B842}"/>
    <cellStyle name="Normal 8 2 4 4" xfId="3498" xr:uid="{5E9CBBD3-8B52-4116-80C3-3DFF08E59F39}"/>
    <cellStyle name="Normal 8 2 4 5" xfId="1788" xr:uid="{6F813FB3-111C-4004-9880-43CB73786825}"/>
    <cellStyle name="Normal 8 2 5" xfId="843" xr:uid="{FFF206D5-A1E3-45F4-B062-8496F179B1BC}"/>
    <cellStyle name="Normal 8 2 5 2" xfId="844" xr:uid="{78D050F1-6B95-4783-A052-70FC50A41B52}"/>
    <cellStyle name="Normal 8 2 5 2 2" xfId="1793" xr:uid="{0D9F8B73-26FE-4246-A5AF-93B710AB9702}"/>
    <cellStyle name="Normal 8 2 5 3" xfId="3369" xr:uid="{E868D5AC-EB3C-43D7-A7C6-2162625F8B88}"/>
    <cellStyle name="Normal 8 2 5 4" xfId="1792" xr:uid="{D0FBBEB1-80D4-48A6-8B1F-29D4BA214D1C}"/>
    <cellStyle name="Normal 8 2 6" xfId="845" xr:uid="{F903C11D-1575-4B2D-802B-72606F4E0F7D}"/>
    <cellStyle name="Normal 8 2 6 2" xfId="3869" xr:uid="{265AA830-B7F4-4E21-AF77-362F4C9CFBB4}"/>
    <cellStyle name="Normal 8 2 6 3" xfId="1794" xr:uid="{B79A5CD7-EEB1-4FAF-9529-560B77BFFEF4}"/>
    <cellStyle name="Normal 8 2 7" xfId="3136" xr:uid="{41AD8723-5DBC-4DF8-89AA-9D1C46239BF7}"/>
    <cellStyle name="Normal 8 2 8" xfId="2989" xr:uid="{632DDAB4-A009-4B0F-8110-16311FC5B007}"/>
    <cellStyle name="Normal 8 2 9" xfId="1775" xr:uid="{5CF87DCD-5188-4185-8FA6-35DE1F9F9BE1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2 2 2" xfId="3705" xr:uid="{D4B68BB7-EF02-4F9C-B336-1AD4013D2588}"/>
    <cellStyle name="Normal 8 3 2 2 2 3" xfId="3880" xr:uid="{14AEDEEB-FF75-42C3-9F9B-2D012CBD0B8A}"/>
    <cellStyle name="Normal 8 3 2 2 2 4" xfId="3490" xr:uid="{96EA99A3-00A4-41D1-9B49-8E1E4F538F1B}"/>
    <cellStyle name="Normal 8 3 2 2 2 5" xfId="1798" xr:uid="{11BDECF6-9D43-4D26-B692-E1E1AFE95AB2}"/>
    <cellStyle name="Normal 8 3 2 2 3" xfId="3639" xr:uid="{BBFA59E3-ED0F-49A2-9BBD-8115566DD9A2}"/>
    <cellStyle name="Normal 8 3 2 2 4" xfId="3879" xr:uid="{32198528-3958-4DF5-8EBE-E6F6E888EC56}"/>
    <cellStyle name="Normal 8 3 2 2 5" xfId="3587" xr:uid="{9796D3A7-DFF3-406E-AC8D-3856B31AC829}"/>
    <cellStyle name="Normal 8 3 2 2 6" xfId="1797" xr:uid="{95F91879-D6DE-4005-8ED6-8D57B01AD62A}"/>
    <cellStyle name="Normal 8 3 2 3" xfId="850" xr:uid="{C7115FDB-39D1-4F94-B195-E95FBE37EBCA}"/>
    <cellStyle name="Normal 8 3 2 3 2" xfId="3673" xr:uid="{D91E37EA-31F0-45D4-ACBA-E37ED2069A97}"/>
    <cellStyle name="Normal 8 3 2 3 3" xfId="3881" xr:uid="{616F587E-CA08-455A-BB26-E92EB8B2E4B7}"/>
    <cellStyle name="Normal 8 3 2 3 4" xfId="3583" xr:uid="{EBDD39D9-33BF-4D71-8958-CC081FEEFBE5}"/>
    <cellStyle name="Normal 8 3 2 3 5" xfId="1799" xr:uid="{752AC934-EE97-460C-86FF-A05FC23088BB}"/>
    <cellStyle name="Normal 8 3 2 4" xfId="3607" xr:uid="{6D1D439C-96D8-4109-B4FA-BECD94D4ADCE}"/>
    <cellStyle name="Normal 8 3 2 5" xfId="3878" xr:uid="{280258D3-BF10-4AEC-B52E-F08B7046A2E9}"/>
    <cellStyle name="Normal 8 3 2 6" xfId="3211" xr:uid="{1A5209B6-74C3-4599-9224-1263DE956020}"/>
    <cellStyle name="Normal 8 3 2 7" xfId="1796" xr:uid="{DDE63A83-E4D7-42B0-A40F-0DE108E7E53B}"/>
    <cellStyle name="Normal 8 3 3" xfId="851" xr:uid="{4B689CBF-DFBE-43BA-AB88-ACE446EE3A05}"/>
    <cellStyle name="Normal 8 3 3 2" xfId="852" xr:uid="{A07B3ABC-57B7-45DB-A2FC-2A77ECD41FB0}"/>
    <cellStyle name="Normal 8 3 3 2 2" xfId="3689" xr:uid="{66C76A54-3305-4CA3-B0BE-BE476C559943}"/>
    <cellStyle name="Normal 8 3 3 2 3" xfId="3883" xr:uid="{99C8CE45-8486-4963-A6F9-2068EBFC5104}"/>
    <cellStyle name="Normal 8 3 3 2 4" xfId="3362" xr:uid="{2003F690-2481-410E-A07B-166BC0186A7F}"/>
    <cellStyle name="Normal 8 3 3 2 5" xfId="1801" xr:uid="{DE298815-B87A-48EF-AF25-177B341754F9}"/>
    <cellStyle name="Normal 8 3 3 3" xfId="3623" xr:uid="{3EDE5D8C-1240-41B1-AF54-A8341892B7D7}"/>
    <cellStyle name="Normal 8 3 3 4" xfId="3882" xr:uid="{AB28B667-89D9-4995-A9AF-EA88898A6453}"/>
    <cellStyle name="Normal 8 3 3 5" xfId="3520" xr:uid="{4957F344-48E5-4C6A-A366-7069FA6D6EB8}"/>
    <cellStyle name="Normal 8 3 3 6" xfId="1800" xr:uid="{F4ACD704-0FD5-401B-BDC7-1967C3F5C497}"/>
    <cellStyle name="Normal 8 3 4" xfId="853" xr:uid="{8B08E994-2A8A-43E3-A4C9-7630296892E1}"/>
    <cellStyle name="Normal 8 3 4 2" xfId="3658" xr:uid="{E95D38E6-1D5C-4CC5-8393-CD12490D3278}"/>
    <cellStyle name="Normal 8 3 4 3" xfId="3884" xr:uid="{5332FF73-56DC-4E3B-961A-B39CE2D0D251}"/>
    <cellStyle name="Normal 8 3 4 4" xfId="3351" xr:uid="{D5DAFFF9-6FED-4BF6-92DF-71FC41F360AD}"/>
    <cellStyle name="Normal 8 3 4 5" xfId="1802" xr:uid="{638C97A0-5C38-49AD-97AB-D6C87342E54F}"/>
    <cellStyle name="Normal 8 3 5" xfId="3421" xr:uid="{D919725E-473D-486D-8C03-19653D010387}"/>
    <cellStyle name="Normal 8 3 6" xfId="3877" xr:uid="{E9D95162-72D3-4FAF-AF6A-B407553DA6D4}"/>
    <cellStyle name="Normal 8 3 7" xfId="3080" xr:uid="{66DB6121-822B-476D-B30B-093AEE7A26EE}"/>
    <cellStyle name="Normal 8 3 8" xfId="1795" xr:uid="{76051063-54AE-4A6E-822C-E51F79FB1A0E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2 2 2" xfId="1805" xr:uid="{CE92B5F5-D282-454F-A3E7-CB74B9ACD0B6}"/>
    <cellStyle name="Normal 8 4 2 3" xfId="3286" xr:uid="{381A8438-EC36-4383-9928-35B28C5E4EB8}"/>
    <cellStyle name="Normal 8 4 2 4" xfId="1804" xr:uid="{92AC18B7-D720-46F2-BC72-B9D761AD2A13}"/>
    <cellStyle name="Normal 8 4 3" xfId="857" xr:uid="{57AD1E69-A9BA-4EDB-B521-BDAE57DE54B0}"/>
    <cellStyle name="Normal 8 4 3 2" xfId="1806" xr:uid="{69B2F189-67F4-4815-9154-ED29BDC6B0CC}"/>
    <cellStyle name="Normal 8 4 4" xfId="2514" xr:uid="{B6537DFD-3637-449D-BCBB-0FB96B0BE836}"/>
    <cellStyle name="Normal 8 4 5" xfId="1803" xr:uid="{D80270BB-75F6-40A8-8344-78A7784FA1B7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2 2 2" xfId="1809" xr:uid="{A95FBB62-906D-4A98-A631-103A5B7ABD03}"/>
    <cellStyle name="Normal 8 5 2 3" xfId="1808" xr:uid="{41A66673-A9AD-46A5-A440-9192AEAD9FC4}"/>
    <cellStyle name="Normal 8 5 3" xfId="861" xr:uid="{2E396517-4F41-4713-A06E-423C19FB8873}"/>
    <cellStyle name="Normal 8 5 3 2" xfId="1810" xr:uid="{E79C9A0C-3075-4DAC-A357-A2AE3C619AED}"/>
    <cellStyle name="Normal 8 5 4" xfId="3328" xr:uid="{DF9D39C5-4617-456E-94CF-ABE7DC33221A}"/>
    <cellStyle name="Normal 8 5 5" xfId="1807" xr:uid="{5FAE3F7B-70FD-4DB6-9B96-B366BB488BAA}"/>
    <cellStyle name="Normal 8 6" xfId="862" xr:uid="{A4CD3C03-8DE4-40BF-B18B-C5C69CCE859D}"/>
    <cellStyle name="Normal 8 6 2" xfId="863" xr:uid="{781E36EE-7B2C-4964-89D2-245F25A06ED9}"/>
    <cellStyle name="Normal 8 6 2 2" xfId="1812" xr:uid="{BAF25652-E9AD-45D9-9667-E8A185F18E13}"/>
    <cellStyle name="Normal 8 6 3" xfId="3163" xr:uid="{F5290B6B-1C0A-4F24-A24F-4E89A735196B}"/>
    <cellStyle name="Normal 8 6 4" xfId="1811" xr:uid="{2A3D2D64-187D-42A5-9AAF-7E7D9F80D549}"/>
    <cellStyle name="Normal 8 7" xfId="864" xr:uid="{892A9AF6-9B53-4DE1-A2ED-90935B798186}"/>
    <cellStyle name="Normal 8 7 2" xfId="865" xr:uid="{3FFD61AE-20F4-4127-A7E1-774042389EF6}"/>
    <cellStyle name="Normal 8 7 2 2" xfId="1814" xr:uid="{550C08E6-BD8A-4CE8-8919-8894FE9BEAF2}"/>
    <cellStyle name="Normal 8 7 3" xfId="1813" xr:uid="{C90C3583-8A79-4696-9E60-821A8E4A9776}"/>
    <cellStyle name="Normal 8 8" xfId="866" xr:uid="{CB485510-2C3F-49BE-A4DC-7F4A4D0DDEA0}"/>
    <cellStyle name="Normal 8 8 2" xfId="1815" xr:uid="{B0EC0D74-A90C-427E-AA4E-93024187D627}"/>
    <cellStyle name="Normal 8 9" xfId="2159" xr:uid="{54124404-C1B0-426F-9CBA-9680184B8BE1}"/>
    <cellStyle name="Normal 9" xfId="867" xr:uid="{8E849101-673D-4EC7-AB6B-F577EDED87BF}"/>
    <cellStyle name="Normal 9 2" xfId="868" xr:uid="{28A2CD62-C344-4F3E-B7CB-154E456527E0}"/>
    <cellStyle name="Normal 9 2 2" xfId="2367" xr:uid="{FDE8EF75-CD27-4700-9C2C-8CF15033A23D}"/>
    <cellStyle name="Normal 9 2 2 2" xfId="3196" xr:uid="{E514EABC-3B36-404E-8570-4FE4F218B708}"/>
    <cellStyle name="Normal 9 2 3" xfId="2872" xr:uid="{CE6A2BC9-CCEC-401D-8639-C0FDA6C45B94}"/>
    <cellStyle name="Normal 9 2 4" xfId="4421" xr:uid="{7C7A95B8-4D26-46A0-BCA6-81E6EB06F929}"/>
    <cellStyle name="Normal 9 3" xfId="2146" xr:uid="{440AD85F-3940-48E6-836F-32DDAF97E68E}"/>
    <cellStyle name="Normal 9 3 2" xfId="3224" xr:uid="{8200FC8A-C9CF-4255-B2A2-3DB721ABD5F6}"/>
    <cellStyle name="Normal 9 3 3" xfId="3039" xr:uid="{6836ACEA-4FBB-4B7A-8634-48023EBC8B02}"/>
    <cellStyle name="Normal 9 3 4" xfId="2987" xr:uid="{203082B9-B51A-448D-96C5-754CADDE7317}"/>
    <cellStyle name="Normal 9 4" xfId="3091" xr:uid="{258322BA-C67C-450D-B49C-40E18480EDDD}"/>
    <cellStyle name="Normal 9 5" xfId="3555" xr:uid="{6EEA7E44-4090-45E2-B562-284E249A2CF7}"/>
    <cellStyle name="Normal 9 6" xfId="2653" xr:uid="{3C3FD948-1D3E-46AF-B9C5-23F60873DFED}"/>
    <cellStyle name="Normal 9 7" xfId="4420" xr:uid="{907B5B55-8C5D-4FF9-A8FC-A6E6639363A5}"/>
    <cellStyle name="Note 10" xfId="3148" xr:uid="{15C0855C-3C6C-4100-A697-0ACE7D713496}"/>
    <cellStyle name="Note 2" xfId="869" xr:uid="{BDB2A8AA-1826-438D-9F51-E99CEAEDCCE6}"/>
    <cellStyle name="Note 2 10" xfId="4422" xr:uid="{53429D9E-4849-40E7-B575-B3F7435CFB56}"/>
    <cellStyle name="Note 2 11" xfId="1816" xr:uid="{736B97BE-980F-4EAE-8B99-026FFD5553D1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2 2 2" xfId="1821" xr:uid="{B26AFB2F-D313-4AB7-BBB4-4BCD5C5EF232}"/>
    <cellStyle name="Note 2 2 2 2 2 3" xfId="1820" xr:uid="{24938BC8-BA81-4D14-9AB3-92762F96D5D2}"/>
    <cellStyle name="Note 2 2 2 2 3" xfId="875" xr:uid="{919545E3-65EC-4F48-8AC3-1B93A788EE1D}"/>
    <cellStyle name="Note 2 2 2 2 3 2" xfId="1822" xr:uid="{36BA3EAC-6078-4704-BDAA-86B5834A6FE1}"/>
    <cellStyle name="Note 2 2 2 2 4" xfId="1819" xr:uid="{6508E03A-8507-46D6-BF5A-C3A1B5A00BB5}"/>
    <cellStyle name="Note 2 2 2 3" xfId="876" xr:uid="{393DB9F7-CF3A-4563-9DB7-085D60A18C58}"/>
    <cellStyle name="Note 2 2 2 3 2" xfId="877" xr:uid="{D49FD25D-BCD0-4691-B748-25508EA6C9A7}"/>
    <cellStyle name="Note 2 2 2 3 2 2" xfId="1824" xr:uid="{61BE7B91-D005-49F7-BCA2-06982047C5B2}"/>
    <cellStyle name="Note 2 2 2 3 3" xfId="1823" xr:uid="{F38AB75A-02C2-43FE-886C-0D49988B066F}"/>
    <cellStyle name="Note 2 2 2 4" xfId="878" xr:uid="{4AF9580B-514D-4988-BC26-8F12D352DFCA}"/>
    <cellStyle name="Note 2 2 2 4 2" xfId="1825" xr:uid="{220E9935-086A-4A93-94EF-81EA98124FD3}"/>
    <cellStyle name="Note 2 2 2 5" xfId="3182" xr:uid="{A2AF4538-8F08-462D-9129-6673B6973060}"/>
    <cellStyle name="Note 2 2 2 6" xfId="1818" xr:uid="{87A42FF2-B7E7-410D-ADAB-6CD75769256F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2 2 2" xfId="1828" xr:uid="{54AF0C7F-1CE7-43C3-966B-7CCC5F6756BF}"/>
    <cellStyle name="Note 2 2 3 2 3" xfId="1827" xr:uid="{FA85911A-8D50-4A76-ADC8-0745CF725C6C}"/>
    <cellStyle name="Note 2 2 3 3" xfId="882" xr:uid="{B552CFA6-43F3-44DA-86B4-0BD9F53306A3}"/>
    <cellStyle name="Note 2 2 3 3 2" xfId="1829" xr:uid="{25C11873-7852-4E11-B278-D0434B050F59}"/>
    <cellStyle name="Note 2 2 3 4" xfId="3345" xr:uid="{70012451-81F2-44E1-803E-4B7B8394F05A}"/>
    <cellStyle name="Note 2 2 3 5" xfId="1826" xr:uid="{F7AC8588-1705-4783-BC64-CC2BDE471944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2 2 2" xfId="1832" xr:uid="{A040059F-6524-42E0-90B9-D8E2BEEBEA18}"/>
    <cellStyle name="Note 2 2 4 2 3" xfId="1831" xr:uid="{F05AEE07-33E4-44D8-B97B-E5FC2086E439}"/>
    <cellStyle name="Note 2 2 4 3" xfId="886" xr:uid="{4DCB835E-A155-47CE-AD77-1C9D9BF44A68}"/>
    <cellStyle name="Note 2 2 4 3 2" xfId="1833" xr:uid="{2244B95A-7DD7-49B8-9714-142551579E4B}"/>
    <cellStyle name="Note 2 2 4 4" xfId="3034" xr:uid="{253121F5-4A73-4503-BA29-44A46F433952}"/>
    <cellStyle name="Note 2 2 4 5" xfId="1830" xr:uid="{1B849701-5E47-4010-B2E9-F10FF35A3A1E}"/>
    <cellStyle name="Note 2 2 5" xfId="887" xr:uid="{3708209A-2C91-40B8-BEF7-D8FAB94AA906}"/>
    <cellStyle name="Note 2 2 5 2" xfId="888" xr:uid="{BE922DC7-077D-442A-8E83-9CA24250DFC4}"/>
    <cellStyle name="Note 2 2 5 2 2" xfId="1835" xr:uid="{D9CAE4AE-81E2-42BE-B934-0C7152912996}"/>
    <cellStyle name="Note 2 2 5 3" xfId="1834" xr:uid="{1DBC3164-2D24-4DCE-BF5F-AA9EF44F3D98}"/>
    <cellStyle name="Note 2 2 6" xfId="889" xr:uid="{5E9D2568-DC36-429A-93F2-71B84003C54E}"/>
    <cellStyle name="Note 2 2 6 2" xfId="1836" xr:uid="{EABF7FAA-9B72-4F28-B690-711F86E4EDEC}"/>
    <cellStyle name="Note 2 2 7" xfId="1982" xr:uid="{51E5FDF4-BDDF-467F-887A-19275689E998}"/>
    <cellStyle name="Note 2 2 8" xfId="4423" xr:uid="{5C446E56-4A86-4D6F-93C8-562077C61841}"/>
    <cellStyle name="Note 2 2 9" xfId="1817" xr:uid="{D120B0C3-4355-4547-8704-ABD7CCC2F49A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2 2 2" xfId="1840" xr:uid="{EC876E0E-B5E6-492B-A6E5-25831E3F1694}"/>
    <cellStyle name="Note 2 3 2 2 3" xfId="3210" xr:uid="{0625BA89-7BAD-46F7-84E6-E6E02FD567DC}"/>
    <cellStyle name="Note 2 3 2 2 4" xfId="1839" xr:uid="{5B331EAA-67D7-43C6-8315-9AA0EEF2A881}"/>
    <cellStyle name="Note 2 3 2 3" xfId="894" xr:uid="{3E7858AB-28D9-4710-88BA-4C156D02BE2F}"/>
    <cellStyle name="Note 2 3 2 3 2" xfId="1841" xr:uid="{F220E62D-57F0-4D37-AF77-5372F47EB32B}"/>
    <cellStyle name="Note 2 3 2 4" xfId="1994" xr:uid="{9CA53351-76D1-4A0F-938D-53ECC04E7FEB}"/>
    <cellStyle name="Note 2 3 2 5" xfId="4425" xr:uid="{9F2D35F7-F612-429C-A912-72AAF9D800AE}"/>
    <cellStyle name="Note 2 3 2 6" xfId="1838" xr:uid="{23EC63AA-3A39-4A01-AF09-033EC4C07695}"/>
    <cellStyle name="Note 2 3 3" xfId="895" xr:uid="{188DA8C6-DBB0-4018-B75F-4C22147059C0}"/>
    <cellStyle name="Note 2 3 3 2" xfId="896" xr:uid="{406BFC7B-2613-4A64-BBCA-1D487811A6BB}"/>
    <cellStyle name="Note 2 3 3 2 2" xfId="3430" xr:uid="{137A8114-BC90-4328-BBCA-3A9F6D7BC4D8}"/>
    <cellStyle name="Note 2 3 3 2 3" xfId="1843" xr:uid="{6BC3A80B-49FA-40A7-90E3-DB9DF732EE2B}"/>
    <cellStyle name="Note 2 3 3 3" xfId="2090" xr:uid="{2B3D5464-BDF4-4C87-9A55-FBB84BBC37D7}"/>
    <cellStyle name="Note 2 3 3 4" xfId="4426" xr:uid="{368E32DE-F7E2-4F6C-8027-76C2A4510ACA}"/>
    <cellStyle name="Note 2 3 3 5" xfId="1842" xr:uid="{ECCAB4F2-9ABD-4C65-AAA8-4394F87F8552}"/>
    <cellStyle name="Note 2 3 4" xfId="897" xr:uid="{D8CFF3EF-3599-4591-8F44-00709719D6C0}"/>
    <cellStyle name="Note 2 3 4 2" xfId="3056" xr:uid="{973DBF9C-6AB0-434C-8CC3-28C8132AB6A2}"/>
    <cellStyle name="Note 2 3 4 3" xfId="1844" xr:uid="{0C0992B0-E523-4215-8AFD-E02FC8C90ABE}"/>
    <cellStyle name="Note 2 3 5" xfId="1983" xr:uid="{256B0C75-7BCF-4A6C-8474-2D269C2FB88B}"/>
    <cellStyle name="Note 2 3 6" xfId="4424" xr:uid="{CC67A51F-3578-4050-94CD-EB694A904648}"/>
    <cellStyle name="Note 2 3 7" xfId="1837" xr:uid="{ADCF9E54-447C-42E5-AAFA-0139126F3D7F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2 2 2" xfId="3702" xr:uid="{F906CCEC-A3CB-4B68-8E3D-56DFD801769F}"/>
    <cellStyle name="Note 2 4 2 2 3" xfId="3887" xr:uid="{B7D94C23-2D47-4637-94D5-99DABB6E4426}"/>
    <cellStyle name="Note 2 4 2 2 4" xfId="3459" xr:uid="{7B470674-64B0-4F7B-8361-FDB4F06C9E58}"/>
    <cellStyle name="Note 2 4 2 2 5" xfId="1847" xr:uid="{A904F700-875B-4AC8-9B8C-E992B1ADD335}"/>
    <cellStyle name="Note 2 4 2 3" xfId="3636" xr:uid="{6281B075-C831-4514-A335-A78C93F3346F}"/>
    <cellStyle name="Note 2 4 2 4" xfId="3886" xr:uid="{4E43F89C-FDA9-4270-AC84-7789E7A7A4C2}"/>
    <cellStyle name="Note 2 4 2 5" xfId="3446" xr:uid="{463D25C5-FF8F-4817-8D4E-E6607F54250E}"/>
    <cellStyle name="Note 2 4 2 6" xfId="1846" xr:uid="{4FCA8A4F-5D3F-41C9-9BA3-6018354F716E}"/>
    <cellStyle name="Note 2 4 3" xfId="901" xr:uid="{BC663BF7-10D9-41A7-9F59-6332BB223500}"/>
    <cellStyle name="Note 2 4 3 2" xfId="3670" xr:uid="{3A921B64-814E-47B8-8678-F1A7349FBF4E}"/>
    <cellStyle name="Note 2 4 3 3" xfId="3888" xr:uid="{DF80219B-CD45-498F-A1FD-1F1A975F8E5D}"/>
    <cellStyle name="Note 2 4 3 4" xfId="3575" xr:uid="{4525236F-4BAB-4DE9-BED9-923123D14464}"/>
    <cellStyle name="Note 2 4 3 5" xfId="1848" xr:uid="{988E02B1-F860-4BA3-9B7E-7963FEB084C6}"/>
    <cellStyle name="Note 2 4 4" xfId="2023" xr:uid="{5341E529-1C99-48EE-A313-064BEE134719}"/>
    <cellStyle name="Note 2 4 4 2" xfId="3604" xr:uid="{4EC361C7-0E9A-4923-8A37-54405EA196D4}"/>
    <cellStyle name="Note 2 4 4 3" xfId="3889" xr:uid="{8496C3EF-82DF-4768-AF4F-60D85F65FC2E}"/>
    <cellStyle name="Note 2 4 4 4" xfId="3567" xr:uid="{52455E63-F50F-4FA0-99B2-C7C2006FFDD8}"/>
    <cellStyle name="Note 2 4 5" xfId="3557" xr:uid="{3DEC6EB1-E04A-43FF-A0A6-23803DBC9723}"/>
    <cellStyle name="Note 2 4 6" xfId="3070" xr:uid="{3D6687AE-8675-44D3-90B7-400CC9148C41}"/>
    <cellStyle name="Note 2 4 7" xfId="4427" xr:uid="{B891377B-F83D-415D-9DBD-DF75D87E3F10}"/>
    <cellStyle name="Note 2 4 8" xfId="1845" xr:uid="{9F40A6DA-769F-4543-BEF9-486DA41FBFEE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2 2 2" xfId="3686" xr:uid="{CA6ED160-2123-4BE4-834E-B7D4C720279B}"/>
    <cellStyle name="Note 2 5 2 2 3" xfId="1851" xr:uid="{12976EF9-4B2D-4196-B48D-0315DD3F2E66}"/>
    <cellStyle name="Note 2 5 2 3" xfId="3891" xr:uid="{46F8F3E3-02BC-4DA3-B98D-2F9906C85257}"/>
    <cellStyle name="Note 2 5 2 4" xfId="3326" xr:uid="{D7A99B99-89DC-46DB-A1EA-A6419904C5DA}"/>
    <cellStyle name="Note 2 5 2 5" xfId="1850" xr:uid="{7E0101E3-0C24-4771-934E-B4C94B988A43}"/>
    <cellStyle name="Note 2 5 3" xfId="905" xr:uid="{BAF45EBD-260E-4109-9353-BDEA482974D9}"/>
    <cellStyle name="Note 2 5 3 2" xfId="3620" xr:uid="{2DFAE7AE-1840-4C19-8D79-9976D8EBEA97}"/>
    <cellStyle name="Note 2 5 3 3" xfId="1852" xr:uid="{F7567440-A18C-4E76-BDD3-98FEC54FCAA9}"/>
    <cellStyle name="Note 2 5 4" xfId="3890" xr:uid="{7C755A8A-677B-487A-884E-BC858A82B349}"/>
    <cellStyle name="Note 2 5 5" xfId="3573" xr:uid="{8B7E3F24-03E0-436E-A912-56BE99ADF7C8}"/>
    <cellStyle name="Note 2 5 6" xfId="1849" xr:uid="{B94F4865-E92B-4ABF-9A11-B9B3DE5B4583}"/>
    <cellStyle name="Note 2 6" xfId="906" xr:uid="{5A3BCC3D-4628-4013-84F0-74EAC1C9A5EE}"/>
    <cellStyle name="Note 2 6 2" xfId="907" xr:uid="{840BA6C1-C1DC-4A40-9BA9-05E3EAAFEAA6}"/>
    <cellStyle name="Note 2 6 2 2" xfId="3655" xr:uid="{A0C08106-0D8C-4028-B352-94BB51E00A31}"/>
    <cellStyle name="Note 2 6 2 3" xfId="1854" xr:uid="{AE423EBB-4E40-437A-8E9E-CFA2BC342635}"/>
    <cellStyle name="Note 2 6 3" xfId="3892" xr:uid="{C28634BA-A001-4EAB-B0FF-D3D1F8EDB4A9}"/>
    <cellStyle name="Note 2 6 4" xfId="3276" xr:uid="{8E044DA1-BE34-4BCB-BAA3-09DFAC2695EC}"/>
    <cellStyle name="Note 2 6 5" xfId="1853" xr:uid="{B81EB396-8710-46EC-B6D3-FEDB994DC5F6}"/>
    <cellStyle name="Note 2 7" xfId="908" xr:uid="{5AAFD2B6-AFCB-4802-A166-59449A6AD2B2}"/>
    <cellStyle name="Note 2 7 2" xfId="909" xr:uid="{A22397D3-C0D9-4B81-9AFA-4C6F0CCD4096}"/>
    <cellStyle name="Note 2 7 2 2" xfId="1856" xr:uid="{DAE555FB-F480-4D4D-8F97-D2B08E3998A7}"/>
    <cellStyle name="Note 2 7 3" xfId="3350" xr:uid="{2C0C4D0F-5072-486D-BF19-7A9C943B5655}"/>
    <cellStyle name="Note 2 7 4" xfId="1855" xr:uid="{1D137583-BA18-4D3A-B08D-0F256009D910}"/>
    <cellStyle name="Note 2 8" xfId="910" xr:uid="{C8CC048F-1638-4F30-81E9-7E910AFD9519}"/>
    <cellStyle name="Note 2 8 2" xfId="3885" xr:uid="{8BF2CB0C-2805-4E08-8FD9-A5866BD3D1CB}"/>
    <cellStyle name="Note 2 8 3" xfId="1857" xr:uid="{A0294DBC-B1AD-4053-A54D-9765DEED01DC}"/>
    <cellStyle name="Note 2 9" xfId="1981" xr:uid="{AC0BFBED-BE87-4C61-BD26-97AA097D0D13}"/>
    <cellStyle name="Note 2 9 2" xfId="3088" xr:uid="{21B72519-BC0B-4D67-B33E-9C9B4AA75944}"/>
    <cellStyle name="Note 3" xfId="911" xr:uid="{75661B9E-CA2A-45C1-95B0-7C8049037CB8}"/>
    <cellStyle name="Note 3 10" xfId="2518" xr:uid="{3D41E248-CA13-4FE8-BEFE-FAC74CC04647}"/>
    <cellStyle name="Note 3 11" xfId="4428" xr:uid="{0CA569A1-30DD-4709-A088-6F99C77A4A8D}"/>
    <cellStyle name="Note 3 12" xfId="1858" xr:uid="{216C1768-B207-4109-96BA-61DBF340EE96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2 2 2" xfId="2448" xr:uid="{697E0007-6F4C-414E-98EE-63FAC9D88F1E}"/>
    <cellStyle name="Note 3 2 2 2 2 3" xfId="2953" xr:uid="{5BD23894-31CB-4618-868F-75F1F723B583}"/>
    <cellStyle name="Note 3 2 2 2 2 4" xfId="4432" xr:uid="{383348EB-E189-4AFC-B558-2DC502847035}"/>
    <cellStyle name="Note 3 2 2 2 2 5" xfId="1862" xr:uid="{10F21415-C85F-464C-A7BA-165777BF697C}"/>
    <cellStyle name="Note 3 2 2 2 3" xfId="2229" xr:uid="{063C62D5-A458-4F43-8996-829501E6958C}"/>
    <cellStyle name="Note 3 2 2 2 4" xfId="2734" xr:uid="{37CDFAB6-0E9F-42F5-9E0F-199E2F3F0393}"/>
    <cellStyle name="Note 3 2 2 2 5" xfId="4431" xr:uid="{6BD944AA-9857-4960-A08A-8D1C8BDCA6F6}"/>
    <cellStyle name="Note 3 2 2 2 6" xfId="1861" xr:uid="{B714484B-0923-462D-A31A-FBD3E6281E43}"/>
    <cellStyle name="Note 3 2 2 3" xfId="916" xr:uid="{657EB32C-E21A-46E3-8589-D878828E318A}"/>
    <cellStyle name="Note 3 2 2 3 2" xfId="2338" xr:uid="{CEC2F4A6-391A-4010-83DA-1703436F6D48}"/>
    <cellStyle name="Note 3 2 2 3 3" xfId="2843" xr:uid="{DFA6E192-99EF-4244-98F7-13ABC9B2DBA3}"/>
    <cellStyle name="Note 3 2 2 3 4" xfId="4433" xr:uid="{FDAE49D0-D2A4-4CC0-98F5-FE620C239CCF}"/>
    <cellStyle name="Note 3 2 2 3 5" xfId="1863" xr:uid="{E5EDB568-3CCF-4EBF-9D8A-E5F8C463D951}"/>
    <cellStyle name="Note 3 2 2 4" xfId="2112" xr:uid="{4EB0B225-EDFB-429F-AFC1-B32A5821A3D1}"/>
    <cellStyle name="Note 3 2 2 5" xfId="2624" xr:uid="{9652AE06-C5F8-4073-8778-B769590FE064}"/>
    <cellStyle name="Note 3 2 2 6" xfId="4430" xr:uid="{BE884EEA-CF5D-41A2-ADF4-7C9B0F60355E}"/>
    <cellStyle name="Note 3 2 2 7" xfId="1860" xr:uid="{4607C96B-19B6-4EB9-A5F6-509DBC4CCC0F}"/>
    <cellStyle name="Note 3 2 3" xfId="917" xr:uid="{F5F9F53B-886E-42C1-A22B-900828C07451}"/>
    <cellStyle name="Note 3 2 3 2" xfId="918" xr:uid="{F3891725-F931-4269-B8E5-F7C457DFAE8B}"/>
    <cellStyle name="Note 3 2 3 2 2" xfId="2404" xr:uid="{4D1F0BB8-4025-4060-B821-3EEF07383ED1}"/>
    <cellStyle name="Note 3 2 3 2 3" xfId="2909" xr:uid="{68B8A75D-9CA8-4E98-8C44-C76C21A3C2EE}"/>
    <cellStyle name="Note 3 2 3 2 4" xfId="4435" xr:uid="{D62D8F37-E962-4A92-9D0B-C001B47C3F31}"/>
    <cellStyle name="Note 3 2 3 2 5" xfId="1865" xr:uid="{64FE6F94-DAA5-4E14-BFFF-E7B2837DA654}"/>
    <cellStyle name="Note 3 2 3 3" xfId="2185" xr:uid="{459BC5D8-D413-42CC-B06C-54CED2F20437}"/>
    <cellStyle name="Note 3 2 3 4" xfId="2690" xr:uid="{294BBDE5-51AB-4882-8186-F9332CB987E4}"/>
    <cellStyle name="Note 3 2 3 5" xfId="4434" xr:uid="{30BDB5AA-3235-4C75-B7D0-409D5D28494B}"/>
    <cellStyle name="Note 3 2 3 6" xfId="1864" xr:uid="{08119DB2-1C5C-4E9F-AA6E-DD745A33F993}"/>
    <cellStyle name="Note 3 2 4" xfId="919" xr:uid="{0B705015-8B28-4020-A771-98DDBFBB7424}"/>
    <cellStyle name="Note 3 2 4 2" xfId="2294" xr:uid="{98421413-4383-417C-9010-58B6F5E22AF1}"/>
    <cellStyle name="Note 3 2 4 3" xfId="2799" xr:uid="{7C5C918D-B3E7-4198-BA11-0315A95BC88D}"/>
    <cellStyle name="Note 3 2 4 4" xfId="4436" xr:uid="{D440FBB8-408E-459D-A62D-DC8BC8393133}"/>
    <cellStyle name="Note 3 2 4 5" xfId="1866" xr:uid="{A7FA87B1-ED3A-419B-AE2D-39FF7EBFEAC9}"/>
    <cellStyle name="Note 3 2 5" xfId="2063" xr:uid="{A9C99FE7-670D-4381-AFFF-0CFA33F74364}"/>
    <cellStyle name="Note 3 2 5 2" xfId="2580" xr:uid="{13860BF0-27DE-4FA6-A29F-34EB2CC15DAD}"/>
    <cellStyle name="Note 3 2 5 3" xfId="4437" xr:uid="{076DB145-2799-4BF0-BEB1-6CB0BBD57EB2}"/>
    <cellStyle name="Note 3 2 6" xfId="2015" xr:uid="{8E124CC6-0A9F-4948-BFF9-7A1210FFBB4F}"/>
    <cellStyle name="Note 3 2 7" xfId="2539" xr:uid="{0EE57EA1-BE15-43E7-99AC-FD82A0B60F3C}"/>
    <cellStyle name="Note 3 2 8" xfId="4429" xr:uid="{84BE8FB2-5A66-4525-9E50-10801306F95C}"/>
    <cellStyle name="Note 3 2 9" xfId="1859" xr:uid="{88777168-CA20-48F7-B18C-10045E1106EB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2 2 2" xfId="2467" xr:uid="{4D409636-206D-450D-914B-8CD1EFDEFA5C}"/>
    <cellStyle name="Note 3 3 2 2 3" xfId="2972" xr:uid="{D7A4618D-4733-4F40-9016-ACA61E6F9AB6}"/>
    <cellStyle name="Note 3 3 2 2 4" xfId="4440" xr:uid="{03683A90-F18F-45F2-B526-004723FB16B1}"/>
    <cellStyle name="Note 3 3 2 2 5" xfId="1869" xr:uid="{E32CFB51-6875-4DE9-9587-B80D6E784909}"/>
    <cellStyle name="Note 3 3 2 3" xfId="2248" xr:uid="{C15823A0-1856-4438-BE64-5AC521616B23}"/>
    <cellStyle name="Note 3 3 2 4" xfId="2753" xr:uid="{7986904C-48F8-4CA5-B4EB-1353CDAA2386}"/>
    <cellStyle name="Note 3 3 2 5" xfId="4439" xr:uid="{46CBC8F3-3C9D-4576-BF06-9838349019CC}"/>
    <cellStyle name="Note 3 3 2 6" xfId="1868" xr:uid="{296577EE-C6BD-4959-BB05-A9E87E12407E}"/>
    <cellStyle name="Note 3 3 3" xfId="923" xr:uid="{20953DB4-CDD7-4676-9543-A59631EC331F}"/>
    <cellStyle name="Note 3 3 3 2" xfId="2357" xr:uid="{4CD95DA8-BB2C-41D5-8EC2-468E84B29EE8}"/>
    <cellStyle name="Note 3 3 3 3" xfId="2862" xr:uid="{57D3B03C-971C-4DBB-89A3-D9ACE9AE9922}"/>
    <cellStyle name="Note 3 3 3 4" xfId="4441" xr:uid="{52DCAF87-F2BD-44A9-9DF6-6D2A2DF6CE8D}"/>
    <cellStyle name="Note 3 3 3 5" xfId="1870" xr:uid="{B13B3DBC-02C7-4EF3-BE41-4EF08B2CD38E}"/>
    <cellStyle name="Note 3 3 4" xfId="2133" xr:uid="{612BB43B-A37E-44B6-BBF5-E823D07EC9CD}"/>
    <cellStyle name="Note 3 3 5" xfId="2643" xr:uid="{C55538B8-1EDD-4B47-B5F4-5957D4F7BC5B}"/>
    <cellStyle name="Note 3 3 6" xfId="4438" xr:uid="{614AA5BC-1E91-46CF-82B9-24FE8C3BB846}"/>
    <cellStyle name="Note 3 3 7" xfId="1867" xr:uid="{FBA367BC-7263-4C28-A8D8-6D198016183E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2 2 2" xfId="2429" xr:uid="{930717F3-0528-4D6A-8C91-52B4D4CC79EA}"/>
    <cellStyle name="Note 3 4 2 2 3" xfId="2934" xr:uid="{43223D9E-5A7D-4F5B-8B3B-3DC9FC96EE3A}"/>
    <cellStyle name="Note 3 4 2 2 4" xfId="4444" xr:uid="{533C6C83-51AF-4582-84D3-212EA065CEE4}"/>
    <cellStyle name="Note 3 4 2 2 5" xfId="1873" xr:uid="{148B18C3-071D-42FC-B042-66E44B308D72}"/>
    <cellStyle name="Note 3 4 2 3" xfId="2210" xr:uid="{8F53F37B-79EE-4E9D-A4B3-5143AC24FDA5}"/>
    <cellStyle name="Note 3 4 2 4" xfId="2715" xr:uid="{0B363FDC-D3ED-43A1-8515-2668942440E9}"/>
    <cellStyle name="Note 3 4 2 5" xfId="4443" xr:uid="{5F28FBFE-CF9C-4107-B1F8-9728E0A6D967}"/>
    <cellStyle name="Note 3 4 2 6" xfId="1872" xr:uid="{A0A56089-E7DF-4299-B688-6F046B9CDE68}"/>
    <cellStyle name="Note 3 4 3" xfId="927" xr:uid="{7F5DA593-287C-4F6B-9F14-7C5780EEBB4B}"/>
    <cellStyle name="Note 3 4 3 2" xfId="2319" xr:uid="{3198FEB1-BFA0-4FF5-8977-3123EF350728}"/>
    <cellStyle name="Note 3 4 3 3" xfId="2824" xr:uid="{08F6EC30-F609-4F81-BC06-C58D6E5CB9A1}"/>
    <cellStyle name="Note 3 4 3 4" xfId="4445" xr:uid="{F2F53EC3-5620-4023-9143-431E2B57CB0D}"/>
    <cellStyle name="Note 3 4 3 5" xfId="1874" xr:uid="{B1E70C78-4BBC-491E-9D2D-181F165093EF}"/>
    <cellStyle name="Note 3 4 4" xfId="2091" xr:uid="{9D58599D-A0F1-4D8B-B002-2AF0ED892FE3}"/>
    <cellStyle name="Note 3 4 5" xfId="2605" xr:uid="{57E12D2F-BD20-48A6-9C40-F3DF1EC63663}"/>
    <cellStyle name="Note 3 4 6" xfId="4442" xr:uid="{DB8EAE0A-CADC-4972-9EFB-50074AA05453}"/>
    <cellStyle name="Note 3 4 7" xfId="1871" xr:uid="{9274CD1E-A1A0-470D-8B92-53EF68DF6D90}"/>
    <cellStyle name="Note 3 5" xfId="928" xr:uid="{00BCF5A9-1512-476F-A7F4-FAACF458D0C4}"/>
    <cellStyle name="Note 3 5 2" xfId="929" xr:uid="{E2AF3520-2402-4583-BEAB-14EFF913BD7B}"/>
    <cellStyle name="Note 3 5 2 2" xfId="2412" xr:uid="{099F23B6-6089-4766-B3A4-48FA46025BC7}"/>
    <cellStyle name="Note 3 5 2 2 2" xfId="2917" xr:uid="{182860D7-FE1A-433F-8F42-BCAFB9C10BB0}"/>
    <cellStyle name="Note 3 5 2 2 3" xfId="4448" xr:uid="{AB3F824A-1116-4A7B-860A-DA37ED0C4A2E}"/>
    <cellStyle name="Note 3 5 2 3" xfId="2193" xr:uid="{9A284199-EA7A-407D-B54D-E434E44B69AE}"/>
    <cellStyle name="Note 3 5 2 4" xfId="2698" xr:uid="{95000969-67C1-44EF-A8BE-F956260CE12D}"/>
    <cellStyle name="Note 3 5 2 5" xfId="4447" xr:uid="{43460A4B-6310-49CE-B8FF-7343DE39B771}"/>
    <cellStyle name="Note 3 5 2 6" xfId="1876" xr:uid="{1CBC772A-85E3-4057-A015-0E9E45B84412}"/>
    <cellStyle name="Note 3 5 3" xfId="2302" xr:uid="{8CA75DAD-C7D0-48FC-B217-9E4CDA30CB87}"/>
    <cellStyle name="Note 3 5 3 2" xfId="2807" xr:uid="{E7A280E5-35F5-47EA-8311-ECDA70A82768}"/>
    <cellStyle name="Note 3 5 3 3" xfId="4449" xr:uid="{C9348BC6-504D-4127-87F6-EAE6C1F46440}"/>
    <cellStyle name="Note 3 5 4" xfId="2071" xr:uid="{C03A58C1-FA6A-4EF5-91B9-199EE21B9C02}"/>
    <cellStyle name="Note 3 5 4 2" xfId="3274" xr:uid="{D9C97683-5BA7-40A2-8530-C5848A44C105}"/>
    <cellStyle name="Note 3 5 5" xfId="2588" xr:uid="{6E3949B1-FD40-4608-9907-E1BA5D2DCCE3}"/>
    <cellStyle name="Note 3 5 6" xfId="4446" xr:uid="{701C6166-80C1-47F1-989D-6F1F1531375C}"/>
    <cellStyle name="Note 3 5 7" xfId="1875" xr:uid="{3590D8FA-9BC0-4A5E-8319-6515BC331205}"/>
    <cellStyle name="Note 3 6" xfId="930" xr:uid="{21CA46A6-A373-4FB6-AE06-111344F58D6F}"/>
    <cellStyle name="Note 3 6 2" xfId="931" xr:uid="{BB19B245-0260-40E1-8EC9-F30856C31337}"/>
    <cellStyle name="Note 3 6 2 2" xfId="2383" xr:uid="{8036FFED-7A15-4366-AB10-95AC8A56D188}"/>
    <cellStyle name="Note 3 6 2 3" xfId="2888" xr:uid="{56252A66-F79F-4FE5-9017-A5471FE8CB4C}"/>
    <cellStyle name="Note 3 6 2 4" xfId="4451" xr:uid="{BEBBD515-2E29-44FB-AD74-46D63CE8CAFD}"/>
    <cellStyle name="Note 3 6 2 5" xfId="1878" xr:uid="{9A400876-ED46-4132-A205-3799A05DC4DE}"/>
    <cellStyle name="Note 3 6 3" xfId="2164" xr:uid="{2AFDBC31-B602-4D7E-9346-94EA956DFD42}"/>
    <cellStyle name="Note 3 6 4" xfId="2669" xr:uid="{E0482E19-AC31-4072-8A88-AC3B3D2F310E}"/>
    <cellStyle name="Note 3 6 5" xfId="4450" xr:uid="{C1E2298B-8692-45FB-A3C3-A0A0A43B991C}"/>
    <cellStyle name="Note 3 6 6" xfId="1877" xr:uid="{DD471CC7-48AF-4A75-8D5F-29663A457419}"/>
    <cellStyle name="Note 3 7" xfId="932" xr:uid="{6FEACBC8-512A-4C29-B654-7762CD2B125C}"/>
    <cellStyle name="Note 3 7 2" xfId="2273" xr:uid="{D3434A5C-FEB5-4358-9059-88B4B6C834AD}"/>
    <cellStyle name="Note 3 7 2 2" xfId="3126" xr:uid="{6654E37E-DB12-43B4-8E2A-B2B94C7F8B2A}"/>
    <cellStyle name="Note 3 7 3" xfId="2778" xr:uid="{A8B222C5-3D60-4B1C-B6E5-ADB33039A8BC}"/>
    <cellStyle name="Note 3 7 4" xfId="4452" xr:uid="{20C61215-2AFE-4E00-A88C-989A7F60A56B}"/>
    <cellStyle name="Note 3 7 5" xfId="1879" xr:uid="{67B86A4A-10B8-46D7-93EC-D5BDFCECEBEA}"/>
    <cellStyle name="Note 3 8" xfId="2042" xr:uid="{1AB58335-DE4E-4BB6-A136-E1BE71E1DBD1}"/>
    <cellStyle name="Note 3 8 2" xfId="2559" xr:uid="{F06265D8-05F0-4C1B-9F74-610CDFC0A877}"/>
    <cellStyle name="Note 3 8 3" xfId="4453" xr:uid="{02160C96-D7CB-42EF-9301-D00728694078}"/>
    <cellStyle name="Note 3 9" xfId="1984" xr:uid="{F3B5BB2B-964F-471F-A996-8A2684DF98E1}"/>
    <cellStyle name="Note 4" xfId="933" xr:uid="{EB39D399-7DD2-4B1C-A397-4F5C1E8CE8F4}"/>
    <cellStyle name="Note 4 2" xfId="934" xr:uid="{02BAF64F-E777-4E2B-BF6D-CC329474574E}"/>
    <cellStyle name="Note 4 2 2" xfId="2254" xr:uid="{5C46ED36-02E6-49C6-8B72-3DF321C4C0F1}"/>
    <cellStyle name="Note 4 2 2 2" xfId="2473" xr:uid="{3CDADAA1-3C20-4D77-B854-20D1A116B3DD}"/>
    <cellStyle name="Note 4 2 2 2 2" xfId="2978" xr:uid="{1E88A8AF-6B24-4396-AA43-25CCF2327FA8}"/>
    <cellStyle name="Note 4 2 2 2 3" xfId="4457" xr:uid="{AD3E05E5-8283-487A-A307-FC225FA7C203}"/>
    <cellStyle name="Note 4 2 2 3" xfId="2759" xr:uid="{EF936236-0B9E-4AD5-A509-9A460C57BA55}"/>
    <cellStyle name="Note 4 2 2 4" xfId="4456" xr:uid="{D1D90CB2-3671-4C90-B898-AAF6B181BFD8}"/>
    <cellStyle name="Note 4 2 3" xfId="2363" xr:uid="{EB6AD370-6EB8-4A19-B51D-0008CA7279BB}"/>
    <cellStyle name="Note 4 2 3 2" xfId="2868" xr:uid="{CBD668C1-DD8B-4AA4-8227-9E494911CB58}"/>
    <cellStyle name="Note 4 2 3 3" xfId="4458" xr:uid="{6BD48B8A-C842-4CE8-824B-35648CD35A15}"/>
    <cellStyle name="Note 4 2 4" xfId="2139" xr:uid="{4294173D-7BBD-4B4D-A188-44CD9027DD77}"/>
    <cellStyle name="Note 4 2 5" xfId="2649" xr:uid="{5769A62D-1DE4-4E6B-AAE6-2772E15210D9}"/>
    <cellStyle name="Note 4 2 6" xfId="4455" xr:uid="{95326BA5-A0CD-4DCF-A43E-0D772E5B1E27}"/>
    <cellStyle name="Note 4 2 7" xfId="1881" xr:uid="{65FDA869-8919-4522-A466-5E0CA077E0AA}"/>
    <cellStyle name="Note 4 3" xfId="2170" xr:uid="{2EFD8844-4083-41D6-A37B-0000565BA5B9}"/>
    <cellStyle name="Note 4 3 2" xfId="2389" xr:uid="{07E0778F-380F-424A-8DC2-98C48894D5D1}"/>
    <cellStyle name="Note 4 3 2 2" xfId="2894" xr:uid="{C4E5D6AA-31D7-4BAE-9B4A-58E4DA5A5CC4}"/>
    <cellStyle name="Note 4 3 2 3" xfId="4460" xr:uid="{022C7171-7B70-4400-82E9-1EDEB820EAAE}"/>
    <cellStyle name="Note 4 3 3" xfId="2675" xr:uid="{8712F6B5-C998-4021-88A4-D10BCA15C97C}"/>
    <cellStyle name="Note 4 3 4" xfId="4459" xr:uid="{E5EA3F53-2C4A-4DAF-ABB4-06752421B78A}"/>
    <cellStyle name="Note 4 4" xfId="2279" xr:uid="{0257E8BB-D912-4CD0-808A-91F64E83618E}"/>
    <cellStyle name="Note 4 4 2" xfId="2784" xr:uid="{4FC69819-893E-4B2D-9482-F1DC658D1C75}"/>
    <cellStyle name="Note 4 4 3" xfId="4461" xr:uid="{38DF2C23-81D9-4DA3-A460-4B658DB5BB2E}"/>
    <cellStyle name="Note 4 5" xfId="2048" xr:uid="{73A1ACCE-93F7-454D-9BBE-E7C7B3DB3E7D}"/>
    <cellStyle name="Note 4 5 2" xfId="2565" xr:uid="{FD0DE51D-1B18-468F-BCC2-B2BBE76D3F3D}"/>
    <cellStyle name="Note 4 5 3" xfId="4462" xr:uid="{C2A8B45B-EAED-44DD-8483-81B091FB8306}"/>
    <cellStyle name="Note 4 6" xfId="2000" xr:uid="{2A7CDA7E-02F1-4909-88B8-6047AC21890C}"/>
    <cellStyle name="Note 4 7" xfId="2524" xr:uid="{1C309DE5-23D8-48DB-9348-C2A7405BAAA3}"/>
    <cellStyle name="Note 4 8" xfId="4454" xr:uid="{D8B93178-72DB-4C54-972C-DEF60446E431}"/>
    <cellStyle name="Note 4 9" xfId="1880" xr:uid="{5DC345B8-BAA8-489D-9BE5-2DF9E4FCD423}"/>
    <cellStyle name="Note 5" xfId="935" xr:uid="{20342958-256E-4A76-AF82-353E05AE5C19}"/>
    <cellStyle name="Note 5 2" xfId="936" xr:uid="{1B5E12B7-0197-4F51-88F6-7EA0407B301C}"/>
    <cellStyle name="Note 5 2 2" xfId="3197" xr:uid="{7BA72509-21E4-4E97-B2B1-DDE82EA18487}"/>
    <cellStyle name="Note 5 2 3" xfId="2999" xr:uid="{95F01AC6-736F-402F-8C46-124B167B8620}"/>
    <cellStyle name="Note 5 2 4" xfId="1883" xr:uid="{00F5954A-BFB3-4DDC-B1A9-E9D4185A7607}"/>
    <cellStyle name="Note 5 3" xfId="3147" xr:uid="{46D579FF-C71D-40FD-A244-517A17696A85}"/>
    <cellStyle name="Note 5 3 2" xfId="3225" xr:uid="{407FF840-D6D7-4660-9F0D-D38843AC51EE}"/>
    <cellStyle name="Note 5 4" xfId="3053" xr:uid="{CD842E71-25D0-46EA-B46E-E1E42BF1DF20}"/>
    <cellStyle name="Note 5 5" xfId="3082" xr:uid="{199B9B6F-B11C-4443-9ABF-D12D4246F20C}"/>
    <cellStyle name="Note 5 6" xfId="1882" xr:uid="{D7C19DC7-61D7-4361-BD90-8149C9802B06}"/>
    <cellStyle name="Note 6" xfId="937" xr:uid="{4673180E-64D3-4336-AC12-9901AD7846A4}"/>
    <cellStyle name="Note 6 2" xfId="938" xr:uid="{2EB07D2D-C5E8-4DDD-920A-B459797704DE}"/>
    <cellStyle name="Note 6 2 2" xfId="3199" xr:uid="{68996E97-670F-4B09-8F04-F28FE15DB475}"/>
    <cellStyle name="Note 6 2 3" xfId="2997" xr:uid="{6FA58885-4CF9-4FE2-A074-53780C8E4009}"/>
    <cellStyle name="Note 6 2 4" xfId="1885" xr:uid="{9FE592E2-8035-48F8-B37C-E8F973FE3C48}"/>
    <cellStyle name="Note 6 3" xfId="3069" xr:uid="{20B30F93-2E00-4E4E-BD37-289F09B11F4D}"/>
    <cellStyle name="Note 6 3 2" xfId="3227" xr:uid="{8EBF98F3-76B2-48CB-9E75-E35D8CAA2EA1}"/>
    <cellStyle name="Note 6 4" xfId="3113" xr:uid="{F176D0A1-02E8-406E-954B-25316CF61946}"/>
    <cellStyle name="Note 6 5" xfId="3020" xr:uid="{B9D2A322-E8CA-4BBC-B662-F5F746BDFD27}"/>
    <cellStyle name="Note 6 6" xfId="1884" xr:uid="{68D53EB4-57F9-4BEE-B3D8-92C26D06AAD9}"/>
    <cellStyle name="Note 7" xfId="3006" xr:uid="{6ED8B916-67D8-45F3-B5A8-1780D0DE4DA2}"/>
    <cellStyle name="Note 7 2" xfId="3174" xr:uid="{C7E26356-C1E3-4AC7-BA0F-8D033F9AE342}"/>
    <cellStyle name="Note 8" xfId="2995" xr:uid="{1F659D29-DB71-4033-B42A-38F560D7A84C}"/>
    <cellStyle name="Note 8 2" xfId="3202" xr:uid="{B597215B-65C4-4C81-BC92-29FE17CF6D1D}"/>
    <cellStyle name="Note 9" xfId="3121" xr:uid="{AF3ED8B6-CE27-4ED6-B4B9-8F1A7E40731A}"/>
    <cellStyle name="Note 9 2" xfId="3254" xr:uid="{7A12402F-5E56-4741-919C-0E4774E662C4}"/>
    <cellStyle name="Output" xfId="1025" builtinId="21" customBuiltin="1"/>
    <cellStyle name="Output 2" xfId="1985" xr:uid="{8B415997-24F4-4507-92F1-B2E34844DED3}"/>
    <cellStyle name="Output 2 2" xfId="3588" xr:uid="{7B928837-8273-4F8F-B2F9-B9B31A1ACAB0}"/>
    <cellStyle name="Output 2 3" xfId="3440" xr:uid="{43FE4257-C4F5-492C-8C0E-E1DAED2FE5EB}"/>
    <cellStyle name="Output 2 4" xfId="3249" xr:uid="{4C8103BD-3562-4FD2-BB5D-9900F3B1EBA6}"/>
    <cellStyle name="Output 2 5" xfId="4464" xr:uid="{68969AB0-C021-42AD-8D4C-D0021DE955C6}"/>
    <cellStyle name="Output 3" xfId="4463" xr:uid="{30AF620F-1803-4DDA-AA0C-1399ACEA690C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2 10" xfId="4465" xr:uid="{10B3DD17-E5FA-446A-ABA4-51A3E6AE6B01}"/>
    <cellStyle name="Percent 2 2 2" xfId="2113" xr:uid="{7DC2A157-2896-4FD7-A3E3-D6C06A0491C0}"/>
    <cellStyle name="Percent 2 2 2 2" xfId="2230" xr:uid="{BB383CE2-3452-4789-A897-0190ED703664}"/>
    <cellStyle name="Percent 2 2 2 2 2" xfId="2449" xr:uid="{B0415DA0-2BCB-43A5-9176-1C5C1BB8E688}"/>
    <cellStyle name="Percent 2 2 2 2 2 2" xfId="2954" xr:uid="{9A6FE463-341B-480C-92E1-5242FD1A19CC}"/>
    <cellStyle name="Percent 2 2 2 2 2 3" xfId="4468" xr:uid="{5FD666FC-5A4E-4E66-8E84-C5C07292A153}"/>
    <cellStyle name="Percent 2 2 2 2 3" xfId="2735" xr:uid="{B8269E18-8BA7-4B77-975B-7C7B7FCADF06}"/>
    <cellStyle name="Percent 2 2 2 2 4" xfId="4467" xr:uid="{861AA485-0380-4719-AC48-353494DE00E5}"/>
    <cellStyle name="Percent 2 2 2 3" xfId="2339" xr:uid="{6A3E31ED-7E55-44C2-915D-1511C25BE0E2}"/>
    <cellStyle name="Percent 2 2 2 3 2" xfId="2844" xr:uid="{0C77613E-9704-4C54-B31B-3204BBA0C1D8}"/>
    <cellStyle name="Percent 2 2 2 3 3" xfId="4469" xr:uid="{0DAEBFA6-E21A-4A35-99AC-52AEF28426C0}"/>
    <cellStyle name="Percent 2 2 2 4" xfId="3594" xr:uid="{9A56957C-8913-4375-AE11-B50AF49A08BE}"/>
    <cellStyle name="Percent 2 2 2 5" xfId="2625" xr:uid="{94A7CF05-FEB0-4668-8D1A-96B555E511F4}"/>
    <cellStyle name="Percent 2 2 2 6" xfId="4466" xr:uid="{0DDB4611-8A66-447E-9A5C-446C0436A9DD}"/>
    <cellStyle name="Percent 2 2 3" xfId="2134" xr:uid="{77F6DB38-34B6-43DA-B215-B8373B60ED9A}"/>
    <cellStyle name="Percent 2 2 3 2" xfId="2249" xr:uid="{E061DB3F-AAFE-46C4-B9BD-2C2F5B0E7E7B}"/>
    <cellStyle name="Percent 2 2 3 2 2" xfId="2468" xr:uid="{A60CD4E8-852C-43FB-9C23-D987F3C28B27}"/>
    <cellStyle name="Percent 2 2 3 2 2 2" xfId="2973" xr:uid="{B52BB606-AB12-4A54-94ED-EDC8A4E56171}"/>
    <cellStyle name="Percent 2 2 3 2 2 3" xfId="4472" xr:uid="{2F007051-C968-4B83-BB6D-2E1693FD4FE1}"/>
    <cellStyle name="Percent 2 2 3 2 3" xfId="2754" xr:uid="{D71289E2-DDCD-48F8-9401-CA308A3E050E}"/>
    <cellStyle name="Percent 2 2 3 2 4" xfId="4471" xr:uid="{2DAA0890-4434-41AA-9F57-47016E5509C1}"/>
    <cellStyle name="Percent 2 2 3 3" xfId="2358" xr:uid="{59B41235-CAB9-4AAA-915F-7C3173B1AFBE}"/>
    <cellStyle name="Percent 2 2 3 3 2" xfId="2863" xr:uid="{418563FE-7425-4610-8CD7-65078FB77200}"/>
    <cellStyle name="Percent 2 2 3 3 3" xfId="4473" xr:uid="{FF191121-5A2A-4414-AEBF-EFFF153BEC0E}"/>
    <cellStyle name="Percent 2 2 3 4" xfId="3411" xr:uid="{C8662FDF-F928-4388-95CA-BC442D805DA1}"/>
    <cellStyle name="Percent 2 2 3 5" xfId="2644" xr:uid="{903CC4C2-E509-4953-9C2A-F8C09FFADB98}"/>
    <cellStyle name="Percent 2 2 3 6" xfId="4470" xr:uid="{66ED27EB-2163-4C73-9071-7AF4D8D8DD63}"/>
    <cellStyle name="Percent 2 2 4" xfId="2092" xr:uid="{EAD0D1AE-E2B9-4DA8-ACD4-CA085E8BEABA}"/>
    <cellStyle name="Percent 2 2 4 2" xfId="2211" xr:uid="{DCDB9F92-F880-4EBF-8355-DC229C1895D7}"/>
    <cellStyle name="Percent 2 2 4 2 2" xfId="2430" xr:uid="{37F2E60A-DF9F-400B-B1BB-C1A5B1805AD4}"/>
    <cellStyle name="Percent 2 2 4 2 2 2" xfId="2935" xr:uid="{A92D76B3-BBF8-4D01-98C5-70DDA96D82C3}"/>
    <cellStyle name="Percent 2 2 4 2 2 3" xfId="4476" xr:uid="{B356199F-FAC6-4A40-8AAA-826E7EF157E3}"/>
    <cellStyle name="Percent 2 2 4 2 3" xfId="2716" xr:uid="{112075C4-A2A0-42FC-A6DE-E30D804EEDBA}"/>
    <cellStyle name="Percent 2 2 4 2 4" xfId="4475" xr:uid="{26F4D2FD-3E38-4746-B4F2-0C45AA6E14E7}"/>
    <cellStyle name="Percent 2 2 4 3" xfId="2320" xr:uid="{A853553F-DDFF-478F-A29A-134F9F480980}"/>
    <cellStyle name="Percent 2 2 4 3 2" xfId="2825" xr:uid="{AA1B58D0-16A5-49D4-A994-B1A114C2C479}"/>
    <cellStyle name="Percent 2 2 4 3 3" xfId="4477" xr:uid="{5F9F9E53-D3BF-4F2E-924D-06525648A06B}"/>
    <cellStyle name="Percent 2 2 4 4" xfId="2606" xr:uid="{DEC889AD-D176-46D6-ACE1-40E56F820BBE}"/>
    <cellStyle name="Percent 2 2 4 5" xfId="4474" xr:uid="{AD0AAEA8-9D90-4EA8-AECC-30B51BF0A30C}"/>
    <cellStyle name="Percent 2 2 5" xfId="2165" xr:uid="{6C30ED17-D0DA-4D32-A48A-0FB281DDC45C}"/>
    <cellStyle name="Percent 2 2 5 2" xfId="2384" xr:uid="{9DEB11EB-6DC7-472A-A79C-04FE32318B06}"/>
    <cellStyle name="Percent 2 2 5 2 2" xfId="2889" xr:uid="{9678D4D7-AAC2-43ED-9300-09B6AD92F2A7}"/>
    <cellStyle name="Percent 2 2 5 2 3" xfId="4479" xr:uid="{C24EDF0C-664C-4FAC-9ACA-FD6471D49450}"/>
    <cellStyle name="Percent 2 2 5 3" xfId="2670" xr:uid="{EFC48B5B-C654-4CC2-9B40-E4A9223548F0}"/>
    <cellStyle name="Percent 2 2 5 4" xfId="4478" xr:uid="{B1E436D9-144B-48F2-BBB0-8C11EA3F84B7}"/>
    <cellStyle name="Percent 2 2 6" xfId="2274" xr:uid="{9D673DD7-3028-4EC9-BA54-67E52209E417}"/>
    <cellStyle name="Percent 2 2 6 2" xfId="2779" xr:uid="{AE70102A-75BA-407A-9DF0-07103020C4EF}"/>
    <cellStyle name="Percent 2 2 6 3" xfId="4480" xr:uid="{55966BAD-6404-4876-AE76-A070B20DB1B1}"/>
    <cellStyle name="Percent 2 2 7" xfId="2043" xr:uid="{5222B6F3-BC5B-4710-BF46-F5AC77FB3986}"/>
    <cellStyle name="Percent 2 2 7 2" xfId="2560" xr:uid="{7CC2C9D5-2B18-431C-8B15-D4929082AF28}"/>
    <cellStyle name="Percent 2 2 7 3" xfId="4481" xr:uid="{4C5288F7-1666-4866-BB73-38CBA7E66B7C}"/>
    <cellStyle name="Percent 2 2 8" xfId="1986" xr:uid="{E7DAA203-3D6B-4A1D-8611-15579B99ADDC}"/>
    <cellStyle name="Percent 2 2 8 2" xfId="3140" xr:uid="{EEEAD38C-0F9A-4117-8F0A-1D69A54D0826}"/>
    <cellStyle name="Percent 2 2 9" xfId="2519" xr:uid="{8475F60D-2689-4416-B8C2-C0B83808E59A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3 2 4" xfId="2086" xr:uid="{26889E30-BF8B-4CFC-AAA0-04ECDC33F93C}"/>
    <cellStyle name="Percent 2 3 3" xfId="2140" xr:uid="{586B2443-AFDD-4E83-920A-58F7CCFF5694}"/>
    <cellStyle name="Percent 2 3 3 2" xfId="2255" xr:uid="{6345FF43-6473-47D9-8827-22CB2CCD10C3}"/>
    <cellStyle name="Percent 2 3 3 2 2" xfId="2474" xr:uid="{F5284B58-3271-4861-BCCB-C5C6F157F04F}"/>
    <cellStyle name="Percent 2 3 3 2 2 2" xfId="2979" xr:uid="{6121EDA5-CA40-4967-A562-15D574AE9E87}"/>
    <cellStyle name="Percent 2 3 3 2 2 3" xfId="4485" xr:uid="{62AEF411-6F2D-4EA4-9141-788E387EA6AA}"/>
    <cellStyle name="Percent 2 3 3 2 3" xfId="2760" xr:uid="{55749E2C-2532-47AB-BC21-BF8BA796D184}"/>
    <cellStyle name="Percent 2 3 3 2 4" xfId="4484" xr:uid="{91C43375-D60E-447B-9E0A-456AED818C16}"/>
    <cellStyle name="Percent 2 3 3 3" xfId="2364" xr:uid="{E54CC648-8882-4F22-B03D-704DDDD0034A}"/>
    <cellStyle name="Percent 2 3 3 3 2" xfId="2869" xr:uid="{48C96F7C-40B8-484A-86D1-4324F8ED5732}"/>
    <cellStyle name="Percent 2 3 3 3 3" xfId="4486" xr:uid="{4813C2E9-3794-4AE7-9194-E4422B045840}"/>
    <cellStyle name="Percent 2 3 3 4" xfId="2650" xr:uid="{A3D24697-DCBC-44C2-8019-3B074C3540C1}"/>
    <cellStyle name="Percent 2 3 3 5" xfId="4483" xr:uid="{5F6E9039-53B4-4858-B72E-3715633F2EF9}"/>
    <cellStyle name="Percent 2 3 4" xfId="2186" xr:uid="{D3749B58-D071-4247-95E0-AB02BA016EA4}"/>
    <cellStyle name="Percent 2 3 4 2" xfId="2405" xr:uid="{DACF2E2C-2B81-4F21-BFE9-62BD9357F349}"/>
    <cellStyle name="Percent 2 3 4 2 2" xfId="2910" xr:uid="{3CC08FA7-9189-4AD7-8CD0-940C6DAB8727}"/>
    <cellStyle name="Percent 2 3 4 2 3" xfId="4488" xr:uid="{13917EA6-5C21-4C73-B7D2-1BF344A11217}"/>
    <cellStyle name="Percent 2 3 4 3" xfId="2691" xr:uid="{30B0D0C2-4126-4180-83B1-BDD55DC5A1E7}"/>
    <cellStyle name="Percent 2 3 4 4" xfId="4487" xr:uid="{F844C127-537A-4E86-9909-F8BCB3F38219}"/>
    <cellStyle name="Percent 2 3 5" xfId="2295" xr:uid="{E66574F4-1F90-4BB6-AB63-AAD6A21FA24B}"/>
    <cellStyle name="Percent 2 3 5 2" xfId="2800" xr:uid="{EEC93CDE-A940-4DA3-A1D0-3FCA45532893}"/>
    <cellStyle name="Percent 2 3 5 3" xfId="4489" xr:uid="{66D99E4C-A6F9-4448-9B60-B550517984DC}"/>
    <cellStyle name="Percent 2 3 6" xfId="2064" xr:uid="{CDE2CE7E-1602-42B6-AC89-C80505C43E73}"/>
    <cellStyle name="Percent 2 3 6 2" xfId="2581" xr:uid="{D6AAE8A2-3306-4E21-A338-4B1CADC1A6FE}"/>
    <cellStyle name="Percent 2 3 6 3" xfId="4490" xr:uid="{AD8168F9-6112-44CD-9E30-465B43667DCE}"/>
    <cellStyle name="Percent 2 3 7" xfId="2016" xr:uid="{81E60F2B-78E8-4ED3-A006-966C6D7F04CE}"/>
    <cellStyle name="Percent 2 3 7 2" xfId="3414" xr:uid="{0CEDC77E-D04A-4126-90D9-BA1ECD098C50}"/>
    <cellStyle name="Percent 2 3 8" xfId="2540" xr:uid="{B4A0673A-DDB9-4E21-9C8F-F0A14B8B3360}"/>
    <cellStyle name="Percent 2 3 9" xfId="4482" xr:uid="{937AC3E1-C4E8-4BAF-A4B0-3D9338F3CED1}"/>
    <cellStyle name="Percent 2 4" xfId="947" xr:uid="{A3EF8663-E50C-47DD-9079-B3FBB6B1CF8C}"/>
    <cellStyle name="Percent 2 4 10" xfId="1886" xr:uid="{1D7B0E31-4386-4381-9B1E-D930CF6E3000}"/>
    <cellStyle name="Percent 2 4 2" xfId="948" xr:uid="{F01B8CC9-10E7-4751-905E-2E7A38BA5383}"/>
    <cellStyle name="Percent 2 4 2 2" xfId="949" xr:uid="{AD7786F1-1AA8-4F58-8B3F-EAA06044D608}"/>
    <cellStyle name="Percent 2 4 2 2 2" xfId="2413" xr:uid="{918A49D3-D090-4FD1-9A10-516EBAAA47D5}"/>
    <cellStyle name="Percent 2 4 2 2 3" xfId="2918" xr:uid="{777A114C-30AC-4BFA-81E2-FB473A4B75AF}"/>
    <cellStyle name="Percent 2 4 2 2 4" xfId="4493" xr:uid="{41E9D788-DACC-4A01-AAC8-96DD7C8A19AA}"/>
    <cellStyle name="Percent 2 4 2 2 5" xfId="1888" xr:uid="{331A1DD7-7375-4E1A-A368-2E9FF0E4D8E5}"/>
    <cellStyle name="Percent 2 4 2 3" xfId="2194" xr:uid="{266B51D3-C77C-45C5-86CF-FCD93200E121}"/>
    <cellStyle name="Percent 2 4 2 4" xfId="2699" xr:uid="{B292EBD4-5EAD-47DA-ACDA-9BE15599A396}"/>
    <cellStyle name="Percent 2 4 2 5" xfId="4492" xr:uid="{28FB8DD9-481E-4043-AB48-F90EAB5B426B}"/>
    <cellStyle name="Percent 2 4 2 6" xfId="1887" xr:uid="{B893CBA1-B160-4947-8F65-6929EE4ED19C}"/>
    <cellStyle name="Percent 2 4 3" xfId="950" xr:uid="{950DD7C7-05E0-4B25-AF5F-4CBD06AD0B10}"/>
    <cellStyle name="Percent 2 4 3 2" xfId="951" xr:uid="{863CD9E8-D5DC-4042-BBA7-D35A7A28B04C}"/>
    <cellStyle name="Percent 2 4 3 2 2" xfId="1890" xr:uid="{D7A4AE86-DCF9-46DA-88C0-4163897A5303}"/>
    <cellStyle name="Percent 2 4 3 3" xfId="2303" xr:uid="{D765747B-A317-45A4-9108-3B058D491A3D}"/>
    <cellStyle name="Percent 2 4 3 4" xfId="2808" xr:uid="{57A4DFFB-8FCF-4059-95FF-9EA033012827}"/>
    <cellStyle name="Percent 2 4 3 5" xfId="4494" xr:uid="{CFAB41C9-021C-49AE-A961-7FDDDD795F76}"/>
    <cellStyle name="Percent 2 4 3 6" xfId="1889" xr:uid="{06AA4112-3327-4343-91A3-FB8BDBBD5B81}"/>
    <cellStyle name="Percent 2 4 4" xfId="952" xr:uid="{DC135974-3A84-432D-9877-1CBD66F91335}"/>
    <cellStyle name="Percent 2 4 4 2" xfId="953" xr:uid="{B32F05F6-4C7A-436A-A09B-66F1B00B7211}"/>
    <cellStyle name="Percent 2 4 4 2 2" xfId="1892" xr:uid="{DA8CDE64-0C7E-4601-8993-B453A24F6A4A}"/>
    <cellStyle name="Percent 2 4 4 3" xfId="3593" xr:uid="{82D44A49-30D1-4B0C-9692-F4AECC51260D}"/>
    <cellStyle name="Percent 2 4 4 4" xfId="1891" xr:uid="{A2806CC7-BAAA-4C30-A7DC-E1A0DECA5314}"/>
    <cellStyle name="Percent 2 4 5" xfId="954" xr:uid="{91DC1B1A-4B8F-4A77-9BF6-EA57A5BFA0F7}"/>
    <cellStyle name="Percent 2 4 6" xfId="955" xr:uid="{67296846-ECD4-4409-9A46-3EAD174C0626}"/>
    <cellStyle name="Percent 2 4 6 2" xfId="1893" xr:uid="{38F7C709-68AE-4D81-B3A2-DF6B9FFC501C}"/>
    <cellStyle name="Percent 2 4 7" xfId="2072" xr:uid="{9D300BFD-E68A-4C42-B60E-C822C44002EA}"/>
    <cellStyle name="Percent 2 4 8" xfId="2589" xr:uid="{0AA790B8-39B8-4A62-A093-71DE9BC51426}"/>
    <cellStyle name="Percent 2 4 9" xfId="4491" xr:uid="{D6B06EE6-9DC5-4D54-AF05-B02DA998E0C5}"/>
    <cellStyle name="Percent 2 5" xfId="956" xr:uid="{B9DE861F-EABB-4746-9521-186DC1F1374E}"/>
    <cellStyle name="Percent 2 5 2" xfId="3138" xr:uid="{5942794C-FE84-4520-B22D-4C4E4492AD4D}"/>
    <cellStyle name="Percent 2 5 3" xfId="3060" xr:uid="{04C929DE-F655-4935-A24B-D31BDC97E8C0}"/>
    <cellStyle name="Percent 2 6" xfId="986" xr:uid="{5A8A1370-6593-4C8C-8E1A-D09575C5F675}"/>
    <cellStyle name="Percent 2 6 2" xfId="3127" xr:uid="{933FD41B-0242-4622-A131-DEF33F116C23}"/>
    <cellStyle name="Percent 2 6 3" xfId="3050" xr:uid="{BA537112-9589-4E05-B682-1435CFF18C9D}"/>
    <cellStyle name="Percent 2 7" xfId="3096" xr:uid="{2378427B-D7AF-4176-9C7B-68FD79F0CCF4}"/>
    <cellStyle name="Percent 3" xfId="957" xr:uid="{F5E39DC8-1D1B-4982-9033-9B4669E1C5DF}"/>
    <cellStyle name="Percent 3 2" xfId="958" xr:uid="{15B53AE5-8C5D-454F-AC7A-4A368409A9E3}"/>
    <cellStyle name="Percent 3 2 2" xfId="2093" xr:uid="{13379847-771B-4C84-8A99-88AE7298246E}"/>
    <cellStyle name="Percent 3 2 3" xfId="4495" xr:uid="{9C8584DC-1125-4B85-B53D-4D0CBC848321}"/>
    <cellStyle name="Percent 3 2 4" xfId="1894" xr:uid="{546B93DE-1CF5-4585-8FA2-6EAE77898D8E}"/>
    <cellStyle name="Percent 3 3" xfId="959" xr:uid="{90093F9A-D24E-4332-87FC-D4046F5E1EF0}"/>
    <cellStyle name="Percent 3 3 2" xfId="3381" xr:uid="{511876B5-1788-4EFF-AE7C-3E1182F0E3D1}"/>
    <cellStyle name="Percent 3 3 3" xfId="1895" xr:uid="{F29041EA-1941-4B17-8FCD-88BE9F135D2A}"/>
    <cellStyle name="Percent 3 4" xfId="980" xr:uid="{1334053D-9BA5-4260-9859-AB15161A22D3}"/>
    <cellStyle name="Percent 3 4 2" xfId="3376" xr:uid="{B8171F04-1022-4ABC-B3A0-13A250DD0378}"/>
    <cellStyle name="Percent 3 5" xfId="3048" xr:uid="{A8AD6E5D-201E-4AE0-B4FE-076F780ED9AB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2 3" xfId="2489" xr:uid="{4869956D-84C1-4702-BE04-0F76CBD87045}"/>
    <cellStyle name="Percent 4 3" xfId="963" xr:uid="{0B8B248A-474C-48AD-ABF0-E240137417A4}"/>
    <cellStyle name="Percent 4 3 2" xfId="964" xr:uid="{F7B2B935-E07C-4278-BF22-6F5525ED08C2}"/>
    <cellStyle name="Percent 4 3 2 2" xfId="1897" xr:uid="{24999CB7-3D9B-4206-9A9C-8693AB1BB340}"/>
    <cellStyle name="Percent 4 3 3" xfId="3457" xr:uid="{3670000C-8383-42DF-B5CA-1ED8E11C7669}"/>
    <cellStyle name="Percent 4 3 4" xfId="1896" xr:uid="{4400FC65-5E37-4060-93FA-21EE7F9DAF23}"/>
    <cellStyle name="Percent 4 4" xfId="2160" xr:uid="{C051FE03-F830-40CB-8FD4-2553FACA2758}"/>
    <cellStyle name="Percent 4 4 2" xfId="3120" xr:uid="{25109325-81AD-4E84-8F24-334BEF0300B2}"/>
    <cellStyle name="Percent 5" xfId="965" xr:uid="{7ED7C7E7-8A92-44E1-8CE0-0033006E1F76}"/>
    <cellStyle name="Percent 5 2" xfId="966" xr:uid="{CDBAA219-2188-4EA7-ADA5-09524C31F999}"/>
    <cellStyle name="Percent 5 2 2" xfId="3576" xr:uid="{0EADFB7F-939E-4571-B401-1C3E39003F08}"/>
    <cellStyle name="Percent 5 2 3" xfId="1899" xr:uid="{2F5CFFED-22E4-4F5D-9822-09387F278595}"/>
    <cellStyle name="Percent 5 3" xfId="1911" xr:uid="{417FB4CB-E624-400D-805F-BD5B94D49C35}"/>
    <cellStyle name="Percent 5 4" xfId="4496" xr:uid="{5502B371-5FD8-4F37-BD46-3C914F02F58C}"/>
    <cellStyle name="Percent 5 5" xfId="1898" xr:uid="{5457D9FE-4584-403A-9233-5D3596996402}"/>
    <cellStyle name="Percent 6" xfId="967" xr:uid="{51AF64A6-3B5E-482D-9024-56ABD3F1E527}"/>
    <cellStyle name="Percent 6 2" xfId="968" xr:uid="{EFEB8D2A-E7B1-4C09-A5EE-3AE13BF24F1F}"/>
    <cellStyle name="Percent 6 2 2" xfId="3377" xr:uid="{38B24E68-9A37-4FE7-A36E-22622705D780}"/>
    <cellStyle name="Percent 6 2 3" xfId="1901" xr:uid="{AC42D6F0-4B80-4926-B0D8-DD1E24081F31}"/>
    <cellStyle name="Percent 6 3" xfId="3893" xr:uid="{3D02CBD6-8414-45B8-88B4-31C7073BE536}"/>
    <cellStyle name="Percent 6 4" xfId="3432" xr:uid="{4783C13A-80ED-4AED-A7CF-DD54E458748C}"/>
    <cellStyle name="Percent 6 5" xfId="1900" xr:uid="{1A6E4F34-3696-4E69-B23D-DB0F8E6E062D}"/>
    <cellStyle name="Percent 7" xfId="969" xr:uid="{A270EF30-1A8E-489C-B580-F3C3ABB0BD64}"/>
    <cellStyle name="Percent 7 2" xfId="970" xr:uid="{61CE22EB-C95D-4B2D-88C0-66908D5D4EF0}"/>
    <cellStyle name="Percent 7 2 2" xfId="1903" xr:uid="{1E528549-234C-4E7F-8F83-D3119C8E4EFD}"/>
    <cellStyle name="Percent 7 3" xfId="3269" xr:uid="{5EBF2062-1F22-4FDE-B99E-AFAAEFC76733}"/>
    <cellStyle name="Percent 7 4" xfId="1902" xr:uid="{145678FD-6410-4CE5-933F-4BFD48FCCDCF}"/>
    <cellStyle name="Percent 8" xfId="971" xr:uid="{9A4C93E8-EE73-4B11-8BBB-44F25E0AA472}"/>
    <cellStyle name="Percent 8 2" xfId="972" xr:uid="{9309D44B-75A2-434D-8BA7-D2DBD2BF5D46}"/>
    <cellStyle name="Percent 8 2 2" xfId="1905" xr:uid="{2646BE7B-80C7-42DE-9CE9-EAE72CD567D8}"/>
    <cellStyle name="Percent 8 3" xfId="3521" xr:uid="{093A4780-67AA-4BC2-8BF9-D0DB8A4D7560}"/>
    <cellStyle name="Percent 8 4" xfId="1904" xr:uid="{8EBDCD5E-45F7-4C09-AA1F-23A83F2CCBA7}"/>
    <cellStyle name="Percent 9" xfId="973" xr:uid="{1783B65A-82DD-4830-812D-D19AEE815361}"/>
    <cellStyle name="Percent 9 2" xfId="3275" xr:uid="{2428306A-C5A0-4662-84DA-39EF72F8EF91}"/>
    <cellStyle name="rf0" xfId="3131" xr:uid="{7FE1CB41-7016-4369-8935-24BF93AFBD2B}"/>
    <cellStyle name="rf1" xfId="3041" xr:uid="{014E95FF-A17B-4727-996C-8A661E7B81DD}"/>
    <cellStyle name="rf10" xfId="3106" xr:uid="{7D068755-4E55-4EE1-A2C5-01E4E1E3CDEB}"/>
    <cellStyle name="rf11" xfId="3143" xr:uid="{33A4C5A0-4EF4-4A4A-B51D-0B1A811E660A}"/>
    <cellStyle name="rf12" xfId="3081" xr:uid="{0F67D375-D832-43E6-A1F1-564E05945742}"/>
    <cellStyle name="rf13" xfId="3066" xr:uid="{45FD6527-FA82-4439-A620-97307BC1A7C2}"/>
    <cellStyle name="rf13 2" xfId="3265" xr:uid="{FE20B906-1659-471C-8D16-01D284E43A77}"/>
    <cellStyle name="rf14" xfId="3016" xr:uid="{01382800-ED0F-44B7-9C73-4ECB8AA9BD9B}"/>
    <cellStyle name="rf15" xfId="3052" xr:uid="{8249D588-ADF7-4CEF-949B-CBF8C7EBBE7C}"/>
    <cellStyle name="rf16" xfId="3057" xr:uid="{890A9D56-75D8-4086-AEF9-DDEE6327EC33}"/>
    <cellStyle name="rf17" xfId="2993" xr:uid="{1E991AA3-F6C0-4C25-974C-2B60EB500469}"/>
    <cellStyle name="rf18" xfId="3152" xr:uid="{B26B4958-EABE-4B5F-8DCE-A52C947E5DBD}"/>
    <cellStyle name="rf19" xfId="3156" xr:uid="{FC9771FA-992E-449B-BDD3-49F01DBBC1E8}"/>
    <cellStyle name="rf2" xfId="3025" xr:uid="{DA73C3AA-4A75-4D0A-BD22-2C5419BDBD95}"/>
    <cellStyle name="rf20" xfId="3133" xr:uid="{B4BF2355-2C20-40DC-A852-4B643E25EECB}"/>
    <cellStyle name="rf21" xfId="3110" xr:uid="{2DB49BDA-BBDE-4C45-9F66-0B603A305DD9}"/>
    <cellStyle name="rf21 2" xfId="3266" xr:uid="{6248B41E-6903-46A5-881B-6223CDDB72EE}"/>
    <cellStyle name="rf22" xfId="3114" xr:uid="{667C73E2-528A-4F01-A14A-94EB540B4877}"/>
    <cellStyle name="rf23" xfId="3036" xr:uid="{3E100A3B-6993-4653-98C8-5D1F3C3890C1}"/>
    <cellStyle name="rf24" xfId="3095" xr:uid="{A0C8BBDA-A11E-483E-BAFF-9BADC90E0ECA}"/>
    <cellStyle name="rf25" xfId="3128" xr:uid="{49FCE796-E20F-426E-8288-A398D29C66D6}"/>
    <cellStyle name="rf26" xfId="3029" xr:uid="{87286E40-D857-4F95-B8D7-90CD16AB16CF}"/>
    <cellStyle name="rf27" xfId="3026" xr:uid="{A1D2C6A5-B83C-4316-ADE6-265798DBF804}"/>
    <cellStyle name="rf28" xfId="2982" xr:uid="{E6913881-F92E-47E2-A4BD-5E5B8B27D261}"/>
    <cellStyle name="rf29" xfId="3117" xr:uid="{97BAF780-5269-414A-B4FD-9955E45D21A4}"/>
    <cellStyle name="rf3" xfId="3045" xr:uid="{43E2123F-D64B-44F0-87F6-E2BDFF362178}"/>
    <cellStyle name="rf30" xfId="3118" xr:uid="{FB48A47C-1DB0-48D7-A1FB-5551FCFD8650}"/>
    <cellStyle name="rf31" xfId="2507" xr:uid="{1BC4B8E3-F06D-4E1A-AE3A-7159B6FD41F6}"/>
    <cellStyle name="rf4" xfId="3032" xr:uid="{55FDED87-91C2-4E1C-A7F4-067C0593718A}"/>
    <cellStyle name="rf5" xfId="3090" xr:uid="{D4266D1D-90B2-4075-873F-163D6613AA6D}"/>
    <cellStyle name="rf6" xfId="3159" xr:uid="{276446BF-2235-40F9-B888-8CFA5324EF51}"/>
    <cellStyle name="rf7" xfId="3093" xr:uid="{08AFDD72-EBC1-4BD1-82FD-D65592486504}"/>
    <cellStyle name="rf8" xfId="2512" xr:uid="{910D88AF-BFFE-4E9D-9089-2A45EF0A8AF8}"/>
    <cellStyle name="rf9" xfId="3076" xr:uid="{45A977C8-F168-4023-A376-A0BBD41317DB}"/>
    <cellStyle name="Title 2" xfId="974" xr:uid="{3DADF37B-1AEB-43C1-9D4C-09269CCC2A62}"/>
    <cellStyle name="Title 2 2" xfId="1987" xr:uid="{7FCCC2CE-E08F-413C-B3B5-0BA7120D9EE3}"/>
    <cellStyle name="Title 2 2 2" xfId="3141" xr:uid="{7D5CA2D4-DA37-45A0-B959-A0CA2E32C155}"/>
    <cellStyle name="Title 2 3" xfId="3558" xr:uid="{627A49CB-52ED-4E19-8862-0DCEFF0C95F4}"/>
    <cellStyle name="Title 2 4" xfId="3008" xr:uid="{779F3A20-ED0E-4943-8AF7-F042BA7EB1C5}"/>
    <cellStyle name="Title 2 5" xfId="4497" xr:uid="{A89C7C0F-F009-4ABB-BCC9-455AA7FDC0AB}"/>
    <cellStyle name="Title 3" xfId="975" xr:uid="{144F4BDE-5EF8-4D31-921E-93DF77A1CC95}"/>
    <cellStyle name="Title 3 2" xfId="1912" xr:uid="{DC8B8C63-FDD6-4A41-B0FC-FA4566D917FD}"/>
    <cellStyle name="Title 4" xfId="976" xr:uid="{D852E13F-98BA-4EB6-BF74-1C6192D7AC4B}"/>
    <cellStyle name="Total" xfId="1031" builtinId="25" customBuiltin="1"/>
    <cellStyle name="Total 2" xfId="1988" xr:uid="{57EDCB6C-64EA-4FC7-872A-47A249CC854C}"/>
    <cellStyle name="Total 2 2" xfId="1989" xr:uid="{01E7940D-DC94-45F2-81D2-52A4F63B1390}"/>
    <cellStyle name="Total 2 2 2" xfId="3447" xr:uid="{1172B118-9567-4101-9AE2-36E463FC635C}"/>
    <cellStyle name="Total 2 2 3" xfId="4500" xr:uid="{9FB37E75-D49D-4A9E-AC25-096CB0BE59A5}"/>
    <cellStyle name="Total 2 3" xfId="2024" xr:uid="{D3B1503F-BC7C-424B-B2A6-4CB1C8FDCF20}"/>
    <cellStyle name="Total 2 3 2" xfId="3437" xr:uid="{F07AEC58-73E2-4EA2-96B7-F27CCB2E1061}"/>
    <cellStyle name="Total 2 3 3" xfId="4501" xr:uid="{4E784AE5-1EEC-4A51-899B-47DEF72CE3DF}"/>
    <cellStyle name="Total 2 4" xfId="3256" xr:uid="{CF4C2BE2-E22A-401E-A4CF-A63A0A1490BB}"/>
    <cellStyle name="Total 2 5" xfId="4499" xr:uid="{119BC504-2D06-45B0-B682-8E43FED7E7BA}"/>
    <cellStyle name="Total 3" xfId="1990" xr:uid="{81D62418-97CC-4F01-961A-EAB33CC56445}"/>
    <cellStyle name="Total 3 2" xfId="1991" xr:uid="{C42B652A-7037-45F6-B4C0-E55521EF50F4}"/>
    <cellStyle name="Total 3 2 2" xfId="4503" xr:uid="{76EA196D-BEA6-4E28-8DCC-F2E48AFC5952}"/>
    <cellStyle name="Total 3 3" xfId="4502" xr:uid="{06A6C770-038D-4B76-A275-8E5C0ECCFE45}"/>
    <cellStyle name="Total 4" xfId="4498" xr:uid="{06A307EF-D091-4558-9E2A-7B112B56171C}"/>
    <cellStyle name="Warning Text" xfId="1029" builtinId="11" customBuiltin="1"/>
    <cellStyle name="Warning Text 2" xfId="1992" xr:uid="{CF9B9A6D-9530-4E8E-B094-204CEC7658C9}"/>
    <cellStyle name="Warning Text 2 2" xfId="3357" xr:uid="{24642A33-6B1D-4363-932A-394702793045}"/>
    <cellStyle name="Warning Text 2 3" xfId="3500" xr:uid="{3DEAAF17-F2B8-4C75-9E85-82E21E74EEF6}"/>
    <cellStyle name="Warning Text 2 4" xfId="3253" xr:uid="{6B12C216-B258-4532-971B-C053B24BA50B}"/>
    <cellStyle name="Warning Text 2 5" xfId="4505" xr:uid="{FDD4715D-CEC7-4FFD-B0D7-02A6B188BFA8}"/>
    <cellStyle name="Warning Text 3" xfId="4504" xr:uid="{868E8663-952A-4379-BD51-C4E9F300D2E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739140</xdr:colOff>
      <xdr:row>1</xdr:row>
      <xdr:rowOff>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774700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1E4439-BB56-4C5F-87A3-2D1B3CB7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2950" y="0"/>
          <a:ext cx="2108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C266" sqref="C26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00" t="s">
        <v>1343</v>
      </c>
    </row>
    <row r="3" spans="1:5" x14ac:dyDescent="0.35">
      <c r="A3" s="56" t="s">
        <v>0</v>
      </c>
      <c r="C3" s="13"/>
    </row>
    <row r="4" spans="1:5" x14ac:dyDescent="0.35">
      <c r="A4" s="56" t="s">
        <v>1</v>
      </c>
      <c r="C4" s="13"/>
    </row>
    <row r="5" spans="1:5" x14ac:dyDescent="0.35">
      <c r="A5" s="11" t="s">
        <v>2</v>
      </c>
    </row>
    <row r="7" spans="1:5" x14ac:dyDescent="0.35">
      <c r="A7" s="299" t="s">
        <v>1342</v>
      </c>
    </row>
    <row r="8" spans="1:5" x14ac:dyDescent="0.35">
      <c r="C8" s="13"/>
    </row>
    <row r="9" spans="1:5" x14ac:dyDescent="0.35">
      <c r="A9" s="56" t="s">
        <v>4</v>
      </c>
      <c r="C9" s="13"/>
    </row>
    <row r="10" spans="1:5" x14ac:dyDescent="0.35">
      <c r="A10" s="11" t="s">
        <v>5</v>
      </c>
      <c r="C10" s="13"/>
    </row>
    <row r="11" spans="1:5" x14ac:dyDescent="0.35">
      <c r="A11" s="14" t="s">
        <v>6</v>
      </c>
      <c r="C11" s="13"/>
    </row>
    <row r="12" spans="1:5" x14ac:dyDescent="0.35">
      <c r="A12" s="12" t="s">
        <v>7</v>
      </c>
      <c r="C12" s="13"/>
    </row>
    <row r="13" spans="1:5" x14ac:dyDescent="0.35">
      <c r="A13" s="11" t="s">
        <v>8</v>
      </c>
      <c r="C13" s="13"/>
    </row>
    <row r="14" spans="1:5" x14ac:dyDescent="0.35">
      <c r="C14" s="13"/>
    </row>
    <row r="15" spans="1:5" x14ac:dyDescent="0.35">
      <c r="A15" s="59" t="s">
        <v>9</v>
      </c>
    </row>
    <row r="16" spans="1:5" x14ac:dyDescent="0.35">
      <c r="A16" s="12" t="s">
        <v>10</v>
      </c>
    </row>
    <row r="17" spans="1:10" x14ac:dyDescent="0.35">
      <c r="A17" s="14" t="s">
        <v>11</v>
      </c>
    </row>
    <row r="18" spans="1:10" ht="14.4" customHeight="1" x14ac:dyDescent="0.35">
      <c r="A18" s="14" t="s">
        <v>12</v>
      </c>
    </row>
    <row r="19" spans="1:10" ht="14.4" customHeight="1" x14ac:dyDescent="0.35">
      <c r="A19" s="14" t="s">
        <v>13</v>
      </c>
    </row>
    <row r="20" spans="1:10" ht="14.4" customHeight="1" x14ac:dyDescent="0.35">
      <c r="A20" s="12"/>
      <c r="E20" s="58"/>
      <c r="F20" s="58"/>
      <c r="G20" s="58"/>
    </row>
    <row r="21" spans="1:10" ht="14.4" customHeight="1" x14ac:dyDescent="0.35">
      <c r="A21" s="60" t="s">
        <v>14</v>
      </c>
      <c r="E21" s="58"/>
      <c r="F21" s="58"/>
      <c r="G21" s="58"/>
      <c r="I21" s="58"/>
      <c r="J21" s="58"/>
    </row>
    <row r="22" spans="1:10" x14ac:dyDescent="0.35">
      <c r="A22" s="14" t="s">
        <v>15</v>
      </c>
      <c r="E22" s="57"/>
      <c r="F22" s="57"/>
      <c r="G22" s="57"/>
      <c r="I22" s="57"/>
      <c r="J22" s="57"/>
    </row>
    <row r="23" spans="1:10" x14ac:dyDescent="0.35">
      <c r="A23" s="14" t="s">
        <v>16</v>
      </c>
      <c r="E23" s="57"/>
      <c r="F23" s="57"/>
      <c r="G23" s="57"/>
      <c r="I23" s="57"/>
      <c r="J23" s="57"/>
    </row>
    <row r="24" spans="1:10" x14ac:dyDescent="0.35">
      <c r="A24" s="14" t="s">
        <v>17</v>
      </c>
    </row>
    <row r="25" spans="1:10" x14ac:dyDescent="0.35">
      <c r="A25" s="14" t="s">
        <v>18</v>
      </c>
    </row>
    <row r="26" spans="1:10" x14ac:dyDescent="0.35">
      <c r="A26" s="14"/>
    </row>
    <row r="27" spans="1:10" x14ac:dyDescent="0.35">
      <c r="A27" s="12" t="s">
        <v>19</v>
      </c>
      <c r="C27" s="13"/>
    </row>
    <row r="28" spans="1:10" x14ac:dyDescent="0.35">
      <c r="A28" s="14" t="s">
        <v>20</v>
      </c>
      <c r="C28" s="13"/>
    </row>
    <row r="29" spans="1:10" x14ac:dyDescent="0.35">
      <c r="C29" s="13"/>
    </row>
    <row r="30" spans="1:10" x14ac:dyDescent="0.35">
      <c r="A30" s="11" t="s">
        <v>21</v>
      </c>
      <c r="C30" s="266" t="s">
        <v>22</v>
      </c>
      <c r="F30" s="15"/>
    </row>
    <row r="31" spans="1:10" x14ac:dyDescent="0.35">
      <c r="C31" s="13"/>
    </row>
    <row r="32" spans="1:10" x14ac:dyDescent="0.35">
      <c r="A32" s="56" t="s">
        <v>23</v>
      </c>
      <c r="B32" s="58"/>
      <c r="C32" s="58"/>
      <c r="D32" s="58"/>
    </row>
    <row r="33" spans="1:83" x14ac:dyDescent="0.35">
      <c r="A33" s="14" t="s">
        <v>24</v>
      </c>
      <c r="B33" s="58"/>
      <c r="C33" s="58"/>
      <c r="D33" s="58"/>
    </row>
    <row r="34" spans="1:83" x14ac:dyDescent="0.35">
      <c r="A34" s="14" t="s">
        <v>25</v>
      </c>
      <c r="B34" s="57"/>
      <c r="C34" s="57"/>
      <c r="D34" s="57"/>
    </row>
    <row r="35" spans="1:83" x14ac:dyDescent="0.35">
      <c r="B35" s="57"/>
      <c r="C35" s="57"/>
      <c r="D35" s="57"/>
    </row>
    <row r="36" spans="1:83" x14ac:dyDescent="0.35">
      <c r="A36" s="294" t="s">
        <v>26</v>
      </c>
      <c r="B36" s="295"/>
      <c r="C36" s="296"/>
      <c r="D36" s="295"/>
      <c r="E36" s="295"/>
      <c r="F36" s="295"/>
      <c r="G36" s="295"/>
    </row>
    <row r="37" spans="1:83" x14ac:dyDescent="0.35">
      <c r="A37" s="302" t="s">
        <v>1345</v>
      </c>
      <c r="B37" s="297"/>
      <c r="C37" s="296"/>
      <c r="D37" s="295"/>
      <c r="E37" s="295"/>
      <c r="F37" s="295"/>
      <c r="G37" s="295"/>
    </row>
    <row r="38" spans="1:83" x14ac:dyDescent="0.35">
      <c r="A38" s="298" t="s">
        <v>27</v>
      </c>
      <c r="B38" s="297"/>
      <c r="C38" s="296"/>
      <c r="D38" s="295"/>
      <c r="E38" s="295"/>
      <c r="F38" s="295"/>
      <c r="G38" s="295"/>
    </row>
    <row r="39" spans="1:83" x14ac:dyDescent="0.35">
      <c r="A39" s="303" t="s">
        <v>1346</v>
      </c>
      <c r="B39" s="295"/>
      <c r="C39" s="296"/>
      <c r="D39" s="295"/>
      <c r="E39" s="295"/>
      <c r="F39" s="295"/>
      <c r="G39" s="295"/>
    </row>
    <row r="40" spans="1:83" x14ac:dyDescent="0.35">
      <c r="A40" s="298" t="s">
        <v>28</v>
      </c>
      <c r="B40" s="295"/>
      <c r="C40" s="296"/>
      <c r="D40" s="295"/>
      <c r="E40" s="295"/>
      <c r="F40" s="295"/>
      <c r="G40" s="295"/>
    </row>
    <row r="41" spans="1:83" x14ac:dyDescent="0.35">
      <c r="C41" s="13"/>
    </row>
    <row r="42" spans="1:83" x14ac:dyDescent="0.35">
      <c r="A42" s="11" t="s">
        <v>29</v>
      </c>
      <c r="C42" s="13"/>
      <c r="F42" s="15" t="s">
        <v>30</v>
      </c>
    </row>
    <row r="43" spans="1:83" x14ac:dyDescent="0.35">
      <c r="A43" s="15" t="s">
        <v>31</v>
      </c>
      <c r="C43" s="13"/>
    </row>
    <row r="44" spans="1:83" x14ac:dyDescent="0.35">
      <c r="A44" s="16"/>
      <c r="B44" s="16"/>
      <c r="C44" s="17" t="s">
        <v>32</v>
      </c>
      <c r="D44" s="18" t="s">
        <v>33</v>
      </c>
      <c r="E44" s="18" t="s">
        <v>34</v>
      </c>
      <c r="F44" s="18" t="s">
        <v>35</v>
      </c>
      <c r="G44" s="18" t="s">
        <v>36</v>
      </c>
      <c r="H44" s="18" t="s">
        <v>37</v>
      </c>
      <c r="I44" s="18" t="s">
        <v>38</v>
      </c>
      <c r="J44" s="18" t="s">
        <v>39</v>
      </c>
      <c r="K44" s="18" t="s">
        <v>40</v>
      </c>
      <c r="L44" s="18" t="s">
        <v>41</v>
      </c>
      <c r="M44" s="18" t="s">
        <v>42</v>
      </c>
      <c r="N44" s="18" t="s">
        <v>43</v>
      </c>
      <c r="O44" s="18" t="s">
        <v>44</v>
      </c>
      <c r="P44" s="18" t="s">
        <v>45</v>
      </c>
      <c r="Q44" s="18" t="s">
        <v>46</v>
      </c>
      <c r="R44" s="18" t="s">
        <v>47</v>
      </c>
      <c r="S44" s="18" t="s">
        <v>48</v>
      </c>
      <c r="T44" s="18" t="s">
        <v>49</v>
      </c>
      <c r="U44" s="18" t="s">
        <v>50</v>
      </c>
      <c r="V44" s="18" t="s">
        <v>51</v>
      </c>
      <c r="W44" s="18" t="s">
        <v>52</v>
      </c>
      <c r="X44" s="18" t="s">
        <v>53</v>
      </c>
      <c r="Y44" s="18" t="s">
        <v>54</v>
      </c>
      <c r="Z44" s="18" t="s">
        <v>55</v>
      </c>
      <c r="AA44" s="18" t="s">
        <v>56</v>
      </c>
      <c r="AB44" s="18" t="s">
        <v>57</v>
      </c>
      <c r="AC44" s="18" t="s">
        <v>58</v>
      </c>
      <c r="AD44" s="18" t="s">
        <v>59</v>
      </c>
      <c r="AE44" s="18" t="s">
        <v>60</v>
      </c>
      <c r="AF44" s="18" t="s">
        <v>61</v>
      </c>
      <c r="AG44" s="18" t="s">
        <v>62</v>
      </c>
      <c r="AH44" s="18" t="s">
        <v>63</v>
      </c>
      <c r="AI44" s="18" t="s">
        <v>64</v>
      </c>
      <c r="AJ44" s="18" t="s">
        <v>65</v>
      </c>
      <c r="AK44" s="18" t="s">
        <v>66</v>
      </c>
      <c r="AL44" s="18" t="s">
        <v>67</v>
      </c>
      <c r="AM44" s="18" t="s">
        <v>68</v>
      </c>
      <c r="AN44" s="18" t="s">
        <v>69</v>
      </c>
      <c r="AO44" s="18" t="s">
        <v>70</v>
      </c>
      <c r="AP44" s="18" t="s">
        <v>71</v>
      </c>
      <c r="AQ44" s="18" t="s">
        <v>72</v>
      </c>
      <c r="AR44" s="18" t="s">
        <v>73</v>
      </c>
      <c r="AS44" s="18" t="s">
        <v>74</v>
      </c>
      <c r="AT44" s="18" t="s">
        <v>75</v>
      </c>
      <c r="AU44" s="18" t="s">
        <v>76</v>
      </c>
      <c r="AV44" s="18" t="s">
        <v>77</v>
      </c>
      <c r="AW44" s="18" t="s">
        <v>78</v>
      </c>
      <c r="AX44" s="18" t="s">
        <v>79</v>
      </c>
      <c r="AY44" s="18" t="s">
        <v>80</v>
      </c>
      <c r="AZ44" s="18" t="s">
        <v>81</v>
      </c>
      <c r="BA44" s="18" t="s">
        <v>82</v>
      </c>
      <c r="BB44" s="18" t="s">
        <v>83</v>
      </c>
      <c r="BC44" s="18" t="s">
        <v>84</v>
      </c>
      <c r="BD44" s="18" t="s">
        <v>85</v>
      </c>
      <c r="BE44" s="18" t="s">
        <v>86</v>
      </c>
      <c r="BF44" s="18" t="s">
        <v>87</v>
      </c>
      <c r="BG44" s="18" t="s">
        <v>88</v>
      </c>
      <c r="BH44" s="18" t="s">
        <v>89</v>
      </c>
      <c r="BI44" s="18" t="s">
        <v>90</v>
      </c>
      <c r="BJ44" s="18" t="s">
        <v>91</v>
      </c>
      <c r="BK44" s="18" t="s">
        <v>92</v>
      </c>
      <c r="BL44" s="18" t="s">
        <v>93</v>
      </c>
      <c r="BM44" s="18" t="s">
        <v>94</v>
      </c>
      <c r="BN44" s="18" t="s">
        <v>95</v>
      </c>
      <c r="BO44" s="18" t="s">
        <v>96</v>
      </c>
      <c r="BP44" s="18" t="s">
        <v>97</v>
      </c>
      <c r="BQ44" s="18" t="s">
        <v>98</v>
      </c>
      <c r="BR44" s="18" t="s">
        <v>99</v>
      </c>
      <c r="BS44" s="18" t="s">
        <v>100</v>
      </c>
      <c r="BT44" s="18" t="s">
        <v>101</v>
      </c>
      <c r="BU44" s="18" t="s">
        <v>102</v>
      </c>
      <c r="BV44" s="18" t="s">
        <v>103</v>
      </c>
      <c r="BW44" s="18" t="s">
        <v>104</v>
      </c>
      <c r="BX44" s="18" t="s">
        <v>105</v>
      </c>
      <c r="BY44" s="18" t="s">
        <v>106</v>
      </c>
      <c r="BZ44" s="18" t="s">
        <v>107</v>
      </c>
      <c r="CA44" s="18" t="s">
        <v>108</v>
      </c>
      <c r="CB44" s="18" t="s">
        <v>109</v>
      </c>
      <c r="CC44" s="18" t="s">
        <v>110</v>
      </c>
      <c r="CD44" s="18" t="s">
        <v>111</v>
      </c>
      <c r="CE44" s="18" t="s">
        <v>112</v>
      </c>
    </row>
    <row r="45" spans="1:83" x14ac:dyDescent="0.35">
      <c r="A45" s="16"/>
      <c r="B45" s="19" t="s">
        <v>113</v>
      </c>
      <c r="C45" s="17" t="s">
        <v>114</v>
      </c>
      <c r="D45" s="18" t="s">
        <v>115</v>
      </c>
      <c r="E45" s="18" t="s">
        <v>116</v>
      </c>
      <c r="F45" s="18" t="s">
        <v>117</v>
      </c>
      <c r="G45" s="18" t="s">
        <v>118</v>
      </c>
      <c r="H45" s="18" t="s">
        <v>119</v>
      </c>
      <c r="I45" s="18" t="s">
        <v>120</v>
      </c>
      <c r="J45" s="18" t="s">
        <v>121</v>
      </c>
      <c r="K45" s="18" t="s">
        <v>122</v>
      </c>
      <c r="L45" s="18" t="s">
        <v>123</v>
      </c>
      <c r="M45" s="18" t="s">
        <v>124</v>
      </c>
      <c r="N45" s="18" t="s">
        <v>125</v>
      </c>
      <c r="O45" s="18" t="s">
        <v>126</v>
      </c>
      <c r="P45" s="18" t="s">
        <v>127</v>
      </c>
      <c r="Q45" s="18" t="s">
        <v>128</v>
      </c>
      <c r="R45" s="18" t="s">
        <v>129</v>
      </c>
      <c r="S45" s="18" t="s">
        <v>130</v>
      </c>
      <c r="T45" s="18" t="s">
        <v>131</v>
      </c>
      <c r="U45" s="18" t="s">
        <v>132</v>
      </c>
      <c r="V45" s="18" t="s">
        <v>133</v>
      </c>
      <c r="W45" s="18" t="s">
        <v>134</v>
      </c>
      <c r="X45" s="18" t="s">
        <v>135</v>
      </c>
      <c r="Y45" s="18" t="s">
        <v>136</v>
      </c>
      <c r="Z45" s="18" t="s">
        <v>136</v>
      </c>
      <c r="AA45" s="18" t="s">
        <v>137</v>
      </c>
      <c r="AB45" s="18" t="s">
        <v>138</v>
      </c>
      <c r="AC45" s="18" t="s">
        <v>139</v>
      </c>
      <c r="AD45" s="18" t="s">
        <v>140</v>
      </c>
      <c r="AE45" s="18" t="s">
        <v>118</v>
      </c>
      <c r="AF45" s="18" t="s">
        <v>119</v>
      </c>
      <c r="AG45" s="18" t="s">
        <v>141</v>
      </c>
      <c r="AH45" s="18" t="s">
        <v>142</v>
      </c>
      <c r="AI45" s="18" t="s">
        <v>143</v>
      </c>
      <c r="AJ45" s="18" t="s">
        <v>144</v>
      </c>
      <c r="AK45" s="18" t="s">
        <v>145</v>
      </c>
      <c r="AL45" s="18" t="s">
        <v>146</v>
      </c>
      <c r="AM45" s="18" t="s">
        <v>147</v>
      </c>
      <c r="AN45" s="18" t="s">
        <v>133</v>
      </c>
      <c r="AO45" s="18" t="s">
        <v>148</v>
      </c>
      <c r="AP45" s="18" t="s">
        <v>149</v>
      </c>
      <c r="AQ45" s="18" t="s">
        <v>150</v>
      </c>
      <c r="AR45" s="18" t="s">
        <v>151</v>
      </c>
      <c r="AS45" s="18" t="s">
        <v>152</v>
      </c>
      <c r="AT45" s="18" t="s">
        <v>153</v>
      </c>
      <c r="AU45" s="18" t="s">
        <v>154</v>
      </c>
      <c r="AV45" s="18" t="s">
        <v>155</v>
      </c>
      <c r="AW45" s="18" t="s">
        <v>156</v>
      </c>
      <c r="AX45" s="18" t="s">
        <v>157</v>
      </c>
      <c r="AY45" s="18" t="s">
        <v>158</v>
      </c>
      <c r="AZ45" s="18" t="s">
        <v>159</v>
      </c>
      <c r="BA45" s="18" t="s">
        <v>160</v>
      </c>
      <c r="BB45" s="18" t="s">
        <v>161</v>
      </c>
      <c r="BC45" s="18" t="s">
        <v>130</v>
      </c>
      <c r="BD45" s="18" t="s">
        <v>162</v>
      </c>
      <c r="BE45" s="18" t="s">
        <v>163</v>
      </c>
      <c r="BF45" s="18" t="s">
        <v>164</v>
      </c>
      <c r="BG45" s="18" t="s">
        <v>165</v>
      </c>
      <c r="BH45" s="18" t="s">
        <v>166</v>
      </c>
      <c r="BI45" s="18" t="s">
        <v>167</v>
      </c>
      <c r="BJ45" s="18" t="s">
        <v>168</v>
      </c>
      <c r="BK45" s="18" t="s">
        <v>169</v>
      </c>
      <c r="BL45" s="18" t="s">
        <v>170</v>
      </c>
      <c r="BM45" s="18" t="s">
        <v>155</v>
      </c>
      <c r="BN45" s="18" t="s">
        <v>171</v>
      </c>
      <c r="BO45" s="18" t="s">
        <v>172</v>
      </c>
      <c r="BP45" s="18" t="s">
        <v>173</v>
      </c>
      <c r="BQ45" s="18" t="s">
        <v>174</v>
      </c>
      <c r="BR45" s="18" t="s">
        <v>175</v>
      </c>
      <c r="BS45" s="18" t="s">
        <v>176</v>
      </c>
      <c r="BT45" s="18" t="s">
        <v>177</v>
      </c>
      <c r="BU45" s="18" t="s">
        <v>178</v>
      </c>
      <c r="BV45" s="18" t="s">
        <v>178</v>
      </c>
      <c r="BW45" s="18" t="s">
        <v>178</v>
      </c>
      <c r="BX45" s="18" t="s">
        <v>179</v>
      </c>
      <c r="BY45" s="18" t="s">
        <v>180</v>
      </c>
      <c r="BZ45" s="18" t="s">
        <v>181</v>
      </c>
      <c r="CA45" s="18" t="s">
        <v>182</v>
      </c>
      <c r="CB45" s="18" t="s">
        <v>183</v>
      </c>
      <c r="CC45" s="18" t="s">
        <v>155</v>
      </c>
      <c r="CD45" s="18"/>
      <c r="CE45" s="18" t="s">
        <v>184</v>
      </c>
    </row>
    <row r="46" spans="1:83" x14ac:dyDescent="0.35">
      <c r="A46" s="16" t="s">
        <v>9</v>
      </c>
      <c r="B46" s="18" t="s">
        <v>185</v>
      </c>
      <c r="C46" s="17" t="s">
        <v>186</v>
      </c>
      <c r="D46" s="18" t="s">
        <v>186</v>
      </c>
      <c r="E46" s="18" t="s">
        <v>186</v>
      </c>
      <c r="F46" s="18" t="s">
        <v>187</v>
      </c>
      <c r="G46" s="18" t="s">
        <v>188</v>
      </c>
      <c r="H46" s="18" t="s">
        <v>186</v>
      </c>
      <c r="I46" s="18" t="s">
        <v>189</v>
      </c>
      <c r="J46" s="18"/>
      <c r="K46" s="18" t="s">
        <v>180</v>
      </c>
      <c r="L46" s="18" t="s">
        <v>190</v>
      </c>
      <c r="M46" s="18" t="s">
        <v>191</v>
      </c>
      <c r="N46" s="18" t="s">
        <v>192</v>
      </c>
      <c r="O46" s="18" t="s">
        <v>193</v>
      </c>
      <c r="P46" s="18" t="s">
        <v>192</v>
      </c>
      <c r="Q46" s="18" t="s">
        <v>194</v>
      </c>
      <c r="R46" s="18"/>
      <c r="S46" s="18" t="s">
        <v>192</v>
      </c>
      <c r="T46" s="18" t="s">
        <v>195</v>
      </c>
      <c r="U46" s="18"/>
      <c r="V46" s="18" t="s">
        <v>196</v>
      </c>
      <c r="W46" s="18" t="s">
        <v>197</v>
      </c>
      <c r="X46" s="18" t="s">
        <v>198</v>
      </c>
      <c r="Y46" s="18" t="s">
        <v>199</v>
      </c>
      <c r="Z46" s="18" t="s">
        <v>200</v>
      </c>
      <c r="AA46" s="18" t="s">
        <v>201</v>
      </c>
      <c r="AB46" s="18"/>
      <c r="AC46" s="18" t="s">
        <v>195</v>
      </c>
      <c r="AD46" s="18"/>
      <c r="AE46" s="18" t="s">
        <v>195</v>
      </c>
      <c r="AF46" s="18" t="s">
        <v>202</v>
      </c>
      <c r="AG46" s="18" t="s">
        <v>194</v>
      </c>
      <c r="AH46" s="18"/>
      <c r="AI46" s="18" t="s">
        <v>203</v>
      </c>
      <c r="AJ46" s="18"/>
      <c r="AK46" s="18" t="s">
        <v>195</v>
      </c>
      <c r="AL46" s="18" t="s">
        <v>195</v>
      </c>
      <c r="AM46" s="18" t="s">
        <v>195</v>
      </c>
      <c r="AN46" s="18" t="s">
        <v>204</v>
      </c>
      <c r="AO46" s="18" t="s">
        <v>205</v>
      </c>
      <c r="AP46" s="18" t="s">
        <v>144</v>
      </c>
      <c r="AQ46" s="18" t="s">
        <v>206</v>
      </c>
      <c r="AR46" s="18" t="s">
        <v>192</v>
      </c>
      <c r="AS46" s="18"/>
      <c r="AT46" s="18" t="s">
        <v>207</v>
      </c>
      <c r="AU46" s="18" t="s">
        <v>208</v>
      </c>
      <c r="AV46" s="18" t="s">
        <v>209</v>
      </c>
      <c r="AW46" s="18" t="s">
        <v>210</v>
      </c>
      <c r="AX46" s="18" t="s">
        <v>211</v>
      </c>
      <c r="AY46" s="18"/>
      <c r="AZ46" s="18"/>
      <c r="BA46" s="18" t="s">
        <v>212</v>
      </c>
      <c r="BB46" s="18" t="s">
        <v>192</v>
      </c>
      <c r="BC46" s="18" t="s">
        <v>206</v>
      </c>
      <c r="BD46" s="18"/>
      <c r="BE46" s="18"/>
      <c r="BF46" s="18"/>
      <c r="BG46" s="18"/>
      <c r="BH46" s="18" t="s">
        <v>213</v>
      </c>
      <c r="BI46" s="18" t="s">
        <v>192</v>
      </c>
      <c r="BJ46" s="18"/>
      <c r="BK46" s="18" t="s">
        <v>214</v>
      </c>
      <c r="BL46" s="18"/>
      <c r="BM46" s="18" t="s">
        <v>215</v>
      </c>
      <c r="BN46" s="18" t="s">
        <v>216</v>
      </c>
      <c r="BO46" s="18" t="s">
        <v>217</v>
      </c>
      <c r="BP46" s="18" t="s">
        <v>218</v>
      </c>
      <c r="BQ46" s="18" t="s">
        <v>219</v>
      </c>
      <c r="BR46" s="18"/>
      <c r="BS46" s="18" t="s">
        <v>220</v>
      </c>
      <c r="BT46" s="18" t="s">
        <v>192</v>
      </c>
      <c r="BU46" s="18" t="s">
        <v>221</v>
      </c>
      <c r="BV46" s="18" t="s">
        <v>222</v>
      </c>
      <c r="BW46" s="18" t="s">
        <v>223</v>
      </c>
      <c r="BX46" s="18" t="s">
        <v>174</v>
      </c>
      <c r="BY46" s="18" t="s">
        <v>216</v>
      </c>
      <c r="BZ46" s="18" t="s">
        <v>175</v>
      </c>
      <c r="CA46" s="18" t="s">
        <v>224</v>
      </c>
      <c r="CB46" s="18" t="s">
        <v>224</v>
      </c>
      <c r="CC46" s="18" t="s">
        <v>225</v>
      </c>
      <c r="CD46" s="18"/>
      <c r="CE46" s="18" t="s">
        <v>226</v>
      </c>
    </row>
    <row r="47" spans="1:83" x14ac:dyDescent="0.35">
      <c r="A47" s="16" t="s">
        <v>227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35">
      <c r="A48" s="25" t="s">
        <v>228</v>
      </c>
      <c r="B48" s="272">
        <v>2104028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44934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514332</v>
      </c>
      <c r="M48" s="25">
        <f t="shared" si="0"/>
        <v>0</v>
      </c>
      <c r="N48" s="25">
        <f t="shared" si="0"/>
        <v>184230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26024</v>
      </c>
      <c r="T48" s="25">
        <f t="shared" si="0"/>
        <v>0</v>
      </c>
      <c r="U48" s="25">
        <f t="shared" si="0"/>
        <v>97644</v>
      </c>
      <c r="V48" s="25">
        <f t="shared" si="0"/>
        <v>0</v>
      </c>
      <c r="W48" s="25">
        <f t="shared" si="0"/>
        <v>7229</v>
      </c>
      <c r="X48" s="25">
        <f t="shared" si="0"/>
        <v>32955</v>
      </c>
      <c r="Y48" s="25">
        <f t="shared" si="0"/>
        <v>71968</v>
      </c>
      <c r="Z48" s="25">
        <f t="shared" si="0"/>
        <v>0</v>
      </c>
      <c r="AA48" s="25">
        <f t="shared" si="0"/>
        <v>0</v>
      </c>
      <c r="AB48" s="25">
        <f t="shared" si="0"/>
        <v>0</v>
      </c>
      <c r="AC48" s="25">
        <f t="shared" si="0"/>
        <v>0</v>
      </c>
      <c r="AD48" s="25">
        <f t="shared" si="0"/>
        <v>0</v>
      </c>
      <c r="AE48" s="25">
        <f t="shared" si="0"/>
        <v>101444</v>
      </c>
      <c r="AF48" s="25">
        <f t="shared" si="0"/>
        <v>0</v>
      </c>
      <c r="AG48" s="25">
        <f t="shared" si="0"/>
        <v>69951</v>
      </c>
      <c r="AH48" s="25">
        <f t="shared" si="0"/>
        <v>0</v>
      </c>
      <c r="AI48" s="25">
        <f t="shared" ref="AI48:BN48" si="1">IF($B$48,(ROUND((($B$48/$CE$61)*AI61),0)))</f>
        <v>4078</v>
      </c>
      <c r="AJ48" s="25">
        <f t="shared" si="1"/>
        <v>162874</v>
      </c>
      <c r="AK48" s="25">
        <f t="shared" si="1"/>
        <v>651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11805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59970</v>
      </c>
      <c r="AZ48" s="25">
        <f t="shared" si="1"/>
        <v>0</v>
      </c>
      <c r="BA48" s="25">
        <f t="shared" si="1"/>
        <v>14799</v>
      </c>
      <c r="BB48" s="25">
        <f t="shared" si="1"/>
        <v>0</v>
      </c>
      <c r="BC48" s="25">
        <f t="shared" si="1"/>
        <v>0</v>
      </c>
      <c r="BD48" s="25">
        <f t="shared" si="1"/>
        <v>0</v>
      </c>
      <c r="BE48" s="25">
        <f t="shared" si="1"/>
        <v>60023</v>
      </c>
      <c r="BF48" s="25">
        <f t="shared" si="1"/>
        <v>48655</v>
      </c>
      <c r="BG48" s="25">
        <f t="shared" si="1"/>
        <v>0</v>
      </c>
      <c r="BH48" s="25">
        <f t="shared" si="1"/>
        <v>53367</v>
      </c>
      <c r="BI48" s="25">
        <f t="shared" si="1"/>
        <v>0</v>
      </c>
      <c r="BJ48" s="25">
        <f t="shared" si="1"/>
        <v>37435</v>
      </c>
      <c r="BK48" s="25">
        <f t="shared" si="1"/>
        <v>50442</v>
      </c>
      <c r="BL48" s="25">
        <f t="shared" si="1"/>
        <v>0</v>
      </c>
      <c r="BM48" s="25">
        <f t="shared" si="1"/>
        <v>0</v>
      </c>
      <c r="BN48" s="25">
        <f t="shared" si="1"/>
        <v>58140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29763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29612</v>
      </c>
      <c r="BW48" s="25">
        <f t="shared" si="2"/>
        <v>281512</v>
      </c>
      <c r="BX48" s="25">
        <f t="shared" si="2"/>
        <v>1023</v>
      </c>
      <c r="BY48" s="25">
        <f t="shared" si="2"/>
        <v>44772</v>
      </c>
      <c r="BZ48" s="25">
        <f t="shared" si="2"/>
        <v>0</v>
      </c>
      <c r="CA48" s="25">
        <f t="shared" si="2"/>
        <v>4396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2104028</v>
      </c>
    </row>
    <row r="49" spans="1:83" x14ac:dyDescent="0.35">
      <c r="A49" s="16" t="s">
        <v>229</v>
      </c>
      <c r="B49" s="25">
        <f>B47+B48</f>
        <v>2104028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230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35">
      <c r="A52" s="31" t="s">
        <v>231</v>
      </c>
      <c r="B52" s="272">
        <v>967666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16062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184019</v>
      </c>
      <c r="M52" s="25">
        <f t="shared" si="3"/>
        <v>0</v>
      </c>
      <c r="N52" s="25">
        <f t="shared" si="3"/>
        <v>318993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24753</v>
      </c>
      <c r="T52" s="25">
        <f t="shared" si="3"/>
        <v>0</v>
      </c>
      <c r="U52" s="25">
        <f t="shared" si="3"/>
        <v>28622</v>
      </c>
      <c r="V52" s="25">
        <f t="shared" si="3"/>
        <v>0</v>
      </c>
      <c r="W52" s="25">
        <f t="shared" si="3"/>
        <v>1751</v>
      </c>
      <c r="X52" s="25">
        <f t="shared" si="3"/>
        <v>7985</v>
      </c>
      <c r="Y52" s="25">
        <f t="shared" si="3"/>
        <v>17413</v>
      </c>
      <c r="Z52" s="25">
        <f t="shared" si="3"/>
        <v>0</v>
      </c>
      <c r="AA52" s="25">
        <f t="shared" si="3"/>
        <v>0</v>
      </c>
      <c r="AB52" s="25">
        <f t="shared" si="3"/>
        <v>3071</v>
      </c>
      <c r="AC52" s="25">
        <f t="shared" si="3"/>
        <v>0</v>
      </c>
      <c r="AD52" s="25">
        <f t="shared" si="3"/>
        <v>0</v>
      </c>
      <c r="AE52" s="25">
        <f t="shared" si="3"/>
        <v>57982</v>
      </c>
      <c r="AF52" s="25">
        <f t="shared" si="3"/>
        <v>0</v>
      </c>
      <c r="AG52" s="25">
        <f t="shared" si="3"/>
        <v>30619</v>
      </c>
      <c r="AH52" s="25">
        <f t="shared" si="3"/>
        <v>0</v>
      </c>
      <c r="AI52" s="25">
        <f t="shared" ref="AI52:BN52" si="4">IF($B$52,ROUND(($B$52/($CE$90+$CF$90)*AI90),0))</f>
        <v>11639</v>
      </c>
      <c r="AJ52" s="25">
        <f t="shared" si="4"/>
        <v>58289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4238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29114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33106</v>
      </c>
      <c r="BF52" s="25">
        <f t="shared" si="4"/>
        <v>22480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72109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12407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23647</v>
      </c>
      <c r="BW52" s="25">
        <f t="shared" si="5"/>
        <v>0</v>
      </c>
      <c r="BX52" s="25">
        <f t="shared" si="5"/>
        <v>0</v>
      </c>
      <c r="BY52" s="25">
        <f t="shared" si="5"/>
        <v>9367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967666</v>
      </c>
    </row>
    <row r="53" spans="1:83" x14ac:dyDescent="0.35">
      <c r="A53" s="16" t="s">
        <v>229</v>
      </c>
      <c r="B53" s="25">
        <f>B51+B52</f>
        <v>967666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232</v>
      </c>
      <c r="B55" s="16"/>
      <c r="C55" s="17" t="s">
        <v>32</v>
      </c>
      <c r="D55" s="18" t="s">
        <v>33</v>
      </c>
      <c r="E55" s="18" t="s">
        <v>34</v>
      </c>
      <c r="F55" s="18" t="s">
        <v>35</v>
      </c>
      <c r="G55" s="18" t="s">
        <v>36</v>
      </c>
      <c r="H55" s="18" t="s">
        <v>37</v>
      </c>
      <c r="I55" s="18" t="s">
        <v>38</v>
      </c>
      <c r="J55" s="18" t="s">
        <v>39</v>
      </c>
      <c r="K55" s="18" t="s">
        <v>40</v>
      </c>
      <c r="L55" s="18" t="s">
        <v>41</v>
      </c>
      <c r="M55" s="18" t="s">
        <v>42</v>
      </c>
      <c r="N55" s="18" t="s">
        <v>43</v>
      </c>
      <c r="O55" s="18" t="s">
        <v>44</v>
      </c>
      <c r="P55" s="18" t="s">
        <v>45</v>
      </c>
      <c r="Q55" s="18" t="s">
        <v>46</v>
      </c>
      <c r="R55" s="18" t="s">
        <v>47</v>
      </c>
      <c r="S55" s="18" t="s">
        <v>48</v>
      </c>
      <c r="T55" s="23" t="s">
        <v>49</v>
      </c>
      <c r="U55" s="18" t="s">
        <v>50</v>
      </c>
      <c r="V55" s="18" t="s">
        <v>51</v>
      </c>
      <c r="W55" s="18" t="s">
        <v>52</v>
      </c>
      <c r="X55" s="18" t="s">
        <v>53</v>
      </c>
      <c r="Y55" s="18" t="s">
        <v>54</v>
      </c>
      <c r="Z55" s="18" t="s">
        <v>55</v>
      </c>
      <c r="AA55" s="18" t="s">
        <v>56</v>
      </c>
      <c r="AB55" s="18" t="s">
        <v>57</v>
      </c>
      <c r="AC55" s="18" t="s">
        <v>58</v>
      </c>
      <c r="AD55" s="18" t="s">
        <v>59</v>
      </c>
      <c r="AE55" s="18" t="s">
        <v>60</v>
      </c>
      <c r="AF55" s="18" t="s">
        <v>61</v>
      </c>
      <c r="AG55" s="18" t="s">
        <v>62</v>
      </c>
      <c r="AH55" s="18" t="s">
        <v>63</v>
      </c>
      <c r="AI55" s="18" t="s">
        <v>64</v>
      </c>
      <c r="AJ55" s="18" t="s">
        <v>65</v>
      </c>
      <c r="AK55" s="18" t="s">
        <v>66</v>
      </c>
      <c r="AL55" s="18" t="s">
        <v>67</v>
      </c>
      <c r="AM55" s="18" t="s">
        <v>68</v>
      </c>
      <c r="AN55" s="18" t="s">
        <v>69</v>
      </c>
      <c r="AO55" s="18" t="s">
        <v>70</v>
      </c>
      <c r="AP55" s="18" t="s">
        <v>71</v>
      </c>
      <c r="AQ55" s="18" t="s">
        <v>72</v>
      </c>
      <c r="AR55" s="18" t="s">
        <v>73</v>
      </c>
      <c r="AS55" s="18" t="s">
        <v>74</v>
      </c>
      <c r="AT55" s="18" t="s">
        <v>75</v>
      </c>
      <c r="AU55" s="18" t="s">
        <v>76</v>
      </c>
      <c r="AV55" s="18" t="s">
        <v>77</v>
      </c>
      <c r="AW55" s="18" t="s">
        <v>78</v>
      </c>
      <c r="AX55" s="18" t="s">
        <v>79</v>
      </c>
      <c r="AY55" s="18" t="s">
        <v>80</v>
      </c>
      <c r="AZ55" s="18" t="s">
        <v>81</v>
      </c>
      <c r="BA55" s="18" t="s">
        <v>82</v>
      </c>
      <c r="BB55" s="18" t="s">
        <v>83</v>
      </c>
      <c r="BC55" s="18" t="s">
        <v>84</v>
      </c>
      <c r="BD55" s="18" t="s">
        <v>85</v>
      </c>
      <c r="BE55" s="18" t="s">
        <v>86</v>
      </c>
      <c r="BF55" s="18" t="s">
        <v>87</v>
      </c>
      <c r="BG55" s="18" t="s">
        <v>88</v>
      </c>
      <c r="BH55" s="18" t="s">
        <v>89</v>
      </c>
      <c r="BI55" s="18" t="s">
        <v>90</v>
      </c>
      <c r="BJ55" s="18" t="s">
        <v>91</v>
      </c>
      <c r="BK55" s="18" t="s">
        <v>92</v>
      </c>
      <c r="BL55" s="18" t="s">
        <v>93</v>
      </c>
      <c r="BM55" s="18" t="s">
        <v>94</v>
      </c>
      <c r="BN55" s="18" t="s">
        <v>95</v>
      </c>
      <c r="BO55" s="18" t="s">
        <v>96</v>
      </c>
      <c r="BP55" s="18" t="s">
        <v>97</v>
      </c>
      <c r="BQ55" s="18" t="s">
        <v>98</v>
      </c>
      <c r="BR55" s="18" t="s">
        <v>99</v>
      </c>
      <c r="BS55" s="18" t="s">
        <v>100</v>
      </c>
      <c r="BT55" s="18" t="s">
        <v>101</v>
      </c>
      <c r="BU55" s="18" t="s">
        <v>102</v>
      </c>
      <c r="BV55" s="18" t="s">
        <v>103</v>
      </c>
      <c r="BW55" s="18" t="s">
        <v>104</v>
      </c>
      <c r="BX55" s="18" t="s">
        <v>105</v>
      </c>
      <c r="BY55" s="18" t="s">
        <v>106</v>
      </c>
      <c r="BZ55" s="18" t="s">
        <v>107</v>
      </c>
      <c r="CA55" s="18" t="s">
        <v>108</v>
      </c>
      <c r="CB55" s="18" t="s">
        <v>109</v>
      </c>
      <c r="CC55" s="18" t="s">
        <v>110</v>
      </c>
      <c r="CD55" s="18" t="s">
        <v>111</v>
      </c>
      <c r="CE55" s="18" t="s">
        <v>112</v>
      </c>
    </row>
    <row r="56" spans="1:83" x14ac:dyDescent="0.35">
      <c r="A56" s="21" t="s">
        <v>233</v>
      </c>
      <c r="B56" s="16"/>
      <c r="C56" s="17" t="s">
        <v>114</v>
      </c>
      <c r="D56" s="18" t="s">
        <v>115</v>
      </c>
      <c r="E56" s="18" t="s">
        <v>116</v>
      </c>
      <c r="F56" s="18" t="s">
        <v>117</v>
      </c>
      <c r="G56" s="18" t="s">
        <v>118</v>
      </c>
      <c r="H56" s="18" t="s">
        <v>119</v>
      </c>
      <c r="I56" s="18" t="s">
        <v>120</v>
      </c>
      <c r="J56" s="18" t="s">
        <v>121</v>
      </c>
      <c r="K56" s="18" t="s">
        <v>122</v>
      </c>
      <c r="L56" s="18" t="s">
        <v>123</v>
      </c>
      <c r="M56" s="18" t="s">
        <v>124</v>
      </c>
      <c r="N56" s="18" t="s">
        <v>125</v>
      </c>
      <c r="O56" s="18" t="s">
        <v>126</v>
      </c>
      <c r="P56" s="18" t="s">
        <v>127</v>
      </c>
      <c r="Q56" s="18" t="s">
        <v>128</v>
      </c>
      <c r="R56" s="18" t="s">
        <v>129</v>
      </c>
      <c r="S56" s="18" t="s">
        <v>130</v>
      </c>
      <c r="T56" s="18" t="s">
        <v>131</v>
      </c>
      <c r="U56" s="18" t="s">
        <v>132</v>
      </c>
      <c r="V56" s="18" t="s">
        <v>133</v>
      </c>
      <c r="W56" s="18" t="s">
        <v>134</v>
      </c>
      <c r="X56" s="18" t="s">
        <v>135</v>
      </c>
      <c r="Y56" s="18" t="s">
        <v>136</v>
      </c>
      <c r="Z56" s="18" t="s">
        <v>136</v>
      </c>
      <c r="AA56" s="18" t="s">
        <v>137</v>
      </c>
      <c r="AB56" s="18" t="s">
        <v>138</v>
      </c>
      <c r="AC56" s="18" t="s">
        <v>139</v>
      </c>
      <c r="AD56" s="18" t="s">
        <v>140</v>
      </c>
      <c r="AE56" s="18" t="s">
        <v>118</v>
      </c>
      <c r="AF56" s="18" t="s">
        <v>119</v>
      </c>
      <c r="AG56" s="18" t="s">
        <v>141</v>
      </c>
      <c r="AH56" s="18" t="s">
        <v>142</v>
      </c>
      <c r="AI56" s="18" t="s">
        <v>143</v>
      </c>
      <c r="AJ56" s="18" t="s">
        <v>144</v>
      </c>
      <c r="AK56" s="18" t="s">
        <v>145</v>
      </c>
      <c r="AL56" s="18" t="s">
        <v>146</v>
      </c>
      <c r="AM56" s="18" t="s">
        <v>147</v>
      </c>
      <c r="AN56" s="18" t="s">
        <v>133</v>
      </c>
      <c r="AO56" s="18" t="s">
        <v>148</v>
      </c>
      <c r="AP56" s="18" t="s">
        <v>149</v>
      </c>
      <c r="AQ56" s="18" t="s">
        <v>150</v>
      </c>
      <c r="AR56" s="18" t="s">
        <v>151</v>
      </c>
      <c r="AS56" s="18" t="s">
        <v>152</v>
      </c>
      <c r="AT56" s="18" t="s">
        <v>153</v>
      </c>
      <c r="AU56" s="18" t="s">
        <v>154</v>
      </c>
      <c r="AV56" s="18" t="s">
        <v>155</v>
      </c>
      <c r="AW56" s="18" t="s">
        <v>156</v>
      </c>
      <c r="AX56" s="18" t="s">
        <v>157</v>
      </c>
      <c r="AY56" s="18" t="s">
        <v>158</v>
      </c>
      <c r="AZ56" s="18" t="s">
        <v>159</v>
      </c>
      <c r="BA56" s="18" t="s">
        <v>160</v>
      </c>
      <c r="BB56" s="18" t="s">
        <v>161</v>
      </c>
      <c r="BC56" s="18" t="s">
        <v>130</v>
      </c>
      <c r="BD56" s="18" t="s">
        <v>162</v>
      </c>
      <c r="BE56" s="18" t="s">
        <v>163</v>
      </c>
      <c r="BF56" s="18" t="s">
        <v>164</v>
      </c>
      <c r="BG56" s="18" t="s">
        <v>165</v>
      </c>
      <c r="BH56" s="18" t="s">
        <v>166</v>
      </c>
      <c r="BI56" s="18" t="s">
        <v>167</v>
      </c>
      <c r="BJ56" s="18" t="s">
        <v>168</v>
      </c>
      <c r="BK56" s="18" t="s">
        <v>169</v>
      </c>
      <c r="BL56" s="18" t="s">
        <v>170</v>
      </c>
      <c r="BM56" s="18" t="s">
        <v>155</v>
      </c>
      <c r="BN56" s="18" t="s">
        <v>171</v>
      </c>
      <c r="BO56" s="18" t="s">
        <v>172</v>
      </c>
      <c r="BP56" s="18" t="s">
        <v>173</v>
      </c>
      <c r="BQ56" s="18" t="s">
        <v>174</v>
      </c>
      <c r="BR56" s="18" t="s">
        <v>175</v>
      </c>
      <c r="BS56" s="18" t="s">
        <v>176</v>
      </c>
      <c r="BT56" s="18" t="s">
        <v>177</v>
      </c>
      <c r="BU56" s="18" t="s">
        <v>178</v>
      </c>
      <c r="BV56" s="18" t="s">
        <v>178</v>
      </c>
      <c r="BW56" s="18" t="s">
        <v>178</v>
      </c>
      <c r="BX56" s="18" t="s">
        <v>179</v>
      </c>
      <c r="BY56" s="18" t="s">
        <v>180</v>
      </c>
      <c r="BZ56" s="18" t="s">
        <v>181</v>
      </c>
      <c r="CA56" s="18" t="s">
        <v>182</v>
      </c>
      <c r="CB56" s="18" t="s">
        <v>183</v>
      </c>
      <c r="CC56" s="18" t="s">
        <v>155</v>
      </c>
      <c r="CD56" s="18" t="s">
        <v>234</v>
      </c>
      <c r="CE56" s="18" t="s">
        <v>184</v>
      </c>
    </row>
    <row r="57" spans="1:83" x14ac:dyDescent="0.35">
      <c r="A57" s="21" t="s">
        <v>235</v>
      </c>
      <c r="B57" s="16"/>
      <c r="C57" s="17" t="s">
        <v>186</v>
      </c>
      <c r="D57" s="18" t="s">
        <v>186</v>
      </c>
      <c r="E57" s="18" t="s">
        <v>186</v>
      </c>
      <c r="F57" s="18" t="s">
        <v>187</v>
      </c>
      <c r="G57" s="18" t="s">
        <v>188</v>
      </c>
      <c r="H57" s="18" t="s">
        <v>186</v>
      </c>
      <c r="I57" s="18" t="s">
        <v>189</v>
      </c>
      <c r="J57" s="18"/>
      <c r="K57" s="18" t="s">
        <v>180</v>
      </c>
      <c r="L57" s="18" t="s">
        <v>190</v>
      </c>
      <c r="M57" s="18" t="s">
        <v>191</v>
      </c>
      <c r="N57" s="18" t="s">
        <v>192</v>
      </c>
      <c r="O57" s="18" t="s">
        <v>193</v>
      </c>
      <c r="P57" s="18" t="s">
        <v>192</v>
      </c>
      <c r="Q57" s="18" t="s">
        <v>194</v>
      </c>
      <c r="R57" s="18"/>
      <c r="S57" s="18" t="s">
        <v>192</v>
      </c>
      <c r="T57" s="18" t="s">
        <v>195</v>
      </c>
      <c r="U57" s="18"/>
      <c r="V57" s="18" t="s">
        <v>196</v>
      </c>
      <c r="W57" s="18" t="s">
        <v>197</v>
      </c>
      <c r="X57" s="18" t="s">
        <v>198</v>
      </c>
      <c r="Y57" s="18" t="s">
        <v>199</v>
      </c>
      <c r="Z57" s="18" t="s">
        <v>200</v>
      </c>
      <c r="AA57" s="18" t="s">
        <v>201</v>
      </c>
      <c r="AB57" s="18"/>
      <c r="AC57" s="18" t="s">
        <v>195</v>
      </c>
      <c r="AD57" s="18"/>
      <c r="AE57" s="18" t="s">
        <v>195</v>
      </c>
      <c r="AF57" s="18" t="s">
        <v>202</v>
      </c>
      <c r="AG57" s="18" t="s">
        <v>194</v>
      </c>
      <c r="AH57" s="18"/>
      <c r="AI57" s="18" t="s">
        <v>203</v>
      </c>
      <c r="AJ57" s="18"/>
      <c r="AK57" s="18" t="s">
        <v>195</v>
      </c>
      <c r="AL57" s="18" t="s">
        <v>195</v>
      </c>
      <c r="AM57" s="18" t="s">
        <v>195</v>
      </c>
      <c r="AN57" s="18" t="s">
        <v>204</v>
      </c>
      <c r="AO57" s="18" t="s">
        <v>205</v>
      </c>
      <c r="AP57" s="18" t="s">
        <v>144</v>
      </c>
      <c r="AQ57" s="18" t="s">
        <v>206</v>
      </c>
      <c r="AR57" s="18" t="s">
        <v>192</v>
      </c>
      <c r="AS57" s="18"/>
      <c r="AT57" s="18" t="s">
        <v>207</v>
      </c>
      <c r="AU57" s="18" t="s">
        <v>208</v>
      </c>
      <c r="AV57" s="18" t="s">
        <v>209</v>
      </c>
      <c r="AW57" s="18" t="s">
        <v>210</v>
      </c>
      <c r="AX57" s="18" t="s">
        <v>211</v>
      </c>
      <c r="AY57" s="18"/>
      <c r="AZ57" s="18"/>
      <c r="BA57" s="18" t="s">
        <v>212</v>
      </c>
      <c r="BB57" s="18" t="s">
        <v>192</v>
      </c>
      <c r="BC57" s="18" t="s">
        <v>206</v>
      </c>
      <c r="BD57" s="18"/>
      <c r="BE57" s="18"/>
      <c r="BF57" s="18"/>
      <c r="BG57" s="18"/>
      <c r="BH57" s="18" t="s">
        <v>213</v>
      </c>
      <c r="BI57" s="18" t="s">
        <v>192</v>
      </c>
      <c r="BJ57" s="18"/>
      <c r="BK57" s="18" t="s">
        <v>214</v>
      </c>
      <c r="BL57" s="18"/>
      <c r="BM57" s="18" t="s">
        <v>215</v>
      </c>
      <c r="BN57" s="18" t="s">
        <v>216</v>
      </c>
      <c r="BO57" s="18" t="s">
        <v>217</v>
      </c>
      <c r="BP57" s="18" t="s">
        <v>218</v>
      </c>
      <c r="BQ57" s="18" t="s">
        <v>219</v>
      </c>
      <c r="BR57" s="18"/>
      <c r="BS57" s="18" t="s">
        <v>220</v>
      </c>
      <c r="BT57" s="18" t="s">
        <v>192</v>
      </c>
      <c r="BU57" s="18" t="s">
        <v>221</v>
      </c>
      <c r="BV57" s="18" t="s">
        <v>222</v>
      </c>
      <c r="BW57" s="18" t="s">
        <v>223</v>
      </c>
      <c r="BX57" s="18" t="s">
        <v>174</v>
      </c>
      <c r="BY57" s="18" t="s">
        <v>216</v>
      </c>
      <c r="BZ57" s="18" t="s">
        <v>175</v>
      </c>
      <c r="CA57" s="18" t="s">
        <v>224</v>
      </c>
      <c r="CB57" s="18" t="s">
        <v>224</v>
      </c>
      <c r="CC57" s="18" t="s">
        <v>225</v>
      </c>
      <c r="CD57" s="18" t="s">
        <v>236</v>
      </c>
      <c r="CE57" s="18" t="s">
        <v>226</v>
      </c>
    </row>
    <row r="58" spans="1:83" x14ac:dyDescent="0.35">
      <c r="A58" s="21" t="s">
        <v>237</v>
      </c>
      <c r="B58" s="16"/>
      <c r="C58" s="17" t="s">
        <v>238</v>
      </c>
      <c r="D58" s="18" t="s">
        <v>238</v>
      </c>
      <c r="E58" s="18" t="s">
        <v>238</v>
      </c>
      <c r="F58" s="18" t="s">
        <v>238</v>
      </c>
      <c r="G58" s="18" t="s">
        <v>238</v>
      </c>
      <c r="H58" s="18" t="s">
        <v>238</v>
      </c>
      <c r="I58" s="18" t="s">
        <v>238</v>
      </c>
      <c r="J58" s="18" t="s">
        <v>239</v>
      </c>
      <c r="K58" s="18" t="s">
        <v>238</v>
      </c>
      <c r="L58" s="18" t="s">
        <v>238</v>
      </c>
      <c r="M58" s="18" t="s">
        <v>238</v>
      </c>
      <c r="N58" s="18" t="s">
        <v>238</v>
      </c>
      <c r="O58" s="18" t="s">
        <v>240</v>
      </c>
      <c r="P58" s="18" t="s">
        <v>241</v>
      </c>
      <c r="Q58" s="18" t="s">
        <v>242</v>
      </c>
      <c r="R58" s="19" t="s">
        <v>243</v>
      </c>
      <c r="S58" s="24" t="s">
        <v>244</v>
      </c>
      <c r="T58" s="24" t="s">
        <v>244</v>
      </c>
      <c r="U58" s="18" t="s">
        <v>245</v>
      </c>
      <c r="V58" s="18" t="s">
        <v>245</v>
      </c>
      <c r="W58" s="18" t="s">
        <v>246</v>
      </c>
      <c r="X58" s="18" t="s">
        <v>247</v>
      </c>
      <c r="Y58" s="18" t="s">
        <v>248</v>
      </c>
      <c r="Z58" s="18" t="s">
        <v>248</v>
      </c>
      <c r="AA58" s="18" t="s">
        <v>248</v>
      </c>
      <c r="AB58" s="24" t="s">
        <v>244</v>
      </c>
      <c r="AC58" s="18" t="s">
        <v>249</v>
      </c>
      <c r="AD58" s="18" t="s">
        <v>250</v>
      </c>
      <c r="AE58" s="18" t="s">
        <v>249</v>
      </c>
      <c r="AF58" s="18" t="s">
        <v>251</v>
      </c>
      <c r="AG58" s="18" t="s">
        <v>251</v>
      </c>
      <c r="AH58" s="18" t="s">
        <v>252</v>
      </c>
      <c r="AI58" s="18" t="s">
        <v>253</v>
      </c>
      <c r="AJ58" s="18" t="s">
        <v>251</v>
      </c>
      <c r="AK58" s="18" t="s">
        <v>249</v>
      </c>
      <c r="AL58" s="18" t="s">
        <v>249</v>
      </c>
      <c r="AM58" s="18" t="s">
        <v>249</v>
      </c>
      <c r="AN58" s="18" t="s">
        <v>240</v>
      </c>
      <c r="AO58" s="18" t="s">
        <v>250</v>
      </c>
      <c r="AP58" s="18" t="s">
        <v>251</v>
      </c>
      <c r="AQ58" s="18" t="s">
        <v>252</v>
      </c>
      <c r="AR58" s="18" t="s">
        <v>251</v>
      </c>
      <c r="AS58" s="18" t="s">
        <v>249</v>
      </c>
      <c r="AT58" s="18" t="s">
        <v>254</v>
      </c>
      <c r="AU58" s="18" t="s">
        <v>251</v>
      </c>
      <c r="AV58" s="24" t="s">
        <v>244</v>
      </c>
      <c r="AW58" s="24" t="s">
        <v>244</v>
      </c>
      <c r="AX58" s="24" t="s">
        <v>244</v>
      </c>
      <c r="AY58" s="18" t="s">
        <v>255</v>
      </c>
      <c r="AZ58" s="18" t="s">
        <v>255</v>
      </c>
      <c r="BA58" s="24" t="s">
        <v>244</v>
      </c>
      <c r="BB58" s="24" t="s">
        <v>244</v>
      </c>
      <c r="BC58" s="24" t="s">
        <v>244</v>
      </c>
      <c r="BD58" s="24" t="s">
        <v>244</v>
      </c>
      <c r="BE58" s="18" t="s">
        <v>256</v>
      </c>
      <c r="BF58" s="24" t="s">
        <v>244</v>
      </c>
      <c r="BG58" s="24" t="s">
        <v>244</v>
      </c>
      <c r="BH58" s="24" t="s">
        <v>244</v>
      </c>
      <c r="BI58" s="24" t="s">
        <v>244</v>
      </c>
      <c r="BJ58" s="24" t="s">
        <v>244</v>
      </c>
      <c r="BK58" s="24" t="s">
        <v>244</v>
      </c>
      <c r="BL58" s="24" t="s">
        <v>244</v>
      </c>
      <c r="BM58" s="24" t="s">
        <v>244</v>
      </c>
      <c r="BN58" s="24" t="s">
        <v>244</v>
      </c>
      <c r="BO58" s="24" t="s">
        <v>244</v>
      </c>
      <c r="BP58" s="24" t="s">
        <v>244</v>
      </c>
      <c r="BQ58" s="24" t="s">
        <v>244</v>
      </c>
      <c r="BR58" s="24" t="s">
        <v>244</v>
      </c>
      <c r="BS58" s="24" t="s">
        <v>244</v>
      </c>
      <c r="BT58" s="24" t="s">
        <v>244</v>
      </c>
      <c r="BU58" s="24" t="s">
        <v>244</v>
      </c>
      <c r="BV58" s="24" t="s">
        <v>244</v>
      </c>
      <c r="BW58" s="24" t="s">
        <v>244</v>
      </c>
      <c r="BX58" s="24" t="s">
        <v>244</v>
      </c>
      <c r="BY58" s="24" t="s">
        <v>244</v>
      </c>
      <c r="BZ58" s="24" t="s">
        <v>244</v>
      </c>
      <c r="CA58" s="24" t="s">
        <v>244</v>
      </c>
      <c r="CB58" s="24" t="s">
        <v>244</v>
      </c>
      <c r="CC58" s="24" t="s">
        <v>244</v>
      </c>
      <c r="CD58" s="24" t="s">
        <v>244</v>
      </c>
      <c r="CE58" s="24" t="s">
        <v>244</v>
      </c>
    </row>
    <row r="59" spans="1:83" x14ac:dyDescent="0.35">
      <c r="A59" s="31" t="s">
        <v>257</v>
      </c>
      <c r="B59" s="25"/>
      <c r="C59" s="273"/>
      <c r="D59" s="273"/>
      <c r="E59" s="273">
        <v>354</v>
      </c>
      <c r="F59" s="273"/>
      <c r="G59" s="273"/>
      <c r="H59" s="273"/>
      <c r="I59" s="273"/>
      <c r="J59" s="273"/>
      <c r="K59" s="273"/>
      <c r="L59" s="273">
        <v>4052</v>
      </c>
      <c r="M59" s="273"/>
      <c r="N59" s="273">
        <v>5443</v>
      </c>
      <c r="O59" s="273"/>
      <c r="P59" s="274"/>
      <c r="Q59" s="275"/>
      <c r="R59" s="275"/>
      <c r="S59" s="263">
        <v>0</v>
      </c>
      <c r="T59" s="263">
        <v>0</v>
      </c>
      <c r="U59" s="276">
        <v>33500</v>
      </c>
      <c r="V59" s="275"/>
      <c r="W59" s="275">
        <v>290</v>
      </c>
      <c r="X59" s="275">
        <v>1322</v>
      </c>
      <c r="Y59" s="275">
        <v>2887</v>
      </c>
      <c r="Z59" s="275"/>
      <c r="AA59" s="275"/>
      <c r="AB59" s="263">
        <v>0</v>
      </c>
      <c r="AC59" s="275"/>
      <c r="AD59" s="275"/>
      <c r="AE59" s="275">
        <v>10294</v>
      </c>
      <c r="AF59" s="275"/>
      <c r="AG59" s="275">
        <v>2719</v>
      </c>
      <c r="AH59" s="275"/>
      <c r="AI59" s="275">
        <v>295</v>
      </c>
      <c r="AJ59" s="275">
        <v>9029</v>
      </c>
      <c r="AK59" s="275">
        <v>1532</v>
      </c>
      <c r="AL59" s="275"/>
      <c r="AM59" s="275"/>
      <c r="AN59" s="275"/>
      <c r="AO59" s="275">
        <f>93*24</f>
        <v>2232</v>
      </c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24887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31509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35">
      <c r="A60" s="207" t="s">
        <v>258</v>
      </c>
      <c r="B60" s="208"/>
      <c r="C60" s="277"/>
      <c r="D60" s="277"/>
      <c r="E60" s="277">
        <v>2.63</v>
      </c>
      <c r="F60" s="277"/>
      <c r="G60" s="277"/>
      <c r="H60" s="277"/>
      <c r="I60" s="277"/>
      <c r="J60" s="277"/>
      <c r="K60" s="277"/>
      <c r="L60" s="277">
        <v>30.1</v>
      </c>
      <c r="M60" s="277"/>
      <c r="N60" s="277">
        <v>15.47</v>
      </c>
      <c r="O60" s="277"/>
      <c r="P60" s="274"/>
      <c r="Q60" s="274"/>
      <c r="R60" s="274"/>
      <c r="S60" s="278">
        <v>1.92</v>
      </c>
      <c r="T60" s="278"/>
      <c r="U60" s="279">
        <v>7.19</v>
      </c>
      <c r="V60" s="274"/>
      <c r="W60" s="274">
        <v>0.34</v>
      </c>
      <c r="X60" s="274">
        <v>1.56</v>
      </c>
      <c r="Y60" s="274">
        <v>3.41</v>
      </c>
      <c r="Z60" s="274"/>
      <c r="AA60" s="274"/>
      <c r="AB60" s="278"/>
      <c r="AC60" s="274"/>
      <c r="AD60" s="274"/>
      <c r="AE60" s="274">
        <v>6.22</v>
      </c>
      <c r="AF60" s="274"/>
      <c r="AG60" s="274">
        <v>2.71</v>
      </c>
      <c r="AH60" s="274"/>
      <c r="AI60" s="274">
        <v>0.21</v>
      </c>
      <c r="AJ60" s="274">
        <v>12.26</v>
      </c>
      <c r="AK60" s="274">
        <v>0.06</v>
      </c>
      <c r="AL60" s="274"/>
      <c r="AM60" s="274"/>
      <c r="AN60" s="274"/>
      <c r="AO60" s="274">
        <v>0.69</v>
      </c>
      <c r="AP60" s="274"/>
      <c r="AQ60" s="274"/>
      <c r="AR60" s="274"/>
      <c r="AS60" s="274"/>
      <c r="AT60" s="274"/>
      <c r="AU60" s="274"/>
      <c r="AV60" s="278"/>
      <c r="AW60" s="278"/>
      <c r="AX60" s="278"/>
      <c r="AY60" s="274">
        <v>6.11</v>
      </c>
      <c r="AZ60" s="274"/>
      <c r="BA60" s="278">
        <v>1.06</v>
      </c>
      <c r="BB60" s="278"/>
      <c r="BC60" s="278"/>
      <c r="BD60" s="278"/>
      <c r="BE60" s="274">
        <v>4.4400000000000004</v>
      </c>
      <c r="BF60" s="278">
        <v>5.31</v>
      </c>
      <c r="BG60" s="278"/>
      <c r="BH60" s="278">
        <v>2.9</v>
      </c>
      <c r="BI60" s="278"/>
      <c r="BJ60" s="278">
        <v>2.06</v>
      </c>
      <c r="BK60" s="278">
        <v>5.0199999999999996</v>
      </c>
      <c r="BL60" s="278"/>
      <c r="BM60" s="278"/>
      <c r="BN60" s="278">
        <v>1.85</v>
      </c>
      <c r="BO60" s="278"/>
      <c r="BP60" s="278"/>
      <c r="BQ60" s="278"/>
      <c r="BR60" s="278">
        <v>2.04</v>
      </c>
      <c r="BS60" s="278"/>
      <c r="BT60" s="278"/>
      <c r="BU60" s="278"/>
      <c r="BV60" s="278">
        <v>2.99</v>
      </c>
      <c r="BW60" s="278">
        <v>7.02</v>
      </c>
      <c r="BX60" s="278"/>
      <c r="BY60" s="278">
        <v>1.32</v>
      </c>
      <c r="BZ60" s="278"/>
      <c r="CA60" s="278">
        <v>0.2</v>
      </c>
      <c r="CB60" s="278"/>
      <c r="CC60" s="278"/>
      <c r="CD60" s="209" t="s">
        <v>244</v>
      </c>
      <c r="CE60" s="227">
        <f t="shared" ref="CE60:CE68" si="6">SUM(C60:CD60)</f>
        <v>127.08999999999999</v>
      </c>
    </row>
    <row r="61" spans="1:83" x14ac:dyDescent="0.35">
      <c r="A61" s="31" t="s">
        <v>259</v>
      </c>
      <c r="B61" s="16"/>
      <c r="C61" s="273"/>
      <c r="D61" s="273"/>
      <c r="E61" s="273">
        <v>195102</v>
      </c>
      <c r="F61" s="273"/>
      <c r="G61" s="273"/>
      <c r="H61" s="273"/>
      <c r="I61" s="273"/>
      <c r="J61" s="273"/>
      <c r="K61" s="273"/>
      <c r="L61" s="273">
        <v>2233201</v>
      </c>
      <c r="M61" s="273"/>
      <c r="N61" s="273">
        <v>799917</v>
      </c>
      <c r="O61" s="273"/>
      <c r="P61" s="275"/>
      <c r="Q61" s="275"/>
      <c r="R61" s="275"/>
      <c r="S61" s="280">
        <v>112994</v>
      </c>
      <c r="T61" s="280"/>
      <c r="U61" s="276">
        <v>423966</v>
      </c>
      <c r="V61" s="275"/>
      <c r="W61" s="275">
        <v>31389</v>
      </c>
      <c r="X61" s="275">
        <v>143090</v>
      </c>
      <c r="Y61" s="275">
        <v>312482</v>
      </c>
      <c r="Z61" s="275"/>
      <c r="AA61" s="275"/>
      <c r="AB61" s="281"/>
      <c r="AC61" s="275"/>
      <c r="AD61" s="275"/>
      <c r="AE61" s="275">
        <v>440466</v>
      </c>
      <c r="AF61" s="275"/>
      <c r="AG61" s="275">
        <v>303725</v>
      </c>
      <c r="AH61" s="275"/>
      <c r="AI61" s="275">
        <v>17706</v>
      </c>
      <c r="AJ61" s="275">
        <v>707188</v>
      </c>
      <c r="AK61" s="275">
        <v>2827</v>
      </c>
      <c r="AL61" s="275"/>
      <c r="AM61" s="275"/>
      <c r="AN61" s="275"/>
      <c r="AO61" s="275">
        <v>51256</v>
      </c>
      <c r="AP61" s="275"/>
      <c r="AQ61" s="275"/>
      <c r="AR61" s="275"/>
      <c r="AS61" s="275"/>
      <c r="AT61" s="275"/>
      <c r="AU61" s="275"/>
      <c r="AV61" s="280"/>
      <c r="AW61" s="280"/>
      <c r="AX61" s="280"/>
      <c r="AY61" s="275">
        <v>260385</v>
      </c>
      <c r="AZ61" s="275"/>
      <c r="BA61" s="280">
        <v>64255</v>
      </c>
      <c r="BB61" s="280"/>
      <c r="BC61" s="280"/>
      <c r="BD61" s="280"/>
      <c r="BE61" s="275">
        <v>260617</v>
      </c>
      <c r="BF61" s="280">
        <v>211257</v>
      </c>
      <c r="BG61" s="280"/>
      <c r="BH61" s="280">
        <v>231718</v>
      </c>
      <c r="BI61" s="280"/>
      <c r="BJ61" s="280">
        <v>162540</v>
      </c>
      <c r="BK61" s="280">
        <v>219015</v>
      </c>
      <c r="BL61" s="280"/>
      <c r="BM61" s="280"/>
      <c r="BN61" s="280">
        <v>252439</v>
      </c>
      <c r="BO61" s="280"/>
      <c r="BP61" s="280"/>
      <c r="BQ61" s="280"/>
      <c r="BR61" s="280">
        <v>129229</v>
      </c>
      <c r="BS61" s="280"/>
      <c r="BT61" s="280"/>
      <c r="BU61" s="280"/>
      <c r="BV61" s="280">
        <v>128572</v>
      </c>
      <c r="BW61" s="280">
        <v>1222310</v>
      </c>
      <c r="BX61" s="280">
        <v>4442</v>
      </c>
      <c r="BY61" s="280">
        <v>194399</v>
      </c>
      <c r="BZ61" s="280"/>
      <c r="CA61" s="280">
        <v>19086</v>
      </c>
      <c r="CB61" s="280"/>
      <c r="CC61" s="280"/>
      <c r="CD61" s="24" t="s">
        <v>244</v>
      </c>
      <c r="CE61" s="25">
        <f t="shared" si="6"/>
        <v>9135573</v>
      </c>
    </row>
    <row r="62" spans="1:83" x14ac:dyDescent="0.35">
      <c r="A62" s="31" t="s">
        <v>9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44934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514332</v>
      </c>
      <c r="M62" s="25">
        <f t="shared" si="7"/>
        <v>0</v>
      </c>
      <c r="N62" s="25">
        <f t="shared" si="7"/>
        <v>184230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26024</v>
      </c>
      <c r="T62" s="25">
        <f t="shared" si="7"/>
        <v>0</v>
      </c>
      <c r="U62" s="25">
        <f t="shared" si="7"/>
        <v>97644</v>
      </c>
      <c r="V62" s="25">
        <f t="shared" si="7"/>
        <v>0</v>
      </c>
      <c r="W62" s="25">
        <f t="shared" si="7"/>
        <v>7229</v>
      </c>
      <c r="X62" s="25">
        <f t="shared" si="7"/>
        <v>32955</v>
      </c>
      <c r="Y62" s="25">
        <f t="shared" si="7"/>
        <v>71968</v>
      </c>
      <c r="Z62" s="25">
        <f t="shared" si="7"/>
        <v>0</v>
      </c>
      <c r="AA62" s="25">
        <f t="shared" si="7"/>
        <v>0</v>
      </c>
      <c r="AB62" s="25">
        <f t="shared" si="7"/>
        <v>0</v>
      </c>
      <c r="AC62" s="25">
        <f t="shared" si="7"/>
        <v>0</v>
      </c>
      <c r="AD62" s="25">
        <f t="shared" si="7"/>
        <v>0</v>
      </c>
      <c r="AE62" s="25">
        <f t="shared" si="7"/>
        <v>101444</v>
      </c>
      <c r="AF62" s="25">
        <f t="shared" si="7"/>
        <v>0</v>
      </c>
      <c r="AG62" s="25">
        <f t="shared" si="7"/>
        <v>69951</v>
      </c>
      <c r="AH62" s="25">
        <f t="shared" si="7"/>
        <v>0</v>
      </c>
      <c r="AI62" s="25">
        <f t="shared" ref="AI62:BN62" si="8">ROUND(AI47+AI48,0)</f>
        <v>4078</v>
      </c>
      <c r="AJ62" s="25">
        <f t="shared" si="8"/>
        <v>162874</v>
      </c>
      <c r="AK62" s="25">
        <f t="shared" si="8"/>
        <v>651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11805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59970</v>
      </c>
      <c r="AZ62" s="25">
        <f t="shared" si="8"/>
        <v>0</v>
      </c>
      <c r="BA62" s="25">
        <f t="shared" si="8"/>
        <v>14799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60023</v>
      </c>
      <c r="BF62" s="25">
        <f t="shared" si="8"/>
        <v>48655</v>
      </c>
      <c r="BG62" s="25">
        <f t="shared" si="8"/>
        <v>0</v>
      </c>
      <c r="BH62" s="25">
        <f t="shared" si="8"/>
        <v>53367</v>
      </c>
      <c r="BI62" s="25">
        <f t="shared" si="8"/>
        <v>0</v>
      </c>
      <c r="BJ62" s="25">
        <f t="shared" si="8"/>
        <v>37435</v>
      </c>
      <c r="BK62" s="25">
        <f t="shared" si="8"/>
        <v>50442</v>
      </c>
      <c r="BL62" s="25">
        <f t="shared" si="8"/>
        <v>0</v>
      </c>
      <c r="BM62" s="25">
        <f t="shared" si="8"/>
        <v>0</v>
      </c>
      <c r="BN62" s="25">
        <f t="shared" si="8"/>
        <v>58140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29763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29612</v>
      </c>
      <c r="BW62" s="25">
        <f t="shared" si="9"/>
        <v>281512</v>
      </c>
      <c r="BX62" s="25">
        <f t="shared" si="9"/>
        <v>1023</v>
      </c>
      <c r="BY62" s="25">
        <f t="shared" si="9"/>
        <v>44772</v>
      </c>
      <c r="BZ62" s="25">
        <f t="shared" si="9"/>
        <v>0</v>
      </c>
      <c r="CA62" s="25">
        <f t="shared" si="9"/>
        <v>4396</v>
      </c>
      <c r="CB62" s="25">
        <f t="shared" si="9"/>
        <v>0</v>
      </c>
      <c r="CC62" s="25">
        <f t="shared" si="9"/>
        <v>0</v>
      </c>
      <c r="CD62" s="24" t="s">
        <v>244</v>
      </c>
      <c r="CE62" s="25">
        <f t="shared" si="6"/>
        <v>2104028</v>
      </c>
    </row>
    <row r="63" spans="1:83" x14ac:dyDescent="0.35">
      <c r="A63" s="31" t="s">
        <v>260</v>
      </c>
      <c r="B63" s="16"/>
      <c r="C63" s="273"/>
      <c r="D63" s="273"/>
      <c r="E63" s="273">
        <v>3462</v>
      </c>
      <c r="F63" s="273"/>
      <c r="G63" s="273"/>
      <c r="H63" s="273"/>
      <c r="I63" s="273"/>
      <c r="J63" s="273"/>
      <c r="K63" s="273"/>
      <c r="L63" s="273">
        <v>39627</v>
      </c>
      <c r="M63" s="273"/>
      <c r="N63" s="273"/>
      <c r="O63" s="273"/>
      <c r="P63" s="275"/>
      <c r="Q63" s="275"/>
      <c r="R63" s="275"/>
      <c r="S63" s="280"/>
      <c r="T63" s="280"/>
      <c r="U63" s="276"/>
      <c r="V63" s="275"/>
      <c r="W63" s="275">
        <v>3126</v>
      </c>
      <c r="X63" s="275">
        <v>14251</v>
      </c>
      <c r="Y63" s="275">
        <v>31120</v>
      </c>
      <c r="Z63" s="275"/>
      <c r="AA63" s="275"/>
      <c r="AB63" s="281">
        <v>226489</v>
      </c>
      <c r="AC63" s="275"/>
      <c r="AD63" s="275"/>
      <c r="AE63" s="275"/>
      <c r="AF63" s="275"/>
      <c r="AG63" s="275"/>
      <c r="AH63" s="275"/>
      <c r="AI63" s="275"/>
      <c r="AJ63" s="275">
        <v>129833</v>
      </c>
      <c r="AK63" s="275"/>
      <c r="AL63" s="275"/>
      <c r="AM63" s="275"/>
      <c r="AN63" s="275"/>
      <c r="AO63" s="275">
        <v>909</v>
      </c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>
        <v>41154</v>
      </c>
      <c r="BK63" s="280">
        <v>363724</v>
      </c>
      <c r="BL63" s="280"/>
      <c r="BM63" s="280"/>
      <c r="BN63" s="280">
        <v>9449</v>
      </c>
      <c r="BO63" s="280"/>
      <c r="BP63" s="280"/>
      <c r="BQ63" s="280"/>
      <c r="BR63" s="280">
        <v>5000</v>
      </c>
      <c r="BS63" s="280"/>
      <c r="BT63" s="280"/>
      <c r="BU63" s="280"/>
      <c r="BV63" s="280">
        <v>142535</v>
      </c>
      <c r="BW63" s="280">
        <v>910531</v>
      </c>
      <c r="BX63" s="280">
        <v>5300</v>
      </c>
      <c r="BY63" s="280"/>
      <c r="BZ63" s="280"/>
      <c r="CA63" s="280"/>
      <c r="CB63" s="280"/>
      <c r="CC63" s="280"/>
      <c r="CD63" s="24" t="s">
        <v>244</v>
      </c>
      <c r="CE63" s="25">
        <f t="shared" si="6"/>
        <v>1926510</v>
      </c>
    </row>
    <row r="64" spans="1:83" x14ac:dyDescent="0.35">
      <c r="A64" s="31" t="s">
        <v>261</v>
      </c>
      <c r="B64" s="16"/>
      <c r="C64" s="273"/>
      <c r="D64" s="273"/>
      <c r="E64" s="273">
        <v>17694</v>
      </c>
      <c r="F64" s="273"/>
      <c r="G64" s="273"/>
      <c r="H64" s="273"/>
      <c r="I64" s="273"/>
      <c r="J64" s="273"/>
      <c r="K64" s="273"/>
      <c r="L64" s="273">
        <v>202541</v>
      </c>
      <c r="M64" s="273"/>
      <c r="N64" s="273">
        <v>25937</v>
      </c>
      <c r="O64" s="273"/>
      <c r="P64" s="275"/>
      <c r="Q64" s="275"/>
      <c r="R64" s="275"/>
      <c r="S64" s="280">
        <v>24710</v>
      </c>
      <c r="T64" s="280"/>
      <c r="U64" s="276">
        <v>526193</v>
      </c>
      <c r="V64" s="275"/>
      <c r="W64" s="275">
        <v>1279</v>
      </c>
      <c r="X64" s="275">
        <v>5830</v>
      </c>
      <c r="Y64" s="275">
        <v>12732</v>
      </c>
      <c r="Z64" s="275"/>
      <c r="AA64" s="275"/>
      <c r="AB64" s="281">
        <v>2365523</v>
      </c>
      <c r="AC64" s="275"/>
      <c r="AD64" s="275"/>
      <c r="AE64" s="275">
        <v>12506</v>
      </c>
      <c r="AF64" s="275"/>
      <c r="AG64" s="275">
        <v>49105</v>
      </c>
      <c r="AH64" s="275"/>
      <c r="AI64" s="275">
        <v>8946</v>
      </c>
      <c r="AJ64" s="275">
        <v>27870</v>
      </c>
      <c r="AK64" s="275">
        <v>723</v>
      </c>
      <c r="AL64" s="275"/>
      <c r="AM64" s="275"/>
      <c r="AN64" s="275"/>
      <c r="AO64" s="275">
        <v>4649</v>
      </c>
      <c r="AP64" s="275"/>
      <c r="AQ64" s="275"/>
      <c r="AR64" s="275"/>
      <c r="AS64" s="275"/>
      <c r="AT64" s="275"/>
      <c r="AU64" s="275"/>
      <c r="AV64" s="280"/>
      <c r="AW64" s="280"/>
      <c r="AX64" s="280"/>
      <c r="AY64" s="275">
        <v>144262</v>
      </c>
      <c r="AZ64" s="275"/>
      <c r="BA64" s="280">
        <v>8203</v>
      </c>
      <c r="BB64" s="280"/>
      <c r="BC64" s="280"/>
      <c r="BD64" s="280"/>
      <c r="BE64" s="275">
        <v>47517</v>
      </c>
      <c r="BF64" s="280">
        <v>29981</v>
      </c>
      <c r="BG64" s="280"/>
      <c r="BH64" s="280">
        <v>29224</v>
      </c>
      <c r="BI64" s="280"/>
      <c r="BJ64" s="280">
        <v>1971</v>
      </c>
      <c r="BK64" s="280">
        <v>1052</v>
      </c>
      <c r="BL64" s="280"/>
      <c r="BM64" s="280"/>
      <c r="BN64" s="280">
        <v>2776</v>
      </c>
      <c r="BO64" s="280"/>
      <c r="BP64" s="280"/>
      <c r="BQ64" s="280"/>
      <c r="BR64" s="280">
        <v>8360</v>
      </c>
      <c r="BS64" s="280"/>
      <c r="BT64" s="280"/>
      <c r="BU64" s="280"/>
      <c r="BV64" s="280">
        <v>242</v>
      </c>
      <c r="BW64" s="280">
        <v>996</v>
      </c>
      <c r="BX64" s="280"/>
      <c r="BY64" s="280">
        <v>60106</v>
      </c>
      <c r="BZ64" s="280"/>
      <c r="CA64" s="280">
        <v>174</v>
      </c>
      <c r="CB64" s="280"/>
      <c r="CC64" s="280">
        <v>118657</v>
      </c>
      <c r="CD64" s="24" t="s">
        <v>244</v>
      </c>
      <c r="CE64" s="25">
        <f t="shared" si="6"/>
        <v>3739759</v>
      </c>
    </row>
    <row r="65" spans="1:83" x14ac:dyDescent="0.35">
      <c r="A65" s="31" t="s">
        <v>262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>
        <v>32900</v>
      </c>
      <c r="O65" s="273"/>
      <c r="P65" s="275"/>
      <c r="Q65" s="275"/>
      <c r="R65" s="275"/>
      <c r="S65" s="280"/>
      <c r="T65" s="280"/>
      <c r="U65" s="276"/>
      <c r="V65" s="275"/>
      <c r="W65" s="275">
        <v>1712</v>
      </c>
      <c r="X65" s="275">
        <v>7806</v>
      </c>
      <c r="Y65" s="275">
        <v>17045</v>
      </c>
      <c r="Z65" s="275"/>
      <c r="AA65" s="275"/>
      <c r="AB65" s="281"/>
      <c r="AC65" s="275"/>
      <c r="AD65" s="275"/>
      <c r="AE65" s="275">
        <v>211</v>
      </c>
      <c r="AF65" s="275"/>
      <c r="AG65" s="275"/>
      <c r="AH65" s="275"/>
      <c r="AI65" s="275"/>
      <c r="AJ65" s="275">
        <v>3892</v>
      </c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>
        <v>200226</v>
      </c>
      <c r="BF65" s="280"/>
      <c r="BG65" s="280"/>
      <c r="BH65" s="280">
        <v>22996</v>
      </c>
      <c r="BI65" s="280"/>
      <c r="BJ65" s="280"/>
      <c r="BK65" s="280"/>
      <c r="BL65" s="280"/>
      <c r="BM65" s="280"/>
      <c r="BN65" s="280">
        <v>320</v>
      </c>
      <c r="BO65" s="280"/>
      <c r="BP65" s="280"/>
      <c r="BQ65" s="280"/>
      <c r="BR65" s="280">
        <v>7601</v>
      </c>
      <c r="BS65" s="280"/>
      <c r="BT65" s="280"/>
      <c r="BU65" s="280"/>
      <c r="BV65" s="280"/>
      <c r="BW65" s="280">
        <v>467</v>
      </c>
      <c r="BX65" s="280"/>
      <c r="BY65" s="280"/>
      <c r="BZ65" s="280"/>
      <c r="CA65" s="280"/>
      <c r="CB65" s="280"/>
      <c r="CC65" s="280"/>
      <c r="CD65" s="24" t="s">
        <v>244</v>
      </c>
      <c r="CE65" s="25">
        <f t="shared" si="6"/>
        <v>295176</v>
      </c>
    </row>
    <row r="66" spans="1:83" x14ac:dyDescent="0.35">
      <c r="A66" s="31" t="s">
        <v>263</v>
      </c>
      <c r="B66" s="16"/>
      <c r="C66" s="273"/>
      <c r="D66" s="273"/>
      <c r="E66" s="273">
        <v>23045</v>
      </c>
      <c r="F66" s="273"/>
      <c r="G66" s="273"/>
      <c r="H66" s="273"/>
      <c r="I66" s="273"/>
      <c r="J66" s="273"/>
      <c r="K66" s="273"/>
      <c r="L66" s="273">
        <v>263780</v>
      </c>
      <c r="M66" s="273"/>
      <c r="N66" s="273">
        <v>95024</v>
      </c>
      <c r="O66" s="273"/>
      <c r="P66" s="275"/>
      <c r="Q66" s="275"/>
      <c r="R66" s="275"/>
      <c r="S66" s="280"/>
      <c r="T66" s="280"/>
      <c r="U66" s="276">
        <v>200879</v>
      </c>
      <c r="V66" s="275"/>
      <c r="W66" s="275">
        <v>197</v>
      </c>
      <c r="X66" s="275">
        <v>896</v>
      </c>
      <c r="Y66" s="275">
        <v>1957</v>
      </c>
      <c r="Z66" s="275"/>
      <c r="AA66" s="275"/>
      <c r="AB66" s="281">
        <v>120566</v>
      </c>
      <c r="AC66" s="275"/>
      <c r="AD66" s="275"/>
      <c r="AE66" s="275">
        <v>171525</v>
      </c>
      <c r="AF66" s="275"/>
      <c r="AG66" s="275">
        <v>10835</v>
      </c>
      <c r="AH66" s="275"/>
      <c r="AI66" s="275">
        <v>10829</v>
      </c>
      <c r="AJ66" s="275">
        <v>7797</v>
      </c>
      <c r="AK66" s="275">
        <v>64954</v>
      </c>
      <c r="AL66" s="275"/>
      <c r="AM66" s="275"/>
      <c r="AN66" s="275"/>
      <c r="AO66" s="275">
        <v>6054</v>
      </c>
      <c r="AP66" s="275"/>
      <c r="AQ66" s="275"/>
      <c r="AR66" s="275"/>
      <c r="AS66" s="275"/>
      <c r="AT66" s="275"/>
      <c r="AU66" s="275"/>
      <c r="AV66" s="280"/>
      <c r="AW66" s="280"/>
      <c r="AX66" s="280"/>
      <c r="AY66" s="275">
        <v>150</v>
      </c>
      <c r="AZ66" s="275"/>
      <c r="BA66" s="280">
        <v>32412</v>
      </c>
      <c r="BB66" s="280"/>
      <c r="BC66" s="280"/>
      <c r="BD66" s="280"/>
      <c r="BE66" s="275">
        <v>32205</v>
      </c>
      <c r="BF66" s="280">
        <v>2309</v>
      </c>
      <c r="BG66" s="280"/>
      <c r="BH66" s="280">
        <v>722442</v>
      </c>
      <c r="BI66" s="280"/>
      <c r="BJ66" s="280">
        <v>17728</v>
      </c>
      <c r="BK66" s="280">
        <v>288248</v>
      </c>
      <c r="BL66" s="280"/>
      <c r="BM66" s="280"/>
      <c r="BN66" s="280">
        <v>14440</v>
      </c>
      <c r="BO66" s="280"/>
      <c r="BP66" s="280"/>
      <c r="BQ66" s="280"/>
      <c r="BR66" s="280">
        <v>22514</v>
      </c>
      <c r="BS66" s="280"/>
      <c r="BT66" s="280"/>
      <c r="BU66" s="280"/>
      <c r="BV66" s="280">
        <v>32503</v>
      </c>
      <c r="BW66" s="280">
        <v>157</v>
      </c>
      <c r="BX66" s="280">
        <v>13808</v>
      </c>
      <c r="BY66" s="280">
        <v>9677</v>
      </c>
      <c r="BZ66" s="280"/>
      <c r="CA66" s="280">
        <v>2771</v>
      </c>
      <c r="CB66" s="280"/>
      <c r="CC66" s="280"/>
      <c r="CD66" s="24" t="s">
        <v>244</v>
      </c>
      <c r="CE66" s="25">
        <f t="shared" si="6"/>
        <v>2169702</v>
      </c>
    </row>
    <row r="67" spans="1:83" x14ac:dyDescent="0.35">
      <c r="A67" s="31" t="s">
        <v>14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16062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184019</v>
      </c>
      <c r="M67" s="25">
        <f t="shared" si="10"/>
        <v>0</v>
      </c>
      <c r="N67" s="25">
        <f t="shared" si="10"/>
        <v>318993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24753</v>
      </c>
      <c r="T67" s="25">
        <f t="shared" si="10"/>
        <v>0</v>
      </c>
      <c r="U67" s="25">
        <f t="shared" si="10"/>
        <v>28622</v>
      </c>
      <c r="V67" s="25">
        <f t="shared" si="10"/>
        <v>0</v>
      </c>
      <c r="W67" s="25">
        <f t="shared" si="10"/>
        <v>1751</v>
      </c>
      <c r="X67" s="25">
        <f t="shared" si="10"/>
        <v>7985</v>
      </c>
      <c r="Y67" s="25">
        <f t="shared" si="10"/>
        <v>17413</v>
      </c>
      <c r="Z67" s="25">
        <f t="shared" si="10"/>
        <v>0</v>
      </c>
      <c r="AA67" s="25">
        <f t="shared" si="10"/>
        <v>0</v>
      </c>
      <c r="AB67" s="25">
        <f t="shared" si="10"/>
        <v>3071</v>
      </c>
      <c r="AC67" s="25">
        <f t="shared" si="10"/>
        <v>0</v>
      </c>
      <c r="AD67" s="25">
        <f t="shared" si="10"/>
        <v>0</v>
      </c>
      <c r="AE67" s="25">
        <f t="shared" si="10"/>
        <v>57982</v>
      </c>
      <c r="AF67" s="25">
        <f t="shared" si="10"/>
        <v>0</v>
      </c>
      <c r="AG67" s="25">
        <f t="shared" si="10"/>
        <v>30619</v>
      </c>
      <c r="AH67" s="25">
        <f t="shared" si="10"/>
        <v>0</v>
      </c>
      <c r="AI67" s="25">
        <f t="shared" ref="AI67:BN67" si="11">ROUND(AI51+AI52,0)</f>
        <v>11639</v>
      </c>
      <c r="AJ67" s="25">
        <f t="shared" si="11"/>
        <v>58289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4238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29114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33106</v>
      </c>
      <c r="BF67" s="25">
        <f t="shared" si="11"/>
        <v>22480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72109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12407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23647</v>
      </c>
      <c r="BW67" s="25">
        <f t="shared" si="12"/>
        <v>0</v>
      </c>
      <c r="BX67" s="25">
        <f t="shared" si="12"/>
        <v>0</v>
      </c>
      <c r="BY67" s="25">
        <f t="shared" si="12"/>
        <v>9367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244</v>
      </c>
      <c r="CE67" s="25">
        <f t="shared" si="6"/>
        <v>967666</v>
      </c>
    </row>
    <row r="68" spans="1:83" x14ac:dyDescent="0.35">
      <c r="A68" s="31" t="s">
        <v>264</v>
      </c>
      <c r="B68" s="25"/>
      <c r="C68" s="273"/>
      <c r="D68" s="273"/>
      <c r="E68" s="273">
        <v>-1500</v>
      </c>
      <c r="F68" s="273"/>
      <c r="G68" s="273"/>
      <c r="H68" s="273"/>
      <c r="I68" s="273"/>
      <c r="J68" s="273"/>
      <c r="K68" s="273"/>
      <c r="L68" s="273"/>
      <c r="M68" s="273"/>
      <c r="N68" s="273">
        <v>206995</v>
      </c>
      <c r="O68" s="273"/>
      <c r="P68" s="275"/>
      <c r="Q68" s="275"/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>
        <v>15189</v>
      </c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>
        <v>2408</v>
      </c>
      <c r="BF68" s="280"/>
      <c r="BG68" s="280"/>
      <c r="BH68" s="280"/>
      <c r="BI68" s="280"/>
      <c r="BJ68" s="280"/>
      <c r="BK68" s="280"/>
      <c r="BL68" s="280"/>
      <c r="BM68" s="280"/>
      <c r="BN68" s="280"/>
      <c r="BO68" s="280"/>
      <c r="BP68" s="280"/>
      <c r="BQ68" s="280"/>
      <c r="BR68" s="280">
        <v>29610</v>
      </c>
      <c r="BS68" s="280"/>
      <c r="BT68" s="280"/>
      <c r="BU68" s="280"/>
      <c r="BV68" s="280"/>
      <c r="BW68" s="280">
        <v>116</v>
      </c>
      <c r="BX68" s="280"/>
      <c r="BY68" s="280">
        <v>2103</v>
      </c>
      <c r="BZ68" s="280"/>
      <c r="CA68" s="280"/>
      <c r="CB68" s="280"/>
      <c r="CC68" s="280"/>
      <c r="CD68" s="24" t="s">
        <v>244</v>
      </c>
      <c r="CE68" s="25">
        <f t="shared" si="6"/>
        <v>254921</v>
      </c>
    </row>
    <row r="69" spans="1:83" x14ac:dyDescent="0.35">
      <c r="A69" s="31" t="s">
        <v>265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2088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23894</v>
      </c>
      <c r="M69" s="25">
        <f t="shared" si="13"/>
        <v>0</v>
      </c>
      <c r="N69" s="25">
        <f t="shared" si="13"/>
        <v>35508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2390</v>
      </c>
      <c r="T69" s="25">
        <f t="shared" si="13"/>
        <v>0</v>
      </c>
      <c r="U69" s="25">
        <f t="shared" si="13"/>
        <v>2850</v>
      </c>
      <c r="V69" s="25">
        <f t="shared" si="13"/>
        <v>0</v>
      </c>
      <c r="W69" s="25">
        <f t="shared" si="13"/>
        <v>94385</v>
      </c>
      <c r="X69" s="25">
        <f t="shared" si="13"/>
        <v>1474</v>
      </c>
      <c r="Y69" s="25">
        <f t="shared" si="13"/>
        <v>41946</v>
      </c>
      <c r="Z69" s="25">
        <f t="shared" si="13"/>
        <v>0</v>
      </c>
      <c r="AA69" s="25">
        <f t="shared" si="13"/>
        <v>0</v>
      </c>
      <c r="AB69" s="25">
        <f t="shared" si="13"/>
        <v>0</v>
      </c>
      <c r="AC69" s="25">
        <f t="shared" si="13"/>
        <v>0</v>
      </c>
      <c r="AD69" s="25">
        <f t="shared" si="13"/>
        <v>0</v>
      </c>
      <c r="AE69" s="25">
        <f t="shared" si="13"/>
        <v>2156</v>
      </c>
      <c r="AF69" s="25">
        <f t="shared" si="13"/>
        <v>0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36</v>
      </c>
      <c r="AJ69" s="25">
        <f t="shared" si="14"/>
        <v>1706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548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1074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123348</v>
      </c>
      <c r="BF69" s="25">
        <f t="shared" si="14"/>
        <v>160</v>
      </c>
      <c r="BG69" s="25">
        <f t="shared" si="14"/>
        <v>0</v>
      </c>
      <c r="BH69" s="25">
        <f t="shared" si="14"/>
        <v>64729</v>
      </c>
      <c r="BI69" s="25">
        <f t="shared" si="14"/>
        <v>0</v>
      </c>
      <c r="BJ69" s="25">
        <f t="shared" si="14"/>
        <v>9526</v>
      </c>
      <c r="BK69" s="25">
        <f t="shared" si="14"/>
        <v>9520</v>
      </c>
      <c r="BL69" s="25">
        <f t="shared" si="14"/>
        <v>0</v>
      </c>
      <c r="BM69" s="25">
        <f t="shared" si="14"/>
        <v>0</v>
      </c>
      <c r="BN69" s="25">
        <f t="shared" si="14"/>
        <v>86471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79273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5228</v>
      </c>
      <c r="BW69" s="25">
        <f t="shared" si="15"/>
        <v>41511</v>
      </c>
      <c r="BX69" s="25">
        <f t="shared" si="15"/>
        <v>14045</v>
      </c>
      <c r="BY69" s="25">
        <f t="shared" si="15"/>
        <v>271</v>
      </c>
      <c r="BZ69" s="25">
        <f t="shared" si="15"/>
        <v>0</v>
      </c>
      <c r="CA69" s="25">
        <f t="shared" si="15"/>
        <v>1112</v>
      </c>
      <c r="CB69" s="25">
        <f t="shared" si="15"/>
        <v>0</v>
      </c>
      <c r="CC69" s="25">
        <f t="shared" si="15"/>
        <v>0</v>
      </c>
      <c r="CD69" s="25">
        <f t="shared" si="15"/>
        <v>1380131</v>
      </c>
      <c r="CE69" s="25">
        <f t="shared" si="15"/>
        <v>2025380</v>
      </c>
    </row>
    <row r="70" spans="1:83" x14ac:dyDescent="0.35">
      <c r="A70" s="26" t="s">
        <v>266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35">
      <c r="A71" s="26" t="s">
        <v>267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35">
      <c r="A72" s="26" t="s">
        <v>268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35">
      <c r="A73" s="26" t="s">
        <v>269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35">
      <c r="A74" s="26" t="s">
        <v>270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35">
      <c r="A75" s="26" t="s">
        <v>271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35">
      <c r="A76" s="26" t="s">
        <v>272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35">
      <c r="A77" s="26" t="s">
        <v>273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>
        <v>2232</v>
      </c>
      <c r="V77" s="282"/>
      <c r="W77" s="282">
        <v>94385</v>
      </c>
      <c r="X77" s="282">
        <v>1250</v>
      </c>
      <c r="Y77" s="282">
        <v>38604</v>
      </c>
      <c r="Z77" s="282"/>
      <c r="AA77" s="282"/>
      <c r="AB77" s="282"/>
      <c r="AC77" s="282"/>
      <c r="AD77" s="282"/>
      <c r="AE77" s="282">
        <v>660</v>
      </c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>
        <v>121558</v>
      </c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>
        <v>73</v>
      </c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258762</v>
      </c>
    </row>
    <row r="78" spans="1:83" x14ac:dyDescent="0.35">
      <c r="A78" s="26" t="s">
        <v>274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35">
      <c r="A79" s="26" t="s">
        <v>275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35">
      <c r="A80" s="26" t="s">
        <v>276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35">
      <c r="A81" s="26" t="s">
        <v>277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35">
      <c r="A82" s="26" t="s">
        <v>278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35">
      <c r="A83" s="26" t="s">
        <v>279</v>
      </c>
      <c r="B83" s="16"/>
      <c r="C83" s="273"/>
      <c r="D83" s="273"/>
      <c r="E83" s="275">
        <v>2088</v>
      </c>
      <c r="F83" s="275"/>
      <c r="G83" s="273"/>
      <c r="H83" s="273"/>
      <c r="I83" s="275"/>
      <c r="J83" s="275"/>
      <c r="K83" s="275"/>
      <c r="L83" s="275">
        <v>23894</v>
      </c>
      <c r="M83" s="273"/>
      <c r="N83" s="273">
        <v>35508</v>
      </c>
      <c r="O83" s="273"/>
      <c r="P83" s="275"/>
      <c r="Q83" s="275"/>
      <c r="R83" s="276"/>
      <c r="S83" s="275">
        <v>2390</v>
      </c>
      <c r="T83" s="273"/>
      <c r="U83" s="275">
        <v>618</v>
      </c>
      <c r="V83" s="275"/>
      <c r="W83" s="273"/>
      <c r="X83" s="275">
        <v>224</v>
      </c>
      <c r="Y83" s="275">
        <v>3342</v>
      </c>
      <c r="Z83" s="275"/>
      <c r="AA83" s="275"/>
      <c r="AB83" s="275"/>
      <c r="AC83" s="275"/>
      <c r="AD83" s="275"/>
      <c r="AE83" s="275">
        <v>1496</v>
      </c>
      <c r="AF83" s="275"/>
      <c r="AG83" s="275"/>
      <c r="AH83" s="275"/>
      <c r="AI83" s="275">
        <v>36</v>
      </c>
      <c r="AJ83" s="275">
        <v>1706</v>
      </c>
      <c r="AK83" s="275"/>
      <c r="AL83" s="275"/>
      <c r="AM83" s="275"/>
      <c r="AN83" s="275"/>
      <c r="AO83" s="273">
        <v>548</v>
      </c>
      <c r="AP83" s="275"/>
      <c r="AQ83" s="273"/>
      <c r="AR83" s="273"/>
      <c r="AS83" s="273"/>
      <c r="AT83" s="273"/>
      <c r="AU83" s="275"/>
      <c r="AV83" s="275"/>
      <c r="AW83" s="275"/>
      <c r="AX83" s="275"/>
      <c r="AY83" s="275">
        <v>1074</v>
      </c>
      <c r="AZ83" s="275"/>
      <c r="BA83" s="275"/>
      <c r="BB83" s="275"/>
      <c r="BC83" s="275"/>
      <c r="BD83" s="275"/>
      <c r="BE83" s="275">
        <v>1790</v>
      </c>
      <c r="BF83" s="275">
        <v>160</v>
      </c>
      <c r="BG83" s="275"/>
      <c r="BH83" s="276">
        <v>64729</v>
      </c>
      <c r="BI83" s="275"/>
      <c r="BJ83" s="275">
        <v>9526</v>
      </c>
      <c r="BK83" s="275">
        <v>9520</v>
      </c>
      <c r="BL83" s="275"/>
      <c r="BM83" s="275"/>
      <c r="BN83" s="275">
        <v>86471</v>
      </c>
      <c r="BO83" s="275"/>
      <c r="BP83" s="275"/>
      <c r="BQ83" s="275"/>
      <c r="BR83" s="275">
        <v>79200</v>
      </c>
      <c r="BS83" s="275"/>
      <c r="BT83" s="275"/>
      <c r="BU83" s="275"/>
      <c r="BV83" s="275">
        <v>5228</v>
      </c>
      <c r="BW83" s="275">
        <v>41511</v>
      </c>
      <c r="BX83" s="275">
        <v>14045</v>
      </c>
      <c r="BY83" s="275">
        <v>271</v>
      </c>
      <c r="BZ83" s="275"/>
      <c r="CA83" s="275">
        <v>1112</v>
      </c>
      <c r="CB83" s="275"/>
      <c r="CC83" s="275"/>
      <c r="CD83" s="282">
        <f>333425+1046706</f>
        <v>1380131</v>
      </c>
      <c r="CE83" s="25">
        <f t="shared" si="16"/>
        <v>1766618</v>
      </c>
    </row>
    <row r="84" spans="1:84" x14ac:dyDescent="0.35">
      <c r="A84" s="31" t="s">
        <v>280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>
        <v>0</v>
      </c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>
        <f>5357+9604+23</f>
        <v>14984</v>
      </c>
      <c r="AZ84" s="273"/>
      <c r="BA84" s="273"/>
      <c r="BB84" s="273"/>
      <c r="BC84" s="273"/>
      <c r="BD84" s="273"/>
      <c r="BE84" s="273">
        <v>500</v>
      </c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>
        <v>2851</v>
      </c>
      <c r="BW84" s="273"/>
      <c r="BX84" s="273"/>
      <c r="BY84" s="273"/>
      <c r="BZ84" s="273"/>
      <c r="CA84" s="273"/>
      <c r="CB84" s="273"/>
      <c r="CC84" s="273"/>
      <c r="CD84" s="282">
        <v>3906405</v>
      </c>
      <c r="CE84" s="25">
        <f t="shared" si="16"/>
        <v>3924740</v>
      </c>
    </row>
    <row r="85" spans="1:84" x14ac:dyDescent="0.35">
      <c r="A85" s="31" t="s">
        <v>281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300887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3461394</v>
      </c>
      <c r="M85" s="25">
        <f t="shared" si="17"/>
        <v>0</v>
      </c>
      <c r="N85" s="25">
        <f t="shared" si="17"/>
        <v>1699504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190871</v>
      </c>
      <c r="T85" s="25">
        <f t="shared" si="17"/>
        <v>0</v>
      </c>
      <c r="U85" s="25">
        <f t="shared" si="17"/>
        <v>1280154</v>
      </c>
      <c r="V85" s="25">
        <f t="shared" si="17"/>
        <v>0</v>
      </c>
      <c r="W85" s="25">
        <f t="shared" si="17"/>
        <v>141068</v>
      </c>
      <c r="X85" s="25">
        <f t="shared" si="17"/>
        <v>214287</v>
      </c>
      <c r="Y85" s="25">
        <f t="shared" si="17"/>
        <v>506663</v>
      </c>
      <c r="Z85" s="25">
        <f t="shared" si="17"/>
        <v>0</v>
      </c>
      <c r="AA85" s="25">
        <f t="shared" si="17"/>
        <v>0</v>
      </c>
      <c r="AB85" s="25">
        <f t="shared" si="17"/>
        <v>2715649</v>
      </c>
      <c r="AC85" s="25">
        <f t="shared" si="17"/>
        <v>0</v>
      </c>
      <c r="AD85" s="25">
        <f t="shared" si="17"/>
        <v>0</v>
      </c>
      <c r="AE85" s="25">
        <f t="shared" si="17"/>
        <v>786290</v>
      </c>
      <c r="AF85" s="25">
        <f t="shared" si="17"/>
        <v>0</v>
      </c>
      <c r="AG85" s="25">
        <f t="shared" si="17"/>
        <v>464235</v>
      </c>
      <c r="AH85" s="25">
        <f t="shared" si="17"/>
        <v>0</v>
      </c>
      <c r="AI85" s="25">
        <f t="shared" ref="AI85:BN85" si="18">SUM(AI61:AI69)-AI84</f>
        <v>53234</v>
      </c>
      <c r="AJ85" s="25">
        <f t="shared" si="18"/>
        <v>1114638</v>
      </c>
      <c r="AK85" s="25">
        <f t="shared" si="18"/>
        <v>69155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79459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479971</v>
      </c>
      <c r="AZ85" s="25">
        <f t="shared" si="18"/>
        <v>0</v>
      </c>
      <c r="BA85" s="25">
        <f t="shared" si="18"/>
        <v>119669</v>
      </c>
      <c r="BB85" s="25">
        <f t="shared" si="18"/>
        <v>0</v>
      </c>
      <c r="BC85" s="25">
        <f t="shared" si="18"/>
        <v>0</v>
      </c>
      <c r="BD85" s="25">
        <f t="shared" si="18"/>
        <v>0</v>
      </c>
      <c r="BE85" s="25">
        <f t="shared" si="18"/>
        <v>758950</v>
      </c>
      <c r="BF85" s="25">
        <f t="shared" si="18"/>
        <v>314842</v>
      </c>
      <c r="BG85" s="25">
        <f t="shared" si="18"/>
        <v>0</v>
      </c>
      <c r="BH85" s="25">
        <f t="shared" si="18"/>
        <v>1124476</v>
      </c>
      <c r="BI85" s="25">
        <f t="shared" si="18"/>
        <v>0</v>
      </c>
      <c r="BJ85" s="25">
        <f t="shared" si="18"/>
        <v>270354</v>
      </c>
      <c r="BK85" s="25">
        <f t="shared" si="18"/>
        <v>932001</v>
      </c>
      <c r="BL85" s="25">
        <f t="shared" si="18"/>
        <v>0</v>
      </c>
      <c r="BM85" s="25">
        <f t="shared" si="18"/>
        <v>0</v>
      </c>
      <c r="BN85" s="25">
        <f t="shared" si="18"/>
        <v>496144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323757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359488</v>
      </c>
      <c r="BW85" s="25">
        <f t="shared" si="19"/>
        <v>2457600</v>
      </c>
      <c r="BX85" s="25">
        <f t="shared" si="19"/>
        <v>38618</v>
      </c>
      <c r="BY85" s="25">
        <f t="shared" si="19"/>
        <v>320695</v>
      </c>
      <c r="BZ85" s="25">
        <f t="shared" si="19"/>
        <v>0</v>
      </c>
      <c r="CA85" s="25">
        <f t="shared" si="19"/>
        <v>27539</v>
      </c>
      <c r="CB85" s="25">
        <f t="shared" si="19"/>
        <v>0</v>
      </c>
      <c r="CC85" s="25">
        <f t="shared" si="19"/>
        <v>118657</v>
      </c>
      <c r="CD85" s="25">
        <f t="shared" si="19"/>
        <v>-2526274</v>
      </c>
      <c r="CE85" s="25">
        <f t="shared" si="16"/>
        <v>18693975</v>
      </c>
    </row>
    <row r="86" spans="1:84" x14ac:dyDescent="0.35">
      <c r="A86" s="31" t="s">
        <v>282</v>
      </c>
      <c r="B86" s="25"/>
      <c r="C86" s="24" t="s">
        <v>244</v>
      </c>
      <c r="D86" s="24" t="s">
        <v>244</v>
      </c>
      <c r="E86" s="24" t="s">
        <v>244</v>
      </c>
      <c r="F86" s="24" t="s">
        <v>244</v>
      </c>
      <c r="G86" s="24" t="s">
        <v>244</v>
      </c>
      <c r="H86" s="24" t="s">
        <v>244</v>
      </c>
      <c r="I86" s="24" t="s">
        <v>244</v>
      </c>
      <c r="J86" s="24" t="s">
        <v>244</v>
      </c>
      <c r="K86" s="28" t="s">
        <v>244</v>
      </c>
      <c r="L86" s="24" t="s">
        <v>244</v>
      </c>
      <c r="M86" s="24" t="s">
        <v>244</v>
      </c>
      <c r="N86" s="24" t="s">
        <v>244</v>
      </c>
      <c r="O86" s="24" t="s">
        <v>244</v>
      </c>
      <c r="P86" s="24" t="s">
        <v>244</v>
      </c>
      <c r="Q86" s="24" t="s">
        <v>244</v>
      </c>
      <c r="R86" s="24" t="s">
        <v>244</v>
      </c>
      <c r="S86" s="24" t="s">
        <v>244</v>
      </c>
      <c r="T86" s="24" t="s">
        <v>244</v>
      </c>
      <c r="U86" s="24" t="s">
        <v>244</v>
      </c>
      <c r="V86" s="24" t="s">
        <v>244</v>
      </c>
      <c r="W86" s="24" t="s">
        <v>244</v>
      </c>
      <c r="X86" s="24" t="s">
        <v>244</v>
      </c>
      <c r="Y86" s="24" t="s">
        <v>244</v>
      </c>
      <c r="Z86" s="24" t="s">
        <v>244</v>
      </c>
      <c r="AA86" s="24" t="s">
        <v>244</v>
      </c>
      <c r="AB86" s="24" t="s">
        <v>244</v>
      </c>
      <c r="AC86" s="24" t="s">
        <v>244</v>
      </c>
      <c r="AD86" s="24" t="s">
        <v>244</v>
      </c>
      <c r="AE86" s="24" t="s">
        <v>244</v>
      </c>
      <c r="AF86" s="24" t="s">
        <v>244</v>
      </c>
      <c r="AG86" s="24" t="s">
        <v>244</v>
      </c>
      <c r="AH86" s="24" t="s">
        <v>244</v>
      </c>
      <c r="AI86" s="24" t="s">
        <v>244</v>
      </c>
      <c r="AJ86" s="24" t="s">
        <v>244</v>
      </c>
      <c r="AK86" s="24" t="s">
        <v>244</v>
      </c>
      <c r="AL86" s="24" t="s">
        <v>244</v>
      </c>
      <c r="AM86" s="24" t="s">
        <v>244</v>
      </c>
      <c r="AN86" s="24" t="s">
        <v>244</v>
      </c>
      <c r="AO86" s="24" t="s">
        <v>244</v>
      </c>
      <c r="AP86" s="24" t="s">
        <v>244</v>
      </c>
      <c r="AQ86" s="24" t="s">
        <v>244</v>
      </c>
      <c r="AR86" s="24" t="s">
        <v>244</v>
      </c>
      <c r="AS86" s="24" t="s">
        <v>244</v>
      </c>
      <c r="AT86" s="24" t="s">
        <v>244</v>
      </c>
      <c r="AU86" s="24" t="s">
        <v>244</v>
      </c>
      <c r="AV86" s="24" t="s">
        <v>244</v>
      </c>
      <c r="AW86" s="24" t="s">
        <v>244</v>
      </c>
      <c r="AX86" s="24" t="s">
        <v>244</v>
      </c>
      <c r="AY86" s="24" t="s">
        <v>244</v>
      </c>
      <c r="AZ86" s="24" t="s">
        <v>244</v>
      </c>
      <c r="BA86" s="24" t="s">
        <v>244</v>
      </c>
      <c r="BB86" s="24" t="s">
        <v>244</v>
      </c>
      <c r="BC86" s="24" t="s">
        <v>244</v>
      </c>
      <c r="BD86" s="24" t="s">
        <v>244</v>
      </c>
      <c r="BE86" s="24" t="s">
        <v>244</v>
      </c>
      <c r="BF86" s="24" t="s">
        <v>244</v>
      </c>
      <c r="BG86" s="24" t="s">
        <v>244</v>
      </c>
      <c r="BH86" s="24" t="s">
        <v>244</v>
      </c>
      <c r="BI86" s="24" t="s">
        <v>244</v>
      </c>
      <c r="BJ86" s="24" t="s">
        <v>244</v>
      </c>
      <c r="BK86" s="24" t="s">
        <v>244</v>
      </c>
      <c r="BL86" s="24" t="s">
        <v>244</v>
      </c>
      <c r="BM86" s="24" t="s">
        <v>244</v>
      </c>
      <c r="BN86" s="24" t="s">
        <v>244</v>
      </c>
      <c r="BO86" s="24" t="s">
        <v>244</v>
      </c>
      <c r="BP86" s="24" t="s">
        <v>244</v>
      </c>
      <c r="BQ86" s="24" t="s">
        <v>244</v>
      </c>
      <c r="BR86" s="24" t="s">
        <v>244</v>
      </c>
      <c r="BS86" s="24" t="s">
        <v>244</v>
      </c>
      <c r="BT86" s="24" t="s">
        <v>244</v>
      </c>
      <c r="BU86" s="24" t="s">
        <v>244</v>
      </c>
      <c r="BV86" s="24" t="s">
        <v>244</v>
      </c>
      <c r="BW86" s="24" t="s">
        <v>244</v>
      </c>
      <c r="BX86" s="24" t="s">
        <v>244</v>
      </c>
      <c r="BY86" s="24" t="s">
        <v>244</v>
      </c>
      <c r="BZ86" s="24" t="s">
        <v>244</v>
      </c>
      <c r="CA86" s="24" t="s">
        <v>244</v>
      </c>
      <c r="CB86" s="24" t="s">
        <v>244</v>
      </c>
      <c r="CC86" s="24" t="s">
        <v>244</v>
      </c>
      <c r="CD86" s="24" t="s">
        <v>244</v>
      </c>
      <c r="CE86" s="282">
        <v>389476</v>
      </c>
    </row>
    <row r="87" spans="1:84" x14ac:dyDescent="0.35">
      <c r="A87" s="31" t="s">
        <v>283</v>
      </c>
      <c r="B87" s="16"/>
      <c r="C87" s="273"/>
      <c r="D87" s="273"/>
      <c r="E87" s="273">
        <v>1043916</v>
      </c>
      <c r="F87" s="273"/>
      <c r="G87" s="273"/>
      <c r="H87" s="273"/>
      <c r="I87" s="273"/>
      <c r="J87" s="273"/>
      <c r="K87" s="273"/>
      <c r="L87" s="273">
        <v>1894205</v>
      </c>
      <c r="M87" s="273"/>
      <c r="N87" s="273">
        <v>1248</v>
      </c>
      <c r="O87" s="273"/>
      <c r="P87" s="273"/>
      <c r="Q87" s="273"/>
      <c r="R87" s="273"/>
      <c r="S87" s="273">
        <v>203267</v>
      </c>
      <c r="T87" s="273"/>
      <c r="U87" s="273">
        <v>303017</v>
      </c>
      <c r="V87" s="273"/>
      <c r="W87" s="273">
        <v>13794</v>
      </c>
      <c r="X87" s="273">
        <v>62880</v>
      </c>
      <c r="Y87" s="273">
        <v>137318</v>
      </c>
      <c r="Z87" s="273"/>
      <c r="AA87" s="273"/>
      <c r="AB87" s="273">
        <v>198712</v>
      </c>
      <c r="AC87" s="273"/>
      <c r="AD87" s="273"/>
      <c r="AE87" s="273">
        <v>146594</v>
      </c>
      <c r="AF87" s="273"/>
      <c r="AG87" s="273">
        <v>15725</v>
      </c>
      <c r="AH87" s="273"/>
      <c r="AI87" s="273">
        <v>6340</v>
      </c>
      <c r="AJ87" s="273">
        <v>119285</v>
      </c>
      <c r="AK87" s="273">
        <v>71168</v>
      </c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244</v>
      </c>
      <c r="AX87" s="24" t="s">
        <v>244</v>
      </c>
      <c r="AY87" s="24" t="s">
        <v>244</v>
      </c>
      <c r="AZ87" s="24" t="s">
        <v>244</v>
      </c>
      <c r="BA87" s="24" t="s">
        <v>244</v>
      </c>
      <c r="BB87" s="24" t="s">
        <v>244</v>
      </c>
      <c r="BC87" s="24" t="s">
        <v>244</v>
      </c>
      <c r="BD87" s="24" t="s">
        <v>244</v>
      </c>
      <c r="BE87" s="24" t="s">
        <v>244</v>
      </c>
      <c r="BF87" s="24" t="s">
        <v>244</v>
      </c>
      <c r="BG87" s="24" t="s">
        <v>244</v>
      </c>
      <c r="BH87" s="24" t="s">
        <v>244</v>
      </c>
      <c r="BI87" s="24" t="s">
        <v>244</v>
      </c>
      <c r="BJ87" s="24" t="s">
        <v>244</v>
      </c>
      <c r="BK87" s="24" t="s">
        <v>244</v>
      </c>
      <c r="BL87" s="24" t="s">
        <v>244</v>
      </c>
      <c r="BM87" s="24" t="s">
        <v>244</v>
      </c>
      <c r="BN87" s="24" t="s">
        <v>244</v>
      </c>
      <c r="BO87" s="24" t="s">
        <v>244</v>
      </c>
      <c r="BP87" s="24" t="s">
        <v>244</v>
      </c>
      <c r="BQ87" s="24" t="s">
        <v>244</v>
      </c>
      <c r="BR87" s="24" t="s">
        <v>244</v>
      </c>
      <c r="BS87" s="24" t="s">
        <v>244</v>
      </c>
      <c r="BT87" s="24" t="s">
        <v>244</v>
      </c>
      <c r="BU87" s="24" t="s">
        <v>244</v>
      </c>
      <c r="BV87" s="24" t="s">
        <v>244</v>
      </c>
      <c r="BW87" s="24" t="s">
        <v>244</v>
      </c>
      <c r="BX87" s="24" t="s">
        <v>244</v>
      </c>
      <c r="BY87" s="24" t="s">
        <v>244</v>
      </c>
      <c r="BZ87" s="24" t="s">
        <v>244</v>
      </c>
      <c r="CA87" s="24" t="s">
        <v>244</v>
      </c>
      <c r="CB87" s="24" t="s">
        <v>244</v>
      </c>
      <c r="CC87" s="24" t="s">
        <v>244</v>
      </c>
      <c r="CD87" s="24" t="s">
        <v>244</v>
      </c>
      <c r="CE87" s="25">
        <f t="shared" ref="CE87:CE94" si="20">SUM(C87:CD87)</f>
        <v>4217469</v>
      </c>
    </row>
    <row r="88" spans="1:84" x14ac:dyDescent="0.35">
      <c r="A88" s="31" t="s">
        <v>284</v>
      </c>
      <c r="B88" s="16"/>
      <c r="C88" s="273"/>
      <c r="D88" s="273"/>
      <c r="E88" s="273">
        <v>38185</v>
      </c>
      <c r="F88" s="273"/>
      <c r="G88" s="273"/>
      <c r="H88" s="273"/>
      <c r="I88" s="273"/>
      <c r="J88" s="273"/>
      <c r="K88" s="273"/>
      <c r="L88" s="273"/>
      <c r="M88" s="273"/>
      <c r="N88" s="273">
        <v>220047</v>
      </c>
      <c r="O88" s="273"/>
      <c r="P88" s="273"/>
      <c r="Q88" s="273"/>
      <c r="R88" s="273"/>
      <c r="S88" s="273">
        <v>94606</v>
      </c>
      <c r="T88" s="273"/>
      <c r="U88" s="273">
        <v>3937759</v>
      </c>
      <c r="V88" s="273"/>
      <c r="W88" s="273">
        <v>371730</v>
      </c>
      <c r="X88" s="273">
        <v>1694577</v>
      </c>
      <c r="Y88" s="273">
        <v>3700639</v>
      </c>
      <c r="Z88" s="273"/>
      <c r="AA88" s="273"/>
      <c r="AB88" s="273">
        <v>528161</v>
      </c>
      <c r="AC88" s="273"/>
      <c r="AD88" s="273"/>
      <c r="AE88" s="273">
        <v>1317065</v>
      </c>
      <c r="AF88" s="273"/>
      <c r="AG88" s="273">
        <v>6147274</v>
      </c>
      <c r="AH88" s="273"/>
      <c r="AI88" s="273">
        <v>1201026</v>
      </c>
      <c r="AJ88" s="273">
        <v>2348633</v>
      </c>
      <c r="AK88" s="273">
        <v>152089</v>
      </c>
      <c r="AL88" s="273"/>
      <c r="AM88" s="273"/>
      <c r="AN88" s="273"/>
      <c r="AO88" s="273">
        <v>404980</v>
      </c>
      <c r="AP88" s="273"/>
      <c r="AQ88" s="273"/>
      <c r="AR88" s="273"/>
      <c r="AS88" s="273"/>
      <c r="AT88" s="273"/>
      <c r="AU88" s="273"/>
      <c r="AV88" s="273"/>
      <c r="AW88" s="24" t="s">
        <v>244</v>
      </c>
      <c r="AX88" s="24" t="s">
        <v>244</v>
      </c>
      <c r="AY88" s="24" t="s">
        <v>244</v>
      </c>
      <c r="AZ88" s="24" t="s">
        <v>244</v>
      </c>
      <c r="BA88" s="24" t="s">
        <v>244</v>
      </c>
      <c r="BB88" s="24" t="s">
        <v>244</v>
      </c>
      <c r="BC88" s="24" t="s">
        <v>244</v>
      </c>
      <c r="BD88" s="24" t="s">
        <v>244</v>
      </c>
      <c r="BE88" s="24" t="s">
        <v>244</v>
      </c>
      <c r="BF88" s="24" t="s">
        <v>244</v>
      </c>
      <c r="BG88" s="24" t="s">
        <v>244</v>
      </c>
      <c r="BH88" s="24" t="s">
        <v>244</v>
      </c>
      <c r="BI88" s="24" t="s">
        <v>244</v>
      </c>
      <c r="BJ88" s="24" t="s">
        <v>244</v>
      </c>
      <c r="BK88" s="24" t="s">
        <v>244</v>
      </c>
      <c r="BL88" s="24" t="s">
        <v>244</v>
      </c>
      <c r="BM88" s="24" t="s">
        <v>244</v>
      </c>
      <c r="BN88" s="24" t="s">
        <v>244</v>
      </c>
      <c r="BO88" s="24" t="s">
        <v>244</v>
      </c>
      <c r="BP88" s="24" t="s">
        <v>244</v>
      </c>
      <c r="BQ88" s="24" t="s">
        <v>244</v>
      </c>
      <c r="BR88" s="24" t="s">
        <v>244</v>
      </c>
      <c r="BS88" s="24" t="s">
        <v>244</v>
      </c>
      <c r="BT88" s="24" t="s">
        <v>244</v>
      </c>
      <c r="BU88" s="24" t="s">
        <v>244</v>
      </c>
      <c r="BV88" s="24" t="s">
        <v>244</v>
      </c>
      <c r="BW88" s="24" t="s">
        <v>244</v>
      </c>
      <c r="BX88" s="24" t="s">
        <v>244</v>
      </c>
      <c r="BY88" s="24" t="s">
        <v>244</v>
      </c>
      <c r="BZ88" s="24" t="s">
        <v>244</v>
      </c>
      <c r="CA88" s="24" t="s">
        <v>244</v>
      </c>
      <c r="CB88" s="24" t="s">
        <v>244</v>
      </c>
      <c r="CC88" s="24" t="s">
        <v>244</v>
      </c>
      <c r="CD88" s="24" t="s">
        <v>244</v>
      </c>
      <c r="CE88" s="25">
        <f t="shared" si="20"/>
        <v>22156771</v>
      </c>
    </row>
    <row r="89" spans="1:84" x14ac:dyDescent="0.35">
      <c r="A89" s="21" t="s">
        <v>285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1082101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1894205</v>
      </c>
      <c r="M89" s="25">
        <f t="shared" si="21"/>
        <v>0</v>
      </c>
      <c r="N89" s="25">
        <f t="shared" si="21"/>
        <v>221295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297873</v>
      </c>
      <c r="T89" s="25">
        <f t="shared" si="21"/>
        <v>0</v>
      </c>
      <c r="U89" s="25">
        <f t="shared" si="21"/>
        <v>4240776</v>
      </c>
      <c r="V89" s="25">
        <f t="shared" si="21"/>
        <v>0</v>
      </c>
      <c r="W89" s="25">
        <f t="shared" si="21"/>
        <v>385524</v>
      </c>
      <c r="X89" s="25">
        <f t="shared" si="21"/>
        <v>1757457</v>
      </c>
      <c r="Y89" s="25">
        <f t="shared" si="21"/>
        <v>3837957</v>
      </c>
      <c r="Z89" s="25">
        <f t="shared" si="21"/>
        <v>0</v>
      </c>
      <c r="AA89" s="25">
        <f t="shared" si="21"/>
        <v>0</v>
      </c>
      <c r="AB89" s="25">
        <f t="shared" si="21"/>
        <v>726873</v>
      </c>
      <c r="AC89" s="25">
        <f t="shared" si="21"/>
        <v>0</v>
      </c>
      <c r="AD89" s="25">
        <f t="shared" si="21"/>
        <v>0</v>
      </c>
      <c r="AE89" s="25">
        <f t="shared" si="21"/>
        <v>1463659</v>
      </c>
      <c r="AF89" s="25">
        <f t="shared" si="21"/>
        <v>0</v>
      </c>
      <c r="AG89" s="25">
        <f t="shared" si="21"/>
        <v>6162999</v>
      </c>
      <c r="AH89" s="25">
        <f t="shared" si="21"/>
        <v>0</v>
      </c>
      <c r="AI89" s="25">
        <f t="shared" si="21"/>
        <v>1207366</v>
      </c>
      <c r="AJ89" s="25">
        <f t="shared" si="21"/>
        <v>2467918</v>
      </c>
      <c r="AK89" s="25">
        <f t="shared" si="21"/>
        <v>223257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404980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244</v>
      </c>
      <c r="AX89" s="24" t="s">
        <v>244</v>
      </c>
      <c r="AY89" s="24" t="s">
        <v>244</v>
      </c>
      <c r="AZ89" s="24" t="s">
        <v>244</v>
      </c>
      <c r="BA89" s="24" t="s">
        <v>244</v>
      </c>
      <c r="BB89" s="24" t="s">
        <v>244</v>
      </c>
      <c r="BC89" s="24" t="s">
        <v>244</v>
      </c>
      <c r="BD89" s="24" t="s">
        <v>244</v>
      </c>
      <c r="BE89" s="24" t="s">
        <v>244</v>
      </c>
      <c r="BF89" s="24" t="s">
        <v>244</v>
      </c>
      <c r="BG89" s="24" t="s">
        <v>244</v>
      </c>
      <c r="BH89" s="24" t="s">
        <v>244</v>
      </c>
      <c r="BI89" s="24" t="s">
        <v>244</v>
      </c>
      <c r="BJ89" s="24" t="s">
        <v>244</v>
      </c>
      <c r="BK89" s="24" t="s">
        <v>244</v>
      </c>
      <c r="BL89" s="24" t="s">
        <v>244</v>
      </c>
      <c r="BM89" s="24" t="s">
        <v>244</v>
      </c>
      <c r="BN89" s="24" t="s">
        <v>244</v>
      </c>
      <c r="BO89" s="24" t="s">
        <v>244</v>
      </c>
      <c r="BP89" s="24" t="s">
        <v>244</v>
      </c>
      <c r="BQ89" s="24" t="s">
        <v>244</v>
      </c>
      <c r="BR89" s="24" t="s">
        <v>244</v>
      </c>
      <c r="BS89" s="24" t="s">
        <v>244</v>
      </c>
      <c r="BT89" s="24" t="s">
        <v>244</v>
      </c>
      <c r="BU89" s="24" t="s">
        <v>244</v>
      </c>
      <c r="BV89" s="24" t="s">
        <v>244</v>
      </c>
      <c r="BW89" s="24" t="s">
        <v>244</v>
      </c>
      <c r="BX89" s="24" t="s">
        <v>244</v>
      </c>
      <c r="BY89" s="24" t="s">
        <v>244</v>
      </c>
      <c r="BZ89" s="24" t="s">
        <v>244</v>
      </c>
      <c r="CA89" s="24" t="s">
        <v>244</v>
      </c>
      <c r="CB89" s="24" t="s">
        <v>244</v>
      </c>
      <c r="CC89" s="24" t="s">
        <v>244</v>
      </c>
      <c r="CD89" s="24" t="s">
        <v>244</v>
      </c>
      <c r="CE89" s="25">
        <f t="shared" si="20"/>
        <v>26374240</v>
      </c>
    </row>
    <row r="90" spans="1:84" x14ac:dyDescent="0.35">
      <c r="A90" s="31" t="s">
        <v>286</v>
      </c>
      <c r="B90" s="25"/>
      <c r="C90" s="273"/>
      <c r="D90" s="273"/>
      <c r="E90" s="273">
        <v>523</v>
      </c>
      <c r="F90" s="273"/>
      <c r="G90" s="273"/>
      <c r="H90" s="273"/>
      <c r="I90" s="273"/>
      <c r="J90" s="273"/>
      <c r="K90" s="273"/>
      <c r="L90" s="273">
        <v>5992</v>
      </c>
      <c r="M90" s="273"/>
      <c r="N90" s="273">
        <v>10387</v>
      </c>
      <c r="O90" s="273"/>
      <c r="P90" s="273"/>
      <c r="Q90" s="273"/>
      <c r="R90" s="273"/>
      <c r="S90" s="273">
        <v>806</v>
      </c>
      <c r="T90" s="273"/>
      <c r="U90" s="273">
        <v>932</v>
      </c>
      <c r="V90" s="273"/>
      <c r="W90" s="273">
        <v>57</v>
      </c>
      <c r="X90" s="273">
        <v>260</v>
      </c>
      <c r="Y90" s="273">
        <v>567</v>
      </c>
      <c r="Z90" s="273"/>
      <c r="AA90" s="273"/>
      <c r="AB90" s="273">
        <v>100</v>
      </c>
      <c r="AC90" s="273"/>
      <c r="AD90" s="273"/>
      <c r="AE90" s="273">
        <v>1888</v>
      </c>
      <c r="AF90" s="273"/>
      <c r="AG90" s="273">
        <v>997</v>
      </c>
      <c r="AH90" s="273"/>
      <c r="AI90" s="273">
        <v>379</v>
      </c>
      <c r="AJ90" s="273">
        <v>1898</v>
      </c>
      <c r="AK90" s="273"/>
      <c r="AL90" s="273"/>
      <c r="AM90" s="273"/>
      <c r="AN90" s="273"/>
      <c r="AO90" s="273">
        <v>138</v>
      </c>
      <c r="AP90" s="273"/>
      <c r="AQ90" s="273"/>
      <c r="AR90" s="273"/>
      <c r="AS90" s="273"/>
      <c r="AT90" s="273"/>
      <c r="AU90" s="273"/>
      <c r="AV90" s="273"/>
      <c r="AW90" s="273"/>
      <c r="AX90" s="273"/>
      <c r="AY90" s="273">
        <v>948</v>
      </c>
      <c r="AZ90" s="273"/>
      <c r="BA90" s="273"/>
      <c r="BB90" s="273"/>
      <c r="BC90" s="273"/>
      <c r="BD90" s="273"/>
      <c r="BE90" s="273">
        <v>1078</v>
      </c>
      <c r="BF90" s="273">
        <v>732</v>
      </c>
      <c r="BG90" s="273"/>
      <c r="BH90" s="273"/>
      <c r="BI90" s="273"/>
      <c r="BJ90" s="273"/>
      <c r="BK90" s="273"/>
      <c r="BL90" s="273"/>
      <c r="BM90" s="273"/>
      <c r="BN90" s="273">
        <v>2348</v>
      </c>
      <c r="BO90" s="273"/>
      <c r="BP90" s="273"/>
      <c r="BQ90" s="273"/>
      <c r="BR90" s="273">
        <v>404</v>
      </c>
      <c r="BS90" s="273"/>
      <c r="BT90" s="273"/>
      <c r="BU90" s="273"/>
      <c r="BV90" s="273">
        <v>770</v>
      </c>
      <c r="BW90" s="273"/>
      <c r="BX90" s="273"/>
      <c r="BY90" s="273">
        <v>305</v>
      </c>
      <c r="BZ90" s="273"/>
      <c r="CA90" s="273"/>
      <c r="CB90" s="273"/>
      <c r="CC90" s="273"/>
      <c r="CD90" s="224" t="s">
        <v>244</v>
      </c>
      <c r="CE90" s="25">
        <f t="shared" si="20"/>
        <v>31509</v>
      </c>
      <c r="CF90" s="25">
        <f>BE59-CE90</f>
        <v>0</v>
      </c>
    </row>
    <row r="91" spans="1:84" x14ac:dyDescent="0.35">
      <c r="A91" s="21" t="s">
        <v>287</v>
      </c>
      <c r="B91" s="16"/>
      <c r="C91" s="273"/>
      <c r="D91" s="273"/>
      <c r="E91" s="273">
        <v>1087</v>
      </c>
      <c r="F91" s="273"/>
      <c r="G91" s="273"/>
      <c r="H91" s="273"/>
      <c r="I91" s="273"/>
      <c r="J91" s="273"/>
      <c r="K91" s="273"/>
      <c r="L91" s="273">
        <v>12444</v>
      </c>
      <c r="M91" s="273"/>
      <c r="N91" s="273">
        <v>11070</v>
      </c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>
        <v>286</v>
      </c>
      <c r="AP91" s="273"/>
      <c r="AQ91" s="273"/>
      <c r="AR91" s="273"/>
      <c r="AS91" s="273"/>
      <c r="AT91" s="273"/>
      <c r="AU91" s="273"/>
      <c r="AV91" s="273"/>
      <c r="AW91" s="273"/>
      <c r="AX91" s="264" t="s">
        <v>244</v>
      </c>
      <c r="AY91" s="264" t="s">
        <v>244</v>
      </c>
      <c r="AZ91" s="273">
        <f>AZ59</f>
        <v>0</v>
      </c>
      <c r="BA91" s="273"/>
      <c r="BB91" s="273"/>
      <c r="BC91" s="273"/>
      <c r="BD91" s="24" t="s">
        <v>244</v>
      </c>
      <c r="BE91" s="24" t="s">
        <v>244</v>
      </c>
      <c r="BF91" s="273"/>
      <c r="BG91" s="24" t="s">
        <v>244</v>
      </c>
      <c r="BH91" s="273"/>
      <c r="BI91" s="273"/>
      <c r="BJ91" s="24" t="s">
        <v>244</v>
      </c>
      <c r="BK91" s="273"/>
      <c r="BL91" s="273"/>
      <c r="BM91" s="273"/>
      <c r="BN91" s="24" t="s">
        <v>244</v>
      </c>
      <c r="BO91" s="24" t="s">
        <v>244</v>
      </c>
      <c r="BP91" s="24" t="s">
        <v>244</v>
      </c>
      <c r="BQ91" s="24" t="s">
        <v>244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244</v>
      </c>
      <c r="CD91" s="24" t="s">
        <v>244</v>
      </c>
      <c r="CE91" s="25">
        <f t="shared" si="20"/>
        <v>24887</v>
      </c>
      <c r="CF91" s="25">
        <f>AY59-CE91</f>
        <v>0</v>
      </c>
    </row>
    <row r="92" spans="1:84" x14ac:dyDescent="0.35">
      <c r="A92" s="21" t="s">
        <v>288</v>
      </c>
      <c r="B92" s="16"/>
      <c r="C92" s="273"/>
      <c r="D92" s="273"/>
      <c r="E92" s="273">
        <v>215</v>
      </c>
      <c r="F92" s="273"/>
      <c r="G92" s="273"/>
      <c r="H92" s="273"/>
      <c r="I92" s="273"/>
      <c r="J92" s="273"/>
      <c r="K92" s="273"/>
      <c r="L92" s="273">
        <v>2456</v>
      </c>
      <c r="M92" s="273"/>
      <c r="N92" s="273">
        <v>4258</v>
      </c>
      <c r="O92" s="273"/>
      <c r="P92" s="273"/>
      <c r="Q92" s="273"/>
      <c r="R92" s="273"/>
      <c r="S92" s="273">
        <v>330</v>
      </c>
      <c r="T92" s="273"/>
      <c r="U92" s="273">
        <v>382</v>
      </c>
      <c r="V92" s="273"/>
      <c r="W92" s="273">
        <v>23</v>
      </c>
      <c r="X92" s="273">
        <v>106</v>
      </c>
      <c r="Y92" s="273">
        <v>233</v>
      </c>
      <c r="Z92" s="273"/>
      <c r="AA92" s="273"/>
      <c r="AB92" s="273">
        <v>41</v>
      </c>
      <c r="AC92" s="273"/>
      <c r="AD92" s="273"/>
      <c r="AE92" s="273">
        <v>774</v>
      </c>
      <c r="AF92" s="273"/>
      <c r="AG92" s="273">
        <v>409</v>
      </c>
      <c r="AH92" s="273"/>
      <c r="AI92" s="273">
        <v>155</v>
      </c>
      <c r="AJ92" s="273">
        <v>778</v>
      </c>
      <c r="AK92" s="273"/>
      <c r="AL92" s="273"/>
      <c r="AM92" s="273"/>
      <c r="AN92" s="273"/>
      <c r="AO92" s="273">
        <v>56</v>
      </c>
      <c r="AP92" s="273"/>
      <c r="AQ92" s="273"/>
      <c r="AR92" s="273"/>
      <c r="AS92" s="273"/>
      <c r="AT92" s="273"/>
      <c r="AU92" s="273"/>
      <c r="AV92" s="273"/>
      <c r="AW92" s="273"/>
      <c r="AX92" s="264" t="s">
        <v>244</v>
      </c>
      <c r="AY92" s="264" t="s">
        <v>244</v>
      </c>
      <c r="AZ92" s="24" t="s">
        <v>244</v>
      </c>
      <c r="BA92" s="273"/>
      <c r="BB92" s="273"/>
      <c r="BC92" s="273"/>
      <c r="BD92" s="24" t="s">
        <v>244</v>
      </c>
      <c r="BE92" s="24" t="s">
        <v>244</v>
      </c>
      <c r="BF92" s="24" t="s">
        <v>244</v>
      </c>
      <c r="BG92" s="24" t="s">
        <v>244</v>
      </c>
      <c r="BH92" s="273"/>
      <c r="BI92" s="273"/>
      <c r="BJ92" s="24" t="s">
        <v>244</v>
      </c>
      <c r="BK92" s="273"/>
      <c r="BL92" s="273"/>
      <c r="BM92" s="273"/>
      <c r="BN92" s="24" t="s">
        <v>244</v>
      </c>
      <c r="BO92" s="24" t="s">
        <v>244</v>
      </c>
      <c r="BP92" s="24" t="s">
        <v>244</v>
      </c>
      <c r="BQ92" s="24" t="s">
        <v>244</v>
      </c>
      <c r="BR92" s="24" t="s">
        <v>244</v>
      </c>
      <c r="BS92" s="273"/>
      <c r="BT92" s="273"/>
      <c r="BU92" s="273"/>
      <c r="BV92" s="273">
        <v>316</v>
      </c>
      <c r="BW92" s="273"/>
      <c r="BX92" s="273"/>
      <c r="BY92" s="273">
        <v>125</v>
      </c>
      <c r="BZ92" s="273"/>
      <c r="CA92" s="273"/>
      <c r="CB92" s="273"/>
      <c r="CC92" s="24" t="s">
        <v>244</v>
      </c>
      <c r="CD92" s="24" t="s">
        <v>244</v>
      </c>
      <c r="CE92" s="25">
        <f t="shared" si="20"/>
        <v>10657</v>
      </c>
      <c r="CF92" s="16"/>
    </row>
    <row r="93" spans="1:84" x14ac:dyDescent="0.35">
      <c r="A93" s="21" t="s">
        <v>289</v>
      </c>
      <c r="B93" s="16"/>
      <c r="C93" s="273"/>
      <c r="D93" s="273"/>
      <c r="E93" s="273">
        <v>2486</v>
      </c>
      <c r="F93" s="273"/>
      <c r="G93" s="273"/>
      <c r="H93" s="273"/>
      <c r="I93" s="273"/>
      <c r="J93" s="273"/>
      <c r="K93" s="273"/>
      <c r="L93" s="273">
        <v>28450</v>
      </c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>
        <v>355</v>
      </c>
      <c r="X93" s="273">
        <v>1621</v>
      </c>
      <c r="Y93" s="273">
        <v>3539</v>
      </c>
      <c r="Z93" s="273"/>
      <c r="AA93" s="273"/>
      <c r="AB93" s="273"/>
      <c r="AC93" s="273"/>
      <c r="AD93" s="273"/>
      <c r="AE93" s="273">
        <v>1749</v>
      </c>
      <c r="AF93" s="273"/>
      <c r="AG93" s="273">
        <v>13137</v>
      </c>
      <c r="AH93" s="273"/>
      <c r="AI93" s="273">
        <v>723</v>
      </c>
      <c r="AJ93" s="273">
        <v>50</v>
      </c>
      <c r="AK93" s="273"/>
      <c r="AL93" s="273"/>
      <c r="AM93" s="273"/>
      <c r="AN93" s="273"/>
      <c r="AO93" s="273">
        <v>653</v>
      </c>
      <c r="AP93" s="273"/>
      <c r="AQ93" s="273"/>
      <c r="AR93" s="273"/>
      <c r="AS93" s="273"/>
      <c r="AT93" s="273"/>
      <c r="AU93" s="273"/>
      <c r="AV93" s="273"/>
      <c r="AW93" s="273"/>
      <c r="AX93" s="264" t="s">
        <v>244</v>
      </c>
      <c r="AY93" s="264" t="s">
        <v>244</v>
      </c>
      <c r="AZ93" s="24" t="s">
        <v>244</v>
      </c>
      <c r="BA93" s="24" t="s">
        <v>244</v>
      </c>
      <c r="BB93" s="273"/>
      <c r="BC93" s="273"/>
      <c r="BD93" s="24" t="s">
        <v>244</v>
      </c>
      <c r="BE93" s="24" t="s">
        <v>244</v>
      </c>
      <c r="BF93" s="24" t="s">
        <v>244</v>
      </c>
      <c r="BG93" s="24" t="s">
        <v>244</v>
      </c>
      <c r="BH93" s="273"/>
      <c r="BI93" s="273"/>
      <c r="BJ93" s="24" t="s">
        <v>244</v>
      </c>
      <c r="BK93" s="273"/>
      <c r="BL93" s="273"/>
      <c r="BM93" s="273"/>
      <c r="BN93" s="24" t="s">
        <v>244</v>
      </c>
      <c r="BO93" s="24" t="s">
        <v>244</v>
      </c>
      <c r="BP93" s="24" t="s">
        <v>244</v>
      </c>
      <c r="BQ93" s="24" t="s">
        <v>244</v>
      </c>
      <c r="BR93" s="24" t="s">
        <v>244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244</v>
      </c>
      <c r="CD93" s="24" t="s">
        <v>244</v>
      </c>
      <c r="CE93" s="25">
        <f t="shared" si="20"/>
        <v>52763</v>
      </c>
      <c r="CF93" s="25">
        <f>BA59</f>
        <v>0</v>
      </c>
    </row>
    <row r="94" spans="1:84" x14ac:dyDescent="0.35">
      <c r="A94" s="21" t="s">
        <v>290</v>
      </c>
      <c r="B94" s="16"/>
      <c r="C94" s="277"/>
      <c r="D94" s="277"/>
      <c r="E94" s="277">
        <v>2.63</v>
      </c>
      <c r="F94" s="277"/>
      <c r="G94" s="277"/>
      <c r="H94" s="277"/>
      <c r="I94" s="277"/>
      <c r="J94" s="277"/>
      <c r="K94" s="277"/>
      <c r="L94" s="277">
        <v>30.1</v>
      </c>
      <c r="M94" s="277"/>
      <c r="N94" s="277"/>
      <c r="O94" s="277"/>
      <c r="P94" s="274"/>
      <c r="Q94" s="274"/>
      <c r="R94" s="274"/>
      <c r="S94" s="278">
        <v>1.92</v>
      </c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>
        <v>2.71</v>
      </c>
      <c r="AH94" s="274"/>
      <c r="AI94" s="274">
        <v>0.21</v>
      </c>
      <c r="AJ94" s="274"/>
      <c r="AK94" s="274"/>
      <c r="AL94" s="274"/>
      <c r="AM94" s="274"/>
      <c r="AN94" s="274"/>
      <c r="AO94" s="274">
        <v>0.69</v>
      </c>
      <c r="AP94" s="274"/>
      <c r="AQ94" s="274"/>
      <c r="AR94" s="274"/>
      <c r="AS94" s="274"/>
      <c r="AT94" s="274"/>
      <c r="AU94" s="274"/>
      <c r="AV94" s="278"/>
      <c r="AW94" s="264" t="s">
        <v>244</v>
      </c>
      <c r="AX94" s="264" t="s">
        <v>244</v>
      </c>
      <c r="AY94" s="264" t="s">
        <v>244</v>
      </c>
      <c r="AZ94" s="24" t="s">
        <v>244</v>
      </c>
      <c r="BA94" s="24" t="s">
        <v>244</v>
      </c>
      <c r="BB94" s="24" t="s">
        <v>244</v>
      </c>
      <c r="BC94" s="24" t="s">
        <v>244</v>
      </c>
      <c r="BD94" s="24" t="s">
        <v>244</v>
      </c>
      <c r="BE94" s="24" t="s">
        <v>244</v>
      </c>
      <c r="BF94" s="24" t="s">
        <v>244</v>
      </c>
      <c r="BG94" s="24" t="s">
        <v>244</v>
      </c>
      <c r="BH94" s="24" t="s">
        <v>244</v>
      </c>
      <c r="BI94" s="24" t="s">
        <v>244</v>
      </c>
      <c r="BJ94" s="24" t="s">
        <v>244</v>
      </c>
      <c r="BK94" s="24" t="s">
        <v>244</v>
      </c>
      <c r="BL94" s="24" t="s">
        <v>244</v>
      </c>
      <c r="BM94" s="24" t="s">
        <v>244</v>
      </c>
      <c r="BN94" s="24" t="s">
        <v>244</v>
      </c>
      <c r="BO94" s="24" t="s">
        <v>244</v>
      </c>
      <c r="BP94" s="24" t="s">
        <v>244</v>
      </c>
      <c r="BQ94" s="24" t="s">
        <v>244</v>
      </c>
      <c r="BR94" s="24" t="s">
        <v>244</v>
      </c>
      <c r="BS94" s="24" t="s">
        <v>244</v>
      </c>
      <c r="BT94" s="24" t="s">
        <v>244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244</v>
      </c>
      <c r="CD94" s="24" t="s">
        <v>244</v>
      </c>
      <c r="CE94" s="226">
        <f t="shared" si="20"/>
        <v>38.260000000000005</v>
      </c>
      <c r="CF94" s="29"/>
    </row>
    <row r="95" spans="1:84" x14ac:dyDescent="0.35">
      <c r="A95" s="30" t="s">
        <v>291</v>
      </c>
      <c r="B95" s="30"/>
      <c r="C95" s="30"/>
      <c r="D95" s="30"/>
      <c r="E95" s="30"/>
    </row>
    <row r="96" spans="1:84" x14ac:dyDescent="0.35">
      <c r="A96" s="31" t="s">
        <v>292</v>
      </c>
      <c r="B96" s="32"/>
      <c r="C96" s="312" t="s">
        <v>1586</v>
      </c>
      <c r="D96" s="283" t="s">
        <v>3</v>
      </c>
      <c r="E96" s="284" t="s">
        <v>3</v>
      </c>
      <c r="F96" s="12"/>
    </row>
    <row r="97" spans="1:6" x14ac:dyDescent="0.35">
      <c r="A97" s="25" t="s">
        <v>293</v>
      </c>
      <c r="B97" s="32" t="s">
        <v>294</v>
      </c>
      <c r="C97" s="313" t="s">
        <v>1350</v>
      </c>
      <c r="D97" s="283" t="s">
        <v>3</v>
      </c>
      <c r="E97" s="284" t="s">
        <v>3</v>
      </c>
      <c r="F97" s="12"/>
    </row>
    <row r="98" spans="1:6" x14ac:dyDescent="0.35">
      <c r="A98" s="25" t="s">
        <v>295</v>
      </c>
      <c r="B98" s="32" t="s">
        <v>294</v>
      </c>
      <c r="C98" s="314" t="s">
        <v>1351</v>
      </c>
      <c r="D98" s="283" t="s">
        <v>3</v>
      </c>
      <c r="E98" s="284" t="s">
        <v>3</v>
      </c>
      <c r="F98" s="12"/>
    </row>
    <row r="99" spans="1:6" x14ac:dyDescent="0.35">
      <c r="A99" s="25" t="s">
        <v>296</v>
      </c>
      <c r="B99" s="32" t="s">
        <v>294</v>
      </c>
      <c r="C99" s="315" t="s">
        <v>1352</v>
      </c>
      <c r="D99" s="283" t="s">
        <v>3</v>
      </c>
      <c r="E99" s="284" t="s">
        <v>3</v>
      </c>
      <c r="F99" s="12"/>
    </row>
    <row r="100" spans="1:6" x14ac:dyDescent="0.35">
      <c r="A100" s="25" t="s">
        <v>297</v>
      </c>
      <c r="B100" s="32" t="s">
        <v>294</v>
      </c>
      <c r="C100" s="315" t="s">
        <v>1353</v>
      </c>
      <c r="D100" s="283" t="s">
        <v>3</v>
      </c>
      <c r="E100" s="284" t="s">
        <v>3</v>
      </c>
      <c r="F100" s="12"/>
    </row>
    <row r="101" spans="1:6" x14ac:dyDescent="0.35">
      <c r="A101" s="25" t="s">
        <v>298</v>
      </c>
      <c r="B101" s="32" t="s">
        <v>294</v>
      </c>
      <c r="C101" s="314" t="s">
        <v>1578</v>
      </c>
      <c r="D101" s="283" t="s">
        <v>3</v>
      </c>
      <c r="E101" s="284" t="s">
        <v>3</v>
      </c>
      <c r="F101" s="12"/>
    </row>
    <row r="102" spans="1:6" x14ac:dyDescent="0.35">
      <c r="A102" s="25" t="s">
        <v>299</v>
      </c>
      <c r="B102" s="32" t="s">
        <v>294</v>
      </c>
      <c r="C102" s="315" t="s">
        <v>1587</v>
      </c>
      <c r="D102" s="283" t="s">
        <v>3</v>
      </c>
      <c r="E102" s="284" t="s">
        <v>3</v>
      </c>
      <c r="F102" s="12"/>
    </row>
    <row r="103" spans="1:6" x14ac:dyDescent="0.35">
      <c r="A103" s="25" t="s">
        <v>300</v>
      </c>
      <c r="B103" s="32" t="s">
        <v>294</v>
      </c>
      <c r="C103" s="316" t="s">
        <v>1355</v>
      </c>
      <c r="D103" s="283" t="s">
        <v>3</v>
      </c>
      <c r="E103" s="284" t="s">
        <v>3</v>
      </c>
      <c r="F103" s="12"/>
    </row>
    <row r="104" spans="1:6" x14ac:dyDescent="0.35">
      <c r="A104" s="25" t="s">
        <v>301</v>
      </c>
      <c r="B104" s="32" t="s">
        <v>294</v>
      </c>
      <c r="C104" s="314" t="s">
        <v>1356</v>
      </c>
      <c r="D104" s="283" t="s">
        <v>3</v>
      </c>
      <c r="E104" s="284" t="s">
        <v>3</v>
      </c>
      <c r="F104" s="12"/>
    </row>
    <row r="105" spans="1:6" x14ac:dyDescent="0.35">
      <c r="A105" s="25" t="s">
        <v>302</v>
      </c>
      <c r="B105" s="32" t="s">
        <v>294</v>
      </c>
      <c r="C105" s="314" t="s">
        <v>1357</v>
      </c>
      <c r="D105" s="283" t="s">
        <v>3</v>
      </c>
      <c r="E105" s="284" t="s">
        <v>3</v>
      </c>
      <c r="F105" s="12"/>
    </row>
    <row r="106" spans="1:6" x14ac:dyDescent="0.35">
      <c r="A106" s="25" t="s">
        <v>303</v>
      </c>
      <c r="B106" s="32" t="s">
        <v>294</v>
      </c>
      <c r="C106" s="314" t="s">
        <v>1358</v>
      </c>
      <c r="D106" s="283" t="s">
        <v>3</v>
      </c>
      <c r="E106" s="284" t="s">
        <v>3</v>
      </c>
      <c r="F106" s="12"/>
    </row>
    <row r="107" spans="1:6" x14ac:dyDescent="0.35">
      <c r="A107" s="25" t="s">
        <v>304</v>
      </c>
      <c r="B107" s="32" t="s">
        <v>294</v>
      </c>
      <c r="C107" s="317" t="s">
        <v>1576</v>
      </c>
      <c r="D107" s="283" t="s">
        <v>3</v>
      </c>
      <c r="E107" s="284" t="s">
        <v>3</v>
      </c>
      <c r="F107" s="12"/>
    </row>
    <row r="108" spans="1:6" x14ac:dyDescent="0.35">
      <c r="A108" s="25" t="s">
        <v>305</v>
      </c>
      <c r="B108" s="32" t="s">
        <v>294</v>
      </c>
      <c r="C108" s="286" t="s">
        <v>1577</v>
      </c>
      <c r="D108" s="283" t="s">
        <v>3</v>
      </c>
      <c r="E108" s="284" t="s">
        <v>3</v>
      </c>
      <c r="F108" s="12"/>
    </row>
    <row r="109" spans="1:6" x14ac:dyDescent="0.35">
      <c r="A109" s="33" t="s">
        <v>306</v>
      </c>
      <c r="B109" s="32" t="s">
        <v>294</v>
      </c>
      <c r="C109" s="285" t="s">
        <v>1360</v>
      </c>
      <c r="D109" s="283" t="s">
        <v>3</v>
      </c>
      <c r="E109" s="284" t="s">
        <v>3</v>
      </c>
      <c r="F109" s="12"/>
    </row>
    <row r="110" spans="1:6" x14ac:dyDescent="0.35">
      <c r="A110" s="33" t="s">
        <v>307</v>
      </c>
      <c r="B110" s="32" t="s">
        <v>294</v>
      </c>
      <c r="C110" s="285" t="s">
        <v>1361</v>
      </c>
      <c r="D110" s="283" t="s">
        <v>3</v>
      </c>
      <c r="E110" s="284" t="s">
        <v>3</v>
      </c>
      <c r="F110" s="12"/>
    </row>
    <row r="111" spans="1:6" x14ac:dyDescent="0.35">
      <c r="A111" s="30" t="s">
        <v>308</v>
      </c>
      <c r="B111" s="30"/>
      <c r="C111" s="30"/>
      <c r="D111" s="30"/>
      <c r="E111" s="30"/>
    </row>
    <row r="112" spans="1:6" x14ac:dyDescent="0.35">
      <c r="A112" s="34" t="s">
        <v>309</v>
      </c>
      <c r="B112" s="34"/>
      <c r="C112" s="34"/>
      <c r="D112" s="34"/>
      <c r="E112" s="34"/>
    </row>
    <row r="113" spans="1:5" x14ac:dyDescent="0.35">
      <c r="A113" s="16" t="s">
        <v>298</v>
      </c>
      <c r="B113" s="35" t="s">
        <v>294</v>
      </c>
      <c r="C113" s="287"/>
      <c r="D113" s="16"/>
      <c r="E113" s="16"/>
    </row>
    <row r="114" spans="1:5" x14ac:dyDescent="0.35">
      <c r="A114" s="16" t="s">
        <v>300</v>
      </c>
      <c r="B114" s="35" t="s">
        <v>294</v>
      </c>
      <c r="C114" s="287"/>
      <c r="D114" s="16"/>
      <c r="E114" s="16"/>
    </row>
    <row r="115" spans="1:5" x14ac:dyDescent="0.35">
      <c r="A115" s="16" t="s">
        <v>310</v>
      </c>
      <c r="B115" s="35" t="s">
        <v>294</v>
      </c>
      <c r="C115" s="287">
        <v>1</v>
      </c>
      <c r="D115" s="16"/>
      <c r="E115" s="16"/>
    </row>
    <row r="116" spans="1:5" x14ac:dyDescent="0.35">
      <c r="A116" s="34" t="s">
        <v>311</v>
      </c>
      <c r="B116" s="34"/>
      <c r="C116" s="34"/>
      <c r="D116" s="34"/>
      <c r="E116" s="34"/>
    </row>
    <row r="117" spans="1:5" x14ac:dyDescent="0.35">
      <c r="A117" s="16" t="s">
        <v>312</v>
      </c>
      <c r="B117" s="35" t="s">
        <v>294</v>
      </c>
      <c r="C117" s="287"/>
      <c r="D117" s="16"/>
      <c r="E117" s="16"/>
    </row>
    <row r="118" spans="1:5" x14ac:dyDescent="0.35">
      <c r="A118" s="16" t="s">
        <v>155</v>
      </c>
      <c r="B118" s="35" t="s">
        <v>294</v>
      </c>
      <c r="C118" s="288"/>
      <c r="D118" s="16"/>
      <c r="E118" s="16"/>
    </row>
    <row r="119" spans="1:5" x14ac:dyDescent="0.35">
      <c r="A119" s="34" t="s">
        <v>313</v>
      </c>
      <c r="B119" s="34"/>
      <c r="C119" s="34"/>
      <c r="D119" s="34"/>
      <c r="E119" s="34"/>
    </row>
    <row r="120" spans="1:5" x14ac:dyDescent="0.35">
      <c r="A120" s="16" t="s">
        <v>314</v>
      </c>
      <c r="B120" s="35" t="s">
        <v>294</v>
      </c>
      <c r="C120" s="287"/>
      <c r="D120" s="16"/>
      <c r="E120" s="16"/>
    </row>
    <row r="121" spans="1:5" x14ac:dyDescent="0.35">
      <c r="A121" s="16" t="s">
        <v>315</v>
      </c>
      <c r="B121" s="35" t="s">
        <v>294</v>
      </c>
      <c r="C121" s="287"/>
      <c r="D121" s="16"/>
      <c r="E121" s="16"/>
    </row>
    <row r="122" spans="1:5" x14ac:dyDescent="0.35">
      <c r="A122" s="16" t="s">
        <v>316</v>
      </c>
      <c r="B122" s="35" t="s">
        <v>294</v>
      </c>
      <c r="C122" s="287"/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317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318</v>
      </c>
      <c r="B126" s="16"/>
      <c r="C126" s="17" t="s">
        <v>319</v>
      </c>
      <c r="D126" s="18" t="s">
        <v>238</v>
      </c>
      <c r="E126" s="16"/>
    </row>
    <row r="127" spans="1:5" x14ac:dyDescent="0.35">
      <c r="A127" s="16" t="s">
        <v>320</v>
      </c>
      <c r="B127" s="35" t="s">
        <v>294</v>
      </c>
      <c r="C127" s="289">
        <f>E154</f>
        <v>97</v>
      </c>
      <c r="D127" s="290">
        <f>E155</f>
        <v>354</v>
      </c>
      <c r="E127" s="16"/>
    </row>
    <row r="128" spans="1:5" x14ac:dyDescent="0.35">
      <c r="A128" s="16" t="s">
        <v>321</v>
      </c>
      <c r="B128" s="35" t="s">
        <v>294</v>
      </c>
      <c r="C128" s="289">
        <f>E160</f>
        <v>46</v>
      </c>
      <c r="D128" s="290">
        <f>E161</f>
        <v>4052</v>
      </c>
      <c r="E128" s="16"/>
    </row>
    <row r="129" spans="1:5" x14ac:dyDescent="0.35">
      <c r="A129" s="16" t="s">
        <v>322</v>
      </c>
      <c r="B129" s="35" t="s">
        <v>294</v>
      </c>
      <c r="C129" s="287"/>
      <c r="D129" s="290"/>
      <c r="E129" s="16"/>
    </row>
    <row r="130" spans="1:5" x14ac:dyDescent="0.35">
      <c r="A130" s="16" t="s">
        <v>323</v>
      </c>
      <c r="B130" s="35" t="s">
        <v>294</v>
      </c>
      <c r="C130" s="287"/>
      <c r="D130" s="290"/>
      <c r="E130" s="16"/>
    </row>
    <row r="131" spans="1:5" x14ac:dyDescent="0.35">
      <c r="A131" s="21" t="s">
        <v>324</v>
      </c>
      <c r="B131" s="16"/>
      <c r="C131" s="17" t="s">
        <v>190</v>
      </c>
      <c r="D131" s="16"/>
      <c r="E131" s="16"/>
    </row>
    <row r="132" spans="1:5" x14ac:dyDescent="0.35">
      <c r="A132" s="16" t="s">
        <v>325</v>
      </c>
      <c r="B132" s="35" t="s">
        <v>294</v>
      </c>
      <c r="C132" s="287"/>
      <c r="D132" s="16"/>
      <c r="E132" s="16"/>
    </row>
    <row r="133" spans="1:5" x14ac:dyDescent="0.35">
      <c r="A133" s="16" t="s">
        <v>326</v>
      </c>
      <c r="B133" s="35" t="s">
        <v>294</v>
      </c>
      <c r="C133" s="287"/>
      <c r="D133" s="16"/>
      <c r="E133" s="16"/>
    </row>
    <row r="134" spans="1:5" x14ac:dyDescent="0.35">
      <c r="A134" s="16" t="s">
        <v>327</v>
      </c>
      <c r="B134" s="35" t="s">
        <v>294</v>
      </c>
      <c r="C134" s="291">
        <v>25</v>
      </c>
      <c r="D134" s="16"/>
      <c r="E134" s="16"/>
    </row>
    <row r="135" spans="1:5" x14ac:dyDescent="0.35">
      <c r="A135" s="16" t="s">
        <v>328</v>
      </c>
      <c r="B135" s="35" t="s">
        <v>294</v>
      </c>
      <c r="C135" s="287"/>
      <c r="D135" s="16"/>
      <c r="E135" s="16"/>
    </row>
    <row r="136" spans="1:5" x14ac:dyDescent="0.35">
      <c r="A136" s="16" t="s">
        <v>329</v>
      </c>
      <c r="B136" s="35" t="s">
        <v>294</v>
      </c>
      <c r="C136" s="287"/>
      <c r="D136" s="16"/>
      <c r="E136" s="16"/>
    </row>
    <row r="137" spans="1:5" x14ac:dyDescent="0.35">
      <c r="A137" s="16" t="s">
        <v>330</v>
      </c>
      <c r="B137" s="35" t="s">
        <v>294</v>
      </c>
      <c r="C137" s="287"/>
      <c r="D137" s="16"/>
      <c r="E137" s="16"/>
    </row>
    <row r="138" spans="1:5" x14ac:dyDescent="0.35">
      <c r="A138" s="16" t="s">
        <v>119</v>
      </c>
      <c r="B138" s="35" t="s">
        <v>294</v>
      </c>
      <c r="C138" s="287"/>
      <c r="D138" s="16"/>
      <c r="E138" s="16"/>
    </row>
    <row r="139" spans="1:5" x14ac:dyDescent="0.35">
      <c r="A139" s="16" t="s">
        <v>331</v>
      </c>
      <c r="B139" s="35" t="s">
        <v>294</v>
      </c>
      <c r="C139" s="289"/>
      <c r="D139" s="16"/>
      <c r="E139" s="16"/>
    </row>
    <row r="140" spans="1:5" x14ac:dyDescent="0.35">
      <c r="A140" s="16" t="s">
        <v>332</v>
      </c>
      <c r="B140" s="35"/>
      <c r="C140" s="287"/>
      <c r="D140" s="16"/>
      <c r="E140" s="16"/>
    </row>
    <row r="141" spans="1:5" x14ac:dyDescent="0.35">
      <c r="A141" s="16" t="s">
        <v>322</v>
      </c>
      <c r="B141" s="35" t="s">
        <v>294</v>
      </c>
      <c r="C141" s="287"/>
      <c r="D141" s="16"/>
      <c r="E141" s="16"/>
    </row>
    <row r="142" spans="1:5" x14ac:dyDescent="0.35">
      <c r="A142" s="16" t="s">
        <v>333</v>
      </c>
      <c r="B142" s="35" t="s">
        <v>294</v>
      </c>
      <c r="C142" s="287"/>
      <c r="D142" s="16"/>
      <c r="E142" s="16"/>
    </row>
    <row r="143" spans="1:5" x14ac:dyDescent="0.35">
      <c r="A143" s="16" t="s">
        <v>334</v>
      </c>
      <c r="B143" s="16"/>
      <c r="C143" s="22"/>
      <c r="D143" s="16"/>
      <c r="E143" s="25">
        <f>SUM(C132:C142)</f>
        <v>25</v>
      </c>
    </row>
    <row r="144" spans="1:5" x14ac:dyDescent="0.35">
      <c r="A144" s="16" t="s">
        <v>335</v>
      </c>
      <c r="B144" s="35" t="s">
        <v>294</v>
      </c>
      <c r="C144" s="289">
        <v>25</v>
      </c>
      <c r="D144" s="16"/>
      <c r="E144" s="16"/>
    </row>
    <row r="145" spans="1:6" x14ac:dyDescent="0.35">
      <c r="A145" s="16" t="s">
        <v>336</v>
      </c>
      <c r="B145" s="35" t="s">
        <v>294</v>
      </c>
      <c r="C145" s="287"/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337</v>
      </c>
      <c r="B147" s="35" t="s">
        <v>294</v>
      </c>
      <c r="C147" s="289"/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338</v>
      </c>
      <c r="B152" s="37"/>
      <c r="C152" s="37"/>
      <c r="D152" s="37"/>
      <c r="E152" s="37"/>
    </row>
    <row r="153" spans="1:6" x14ac:dyDescent="0.35">
      <c r="A153" s="38" t="s">
        <v>339</v>
      </c>
      <c r="B153" s="39" t="s">
        <v>340</v>
      </c>
      <c r="C153" s="40" t="s">
        <v>341</v>
      </c>
      <c r="D153" s="39" t="s">
        <v>155</v>
      </c>
      <c r="E153" s="39" t="s">
        <v>226</v>
      </c>
    </row>
    <row r="154" spans="1:6" x14ac:dyDescent="0.35">
      <c r="A154" s="16" t="s">
        <v>319</v>
      </c>
      <c r="B154" s="290">
        <v>78</v>
      </c>
      <c r="C154" s="290">
        <v>7</v>
      </c>
      <c r="D154" s="290">
        <v>12</v>
      </c>
      <c r="E154" s="25">
        <f>SUM(B154:D154)</f>
        <v>97</v>
      </c>
    </row>
    <row r="155" spans="1:6" x14ac:dyDescent="0.35">
      <c r="A155" s="16" t="s">
        <v>238</v>
      </c>
      <c r="B155" s="290">
        <v>318</v>
      </c>
      <c r="C155" s="290">
        <v>12</v>
      </c>
      <c r="D155" s="290">
        <v>24</v>
      </c>
      <c r="E155" s="25">
        <f>SUM(B155:D155)</f>
        <v>354</v>
      </c>
    </row>
    <row r="156" spans="1:6" x14ac:dyDescent="0.35">
      <c r="A156" s="16" t="s">
        <v>342</v>
      </c>
      <c r="B156" s="290"/>
      <c r="C156" s="290"/>
      <c r="D156" s="290"/>
      <c r="E156" s="25">
        <f>SUM(B156:D156)</f>
        <v>0</v>
      </c>
    </row>
    <row r="157" spans="1:6" x14ac:dyDescent="0.35">
      <c r="A157" s="16" t="s">
        <v>283</v>
      </c>
      <c r="B157" s="290">
        <v>1537946</v>
      </c>
      <c r="C157" s="290">
        <v>574768</v>
      </c>
      <c r="D157" s="290">
        <v>375526</v>
      </c>
      <c r="E157" s="25">
        <f>SUM(B157:D157)</f>
        <v>2488240</v>
      </c>
      <c r="F157" s="14"/>
    </row>
    <row r="158" spans="1:6" x14ac:dyDescent="0.35">
      <c r="A158" s="16" t="s">
        <v>284</v>
      </c>
      <c r="B158" s="290">
        <v>11162177</v>
      </c>
      <c r="C158" s="290">
        <v>5398709</v>
      </c>
      <c r="D158" s="290">
        <v>8250823</v>
      </c>
      <c r="E158" s="25">
        <f>SUM(B158:D158)</f>
        <v>24811709</v>
      </c>
      <c r="F158" s="14"/>
    </row>
    <row r="159" spans="1:6" x14ac:dyDescent="0.35">
      <c r="A159" s="38" t="s">
        <v>343</v>
      </c>
      <c r="B159" s="39" t="s">
        <v>340</v>
      </c>
      <c r="C159" s="40" t="s">
        <v>341</v>
      </c>
      <c r="D159" s="39" t="s">
        <v>155</v>
      </c>
      <c r="E159" s="39" t="s">
        <v>226</v>
      </c>
    </row>
    <row r="160" spans="1:6" x14ac:dyDescent="0.35">
      <c r="A160" s="16" t="s">
        <v>319</v>
      </c>
      <c r="B160" s="272">
        <v>42</v>
      </c>
      <c r="C160" s="272">
        <v>3</v>
      </c>
      <c r="D160" s="272">
        <v>1</v>
      </c>
      <c r="E160" s="25">
        <f>SUM(B160:D160)</f>
        <v>46</v>
      </c>
    </row>
    <row r="161" spans="1:5" x14ac:dyDescent="0.35">
      <c r="A161" s="16" t="s">
        <v>238</v>
      </c>
      <c r="B161" s="272">
        <v>770</v>
      </c>
      <c r="C161" s="272">
        <v>2460</v>
      </c>
      <c r="D161" s="272">
        <f>770+3282-C161-B161</f>
        <v>822</v>
      </c>
      <c r="E161" s="25">
        <f>SUM(B161:D161)</f>
        <v>4052</v>
      </c>
    </row>
    <row r="162" spans="1:5" x14ac:dyDescent="0.35">
      <c r="A162" s="16" t="s">
        <v>342</v>
      </c>
      <c r="B162" s="290"/>
      <c r="C162" s="290"/>
      <c r="D162" s="290"/>
      <c r="E162" s="25">
        <f>SUM(B162:D162)</f>
        <v>0</v>
      </c>
    </row>
    <row r="163" spans="1:5" x14ac:dyDescent="0.35">
      <c r="A163" s="16" t="s">
        <v>283</v>
      </c>
      <c r="B163" s="272">
        <v>1645317</v>
      </c>
      <c r="C163" s="272">
        <v>79088</v>
      </c>
      <c r="D163" s="272">
        <v>18413</v>
      </c>
      <c r="E163" s="25">
        <f>SUM(B163:D163)</f>
        <v>1742818</v>
      </c>
    </row>
    <row r="164" spans="1:5" x14ac:dyDescent="0.35">
      <c r="A164" s="16" t="s">
        <v>284</v>
      </c>
      <c r="B164" s="290"/>
      <c r="C164" s="290"/>
      <c r="D164" s="290"/>
      <c r="E164" s="25">
        <f>SUM(B164:D164)</f>
        <v>0</v>
      </c>
    </row>
    <row r="165" spans="1:5" x14ac:dyDescent="0.35">
      <c r="A165" s="38" t="s">
        <v>344</v>
      </c>
      <c r="B165" s="39" t="s">
        <v>340</v>
      </c>
      <c r="C165" s="40" t="s">
        <v>341</v>
      </c>
      <c r="D165" s="39" t="s">
        <v>155</v>
      </c>
      <c r="E165" s="39" t="s">
        <v>226</v>
      </c>
    </row>
    <row r="166" spans="1:5" x14ac:dyDescent="0.35">
      <c r="A166" s="16" t="s">
        <v>319</v>
      </c>
      <c r="B166" s="290"/>
      <c r="C166" s="290"/>
      <c r="D166" s="290"/>
      <c r="E166" s="25">
        <f>SUM(B166:D166)</f>
        <v>0</v>
      </c>
    </row>
    <row r="167" spans="1:5" x14ac:dyDescent="0.35">
      <c r="A167" s="16" t="s">
        <v>238</v>
      </c>
      <c r="B167" s="290"/>
      <c r="C167" s="290"/>
      <c r="D167" s="290"/>
      <c r="E167" s="25">
        <f>SUM(B167:D167)</f>
        <v>0</v>
      </c>
    </row>
    <row r="168" spans="1:5" x14ac:dyDescent="0.35">
      <c r="A168" s="16" t="s">
        <v>342</v>
      </c>
      <c r="B168" s="290"/>
      <c r="C168" s="290"/>
      <c r="D168" s="290"/>
      <c r="E168" s="25">
        <f>SUM(B168:D168)</f>
        <v>0</v>
      </c>
    </row>
    <row r="169" spans="1:5" x14ac:dyDescent="0.35">
      <c r="A169" s="16" t="s">
        <v>283</v>
      </c>
      <c r="B169" s="290"/>
      <c r="C169" s="290"/>
      <c r="D169" s="290"/>
      <c r="E169" s="25">
        <f>SUM(B169:D169)</f>
        <v>0</v>
      </c>
    </row>
    <row r="170" spans="1:5" x14ac:dyDescent="0.35">
      <c r="A170" s="16" t="s">
        <v>284</v>
      </c>
      <c r="B170" s="290"/>
      <c r="C170" s="290"/>
      <c r="D170" s="290"/>
      <c r="E170" s="25">
        <f>SUM(B170:D170)</f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345</v>
      </c>
      <c r="B172" s="39" t="s">
        <v>346</v>
      </c>
      <c r="C172" s="40" t="s">
        <v>347</v>
      </c>
      <c r="D172" s="16"/>
      <c r="E172" s="16"/>
    </row>
    <row r="173" spans="1:5" x14ac:dyDescent="0.35">
      <c r="A173" s="20" t="s">
        <v>348</v>
      </c>
      <c r="B173" s="272">
        <v>1389955</v>
      </c>
      <c r="C173" s="272">
        <v>230839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349</v>
      </c>
      <c r="B179" s="30"/>
      <c r="C179" s="30"/>
      <c r="D179" s="30"/>
      <c r="E179" s="30"/>
    </row>
    <row r="180" spans="1:5" x14ac:dyDescent="0.35">
      <c r="A180" s="34" t="s">
        <v>350</v>
      </c>
      <c r="B180" s="34"/>
      <c r="C180" s="34"/>
      <c r="D180" s="34"/>
      <c r="E180" s="34"/>
    </row>
    <row r="181" spans="1:5" x14ac:dyDescent="0.35">
      <c r="A181" s="16" t="s">
        <v>351</v>
      </c>
      <c r="B181" s="35" t="s">
        <v>294</v>
      </c>
      <c r="C181" s="287">
        <v>681455</v>
      </c>
      <c r="D181" s="16"/>
      <c r="E181" s="16"/>
    </row>
    <row r="182" spans="1:5" x14ac:dyDescent="0.35">
      <c r="A182" s="16" t="s">
        <v>352</v>
      </c>
      <c r="B182" s="35" t="s">
        <v>294</v>
      </c>
      <c r="C182" s="287">
        <v>53489</v>
      </c>
      <c r="D182" s="16"/>
      <c r="E182" s="16"/>
    </row>
    <row r="183" spans="1:5" x14ac:dyDescent="0.35">
      <c r="A183" s="20" t="s">
        <v>353</v>
      </c>
      <c r="B183" s="35" t="s">
        <v>294</v>
      </c>
      <c r="C183" s="287">
        <v>85869</v>
      </c>
      <c r="D183" s="16"/>
      <c r="E183" s="16"/>
    </row>
    <row r="184" spans="1:5" x14ac:dyDescent="0.35">
      <c r="A184" s="16" t="s">
        <v>354</v>
      </c>
      <c r="B184" s="35" t="s">
        <v>294</v>
      </c>
      <c r="C184" s="287">
        <v>1167201</v>
      </c>
      <c r="D184" s="16"/>
      <c r="E184" s="16"/>
    </row>
    <row r="185" spans="1:5" x14ac:dyDescent="0.35">
      <c r="A185" s="16" t="s">
        <v>355</v>
      </c>
      <c r="B185" s="35" t="s">
        <v>294</v>
      </c>
      <c r="C185" s="287"/>
      <c r="D185" s="16"/>
      <c r="E185" s="16"/>
    </row>
    <row r="186" spans="1:5" x14ac:dyDescent="0.35">
      <c r="A186" s="16" t="s">
        <v>356</v>
      </c>
      <c r="B186" s="35" t="s">
        <v>294</v>
      </c>
      <c r="C186" s="287">
        <v>101670</v>
      </c>
      <c r="D186" s="16"/>
      <c r="E186" s="16"/>
    </row>
    <row r="187" spans="1:5" x14ac:dyDescent="0.35">
      <c r="A187" s="16" t="s">
        <v>357</v>
      </c>
      <c r="B187" s="35" t="s">
        <v>294</v>
      </c>
      <c r="C187" s="287">
        <v>14344</v>
      </c>
      <c r="D187" s="16"/>
      <c r="E187" s="16"/>
    </row>
    <row r="188" spans="1:5" x14ac:dyDescent="0.35">
      <c r="A188" s="16" t="s">
        <v>357</v>
      </c>
      <c r="B188" s="35" t="s">
        <v>294</v>
      </c>
      <c r="C188" s="287"/>
      <c r="D188" s="16"/>
      <c r="E188" s="16"/>
    </row>
    <row r="189" spans="1:5" x14ac:dyDescent="0.35">
      <c r="A189" s="16" t="s">
        <v>226</v>
      </c>
      <c r="B189" s="16"/>
      <c r="C189" s="22"/>
      <c r="D189" s="25">
        <f>SUM(C181:C188)</f>
        <v>2104028</v>
      </c>
      <c r="E189" s="16"/>
    </row>
    <row r="190" spans="1:5" x14ac:dyDescent="0.35">
      <c r="A190" s="34" t="s">
        <v>358</v>
      </c>
      <c r="B190" s="34"/>
      <c r="C190" s="34"/>
      <c r="D190" s="34"/>
      <c r="E190" s="34"/>
    </row>
    <row r="191" spans="1:5" x14ac:dyDescent="0.35">
      <c r="A191" s="16" t="s">
        <v>359</v>
      </c>
      <c r="B191" s="35" t="s">
        <v>294</v>
      </c>
      <c r="C191" s="287">
        <v>206835</v>
      </c>
      <c r="D191" s="16"/>
      <c r="E191" s="16"/>
    </row>
    <row r="192" spans="1:5" x14ac:dyDescent="0.35">
      <c r="A192" s="16" t="s">
        <v>360</v>
      </c>
      <c r="B192" s="35" t="s">
        <v>294</v>
      </c>
      <c r="C192" s="287">
        <v>48086</v>
      </c>
      <c r="D192" s="16"/>
      <c r="E192" s="16"/>
    </row>
    <row r="193" spans="1:5" x14ac:dyDescent="0.35">
      <c r="A193" s="16" t="s">
        <v>226</v>
      </c>
      <c r="B193" s="16"/>
      <c r="C193" s="22"/>
      <c r="D193" s="25">
        <f>SUM(C191:C192)</f>
        <v>254921</v>
      </c>
      <c r="E193" s="16"/>
    </row>
    <row r="194" spans="1:5" x14ac:dyDescent="0.35">
      <c r="A194" s="34" t="s">
        <v>361</v>
      </c>
      <c r="B194" s="34"/>
      <c r="C194" s="34"/>
      <c r="D194" s="34"/>
      <c r="E194" s="34"/>
    </row>
    <row r="195" spans="1:5" x14ac:dyDescent="0.35">
      <c r="A195" s="16" t="s">
        <v>362</v>
      </c>
      <c r="B195" s="35" t="s">
        <v>294</v>
      </c>
      <c r="C195" s="287">
        <v>85661</v>
      </c>
      <c r="D195" s="16"/>
      <c r="E195" s="16"/>
    </row>
    <row r="196" spans="1:5" x14ac:dyDescent="0.35">
      <c r="A196" s="16" t="s">
        <v>363</v>
      </c>
      <c r="B196" s="35" t="s">
        <v>294</v>
      </c>
      <c r="C196" s="287">
        <v>55987</v>
      </c>
      <c r="D196" s="16"/>
      <c r="E196" s="16"/>
    </row>
    <row r="197" spans="1:5" x14ac:dyDescent="0.35">
      <c r="A197" s="16" t="s">
        <v>226</v>
      </c>
      <c r="B197" s="16"/>
      <c r="C197" s="22"/>
      <c r="D197" s="25">
        <f>SUM(C195:C196)</f>
        <v>141648</v>
      </c>
      <c r="E197" s="16"/>
    </row>
    <row r="198" spans="1:5" x14ac:dyDescent="0.35">
      <c r="A198" s="34" t="s">
        <v>364</v>
      </c>
      <c r="B198" s="34"/>
      <c r="C198" s="34"/>
      <c r="D198" s="34"/>
      <c r="E198" s="34"/>
    </row>
    <row r="199" spans="1:5" x14ac:dyDescent="0.35">
      <c r="A199" s="16" t="s">
        <v>365</v>
      </c>
      <c r="B199" s="35" t="s">
        <v>294</v>
      </c>
      <c r="C199" s="287">
        <v>143710</v>
      </c>
      <c r="D199" s="16"/>
      <c r="E199" s="16"/>
    </row>
    <row r="200" spans="1:5" x14ac:dyDescent="0.35">
      <c r="A200" s="16" t="s">
        <v>366</v>
      </c>
      <c r="B200" s="35" t="s">
        <v>294</v>
      </c>
      <c r="C200" s="287"/>
      <c r="D200" s="16"/>
      <c r="E200" s="16"/>
    </row>
    <row r="201" spans="1:5" x14ac:dyDescent="0.35">
      <c r="A201" s="16" t="s">
        <v>155</v>
      </c>
      <c r="B201" s="35" t="s">
        <v>294</v>
      </c>
      <c r="C201" s="287"/>
      <c r="D201" s="16"/>
      <c r="E201" s="16"/>
    </row>
    <row r="202" spans="1:5" x14ac:dyDescent="0.35">
      <c r="A202" s="16" t="s">
        <v>226</v>
      </c>
      <c r="B202" s="16"/>
      <c r="C202" s="22"/>
      <c r="D202" s="25">
        <f>SUM(C199:C201)</f>
        <v>143710</v>
      </c>
      <c r="E202" s="16"/>
    </row>
    <row r="203" spans="1:5" x14ac:dyDescent="0.35">
      <c r="A203" s="34" t="s">
        <v>367</v>
      </c>
      <c r="B203" s="34"/>
      <c r="C203" s="34"/>
      <c r="D203" s="34"/>
      <c r="E203" s="34"/>
    </row>
    <row r="204" spans="1:5" x14ac:dyDescent="0.35">
      <c r="A204" s="16" t="s">
        <v>368</v>
      </c>
      <c r="B204" s="35" t="s">
        <v>294</v>
      </c>
      <c r="C204" s="287">
        <v>48067</v>
      </c>
      <c r="D204" s="16"/>
      <c r="E204" s="16"/>
    </row>
    <row r="205" spans="1:5" x14ac:dyDescent="0.35">
      <c r="A205" s="16" t="s">
        <v>369</v>
      </c>
      <c r="B205" s="35" t="s">
        <v>294</v>
      </c>
      <c r="C205" s="287"/>
      <c r="D205" s="16"/>
      <c r="E205" s="16"/>
    </row>
    <row r="206" spans="1:5" x14ac:dyDescent="0.35">
      <c r="A206" s="16" t="s">
        <v>226</v>
      </c>
      <c r="B206" s="16"/>
      <c r="C206" s="22"/>
      <c r="D206" s="25">
        <f>SUM(C204:C205)</f>
        <v>48067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370</v>
      </c>
      <c r="B208" s="30"/>
      <c r="C208" s="30"/>
      <c r="D208" s="30"/>
      <c r="E208" s="30"/>
    </row>
    <row r="209" spans="1:5" x14ac:dyDescent="0.35">
      <c r="A209" s="37" t="s">
        <v>371</v>
      </c>
      <c r="B209" s="30"/>
      <c r="C209" s="30"/>
      <c r="D209" s="30"/>
      <c r="E209" s="30"/>
    </row>
    <row r="210" spans="1:5" x14ac:dyDescent="0.35">
      <c r="A210" s="21"/>
      <c r="B210" s="18" t="s">
        <v>372</v>
      </c>
      <c r="C210" s="17" t="s">
        <v>373</v>
      </c>
      <c r="D210" s="18" t="s">
        <v>374</v>
      </c>
      <c r="E210" s="18" t="s">
        <v>375</v>
      </c>
    </row>
    <row r="211" spans="1:5" x14ac:dyDescent="0.35">
      <c r="A211" s="16" t="s">
        <v>376</v>
      </c>
      <c r="B211" s="287">
        <v>47282</v>
      </c>
      <c r="C211" s="287"/>
      <c r="D211" s="290"/>
      <c r="E211" s="25">
        <f t="shared" ref="E211:E219" si="22">SUM(B211:C211)-D211</f>
        <v>47282</v>
      </c>
    </row>
    <row r="212" spans="1:5" x14ac:dyDescent="0.35">
      <c r="A212" s="16" t="s">
        <v>377</v>
      </c>
      <c r="B212" s="287">
        <v>671889</v>
      </c>
      <c r="C212" s="287">
        <v>139501</v>
      </c>
      <c r="D212" s="290"/>
      <c r="E212" s="25">
        <f t="shared" si="22"/>
        <v>811390</v>
      </c>
    </row>
    <row r="213" spans="1:5" x14ac:dyDescent="0.35">
      <c r="A213" s="16" t="s">
        <v>378</v>
      </c>
      <c r="B213" s="287">
        <v>9217231</v>
      </c>
      <c r="C213" s="287" t="s">
        <v>1341</v>
      </c>
      <c r="D213" s="290"/>
      <c r="E213" s="25">
        <f t="shared" si="22"/>
        <v>9217231</v>
      </c>
    </row>
    <row r="214" spans="1:5" x14ac:dyDescent="0.35">
      <c r="A214" s="16" t="s">
        <v>379</v>
      </c>
      <c r="B214" s="287">
        <v>2117342</v>
      </c>
      <c r="C214" s="287">
        <v>30866</v>
      </c>
      <c r="D214" s="290"/>
      <c r="E214" s="25">
        <f t="shared" si="22"/>
        <v>2148208</v>
      </c>
    </row>
    <row r="215" spans="1:5" x14ac:dyDescent="0.35">
      <c r="A215" s="16" t="s">
        <v>380</v>
      </c>
      <c r="B215" s="287"/>
      <c r="C215" s="287"/>
      <c r="D215" s="290"/>
      <c r="E215" s="25">
        <f t="shared" si="22"/>
        <v>0</v>
      </c>
    </row>
    <row r="216" spans="1:5" x14ac:dyDescent="0.35">
      <c r="A216" s="16" t="s">
        <v>381</v>
      </c>
      <c r="B216" s="287">
        <v>5340404</v>
      </c>
      <c r="C216" s="287">
        <v>456642</v>
      </c>
      <c r="D216" s="290"/>
      <c r="E216" s="25">
        <f t="shared" si="22"/>
        <v>5797046</v>
      </c>
    </row>
    <row r="217" spans="1:5" x14ac:dyDescent="0.35">
      <c r="A217" s="16" t="s">
        <v>382</v>
      </c>
      <c r="B217" s="287"/>
      <c r="C217" s="287"/>
      <c r="D217" s="290"/>
      <c r="E217" s="25">
        <f t="shared" si="22"/>
        <v>0</v>
      </c>
    </row>
    <row r="218" spans="1:5" x14ac:dyDescent="0.35">
      <c r="A218" s="16" t="s">
        <v>383</v>
      </c>
      <c r="B218" s="287"/>
      <c r="C218" s="287"/>
      <c r="D218" s="290"/>
      <c r="E218" s="25">
        <f t="shared" si="22"/>
        <v>0</v>
      </c>
    </row>
    <row r="219" spans="1:5" x14ac:dyDescent="0.35">
      <c r="A219" s="16" t="s">
        <v>384</v>
      </c>
      <c r="B219" s="287">
        <v>0</v>
      </c>
      <c r="C219" s="287">
        <v>56478</v>
      </c>
      <c r="D219" s="290" t="s">
        <v>1341</v>
      </c>
      <c r="E219" s="25">
        <f t="shared" si="22"/>
        <v>56478</v>
      </c>
    </row>
    <row r="220" spans="1:5" x14ac:dyDescent="0.35">
      <c r="A220" s="16" t="s">
        <v>226</v>
      </c>
      <c r="B220" s="25">
        <f>SUM(B211:B219)</f>
        <v>17394148</v>
      </c>
      <c r="C220" s="225">
        <f>SUM(C211:C219)</f>
        <v>683487</v>
      </c>
      <c r="D220" s="25">
        <f>SUM(D211:D219)</f>
        <v>0</v>
      </c>
      <c r="E220" s="25">
        <f>SUM(E211:E219)</f>
        <v>18077635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385</v>
      </c>
      <c r="B222" s="37"/>
      <c r="C222" s="37"/>
      <c r="D222" s="37"/>
      <c r="E222" s="37"/>
    </row>
    <row r="223" spans="1:5" x14ac:dyDescent="0.35">
      <c r="A223" s="21"/>
      <c r="B223" s="18" t="s">
        <v>372</v>
      </c>
      <c r="C223" s="17" t="s">
        <v>373</v>
      </c>
      <c r="D223" s="18" t="s">
        <v>374</v>
      </c>
      <c r="E223" s="18" t="s">
        <v>375</v>
      </c>
    </row>
    <row r="224" spans="1:5" x14ac:dyDescent="0.35">
      <c r="A224" s="16" t="s">
        <v>376</v>
      </c>
      <c r="B224" s="42"/>
      <c r="C224" s="41"/>
      <c r="D224" s="42"/>
      <c r="E224" s="16"/>
    </row>
    <row r="225" spans="1:6" x14ac:dyDescent="0.35">
      <c r="A225" s="16" t="s">
        <v>377</v>
      </c>
      <c r="B225" s="287">
        <v>246515</v>
      </c>
      <c r="C225" s="287">
        <v>40332</v>
      </c>
      <c r="D225" s="290"/>
      <c r="E225" s="25">
        <f t="shared" ref="E225:E232" si="23">SUM(B225:C225)-D225</f>
        <v>286847</v>
      </c>
    </row>
    <row r="226" spans="1:6" x14ac:dyDescent="0.35">
      <c r="A226" s="16" t="s">
        <v>378</v>
      </c>
      <c r="B226" s="287">
        <v>5239362</v>
      </c>
      <c r="C226" s="287">
        <v>474096</v>
      </c>
      <c r="D226" s="290"/>
      <c r="E226" s="25">
        <f t="shared" si="23"/>
        <v>5713458</v>
      </c>
    </row>
    <row r="227" spans="1:6" x14ac:dyDescent="0.35">
      <c r="A227" s="16" t="s">
        <v>379</v>
      </c>
      <c r="B227" s="287">
        <v>1779453</v>
      </c>
      <c r="C227" s="287">
        <v>31994</v>
      </c>
      <c r="D227" s="290"/>
      <c r="E227" s="25">
        <f t="shared" si="23"/>
        <v>1811447</v>
      </c>
    </row>
    <row r="228" spans="1:6" x14ac:dyDescent="0.35">
      <c r="A228" s="16" t="s">
        <v>380</v>
      </c>
      <c r="B228" s="287"/>
      <c r="C228" s="287"/>
      <c r="D228" s="290"/>
      <c r="E228" s="25">
        <f t="shared" si="23"/>
        <v>0</v>
      </c>
    </row>
    <row r="229" spans="1:6" x14ac:dyDescent="0.35">
      <c r="A229" s="16" t="s">
        <v>381</v>
      </c>
      <c r="B229" s="287">
        <v>3689077</v>
      </c>
      <c r="C229" s="287">
        <v>390096</v>
      </c>
      <c r="D229" s="290"/>
      <c r="E229" s="25">
        <f t="shared" si="23"/>
        <v>4079173</v>
      </c>
    </row>
    <row r="230" spans="1:6" x14ac:dyDescent="0.35">
      <c r="A230" s="16" t="s">
        <v>382</v>
      </c>
      <c r="B230" s="287"/>
      <c r="C230" s="287"/>
      <c r="D230" s="290"/>
      <c r="E230" s="25">
        <f t="shared" si="23"/>
        <v>0</v>
      </c>
    </row>
    <row r="231" spans="1:6" x14ac:dyDescent="0.35">
      <c r="A231" s="16" t="s">
        <v>383</v>
      </c>
      <c r="B231" s="287"/>
      <c r="C231" s="287"/>
      <c r="D231" s="290"/>
      <c r="E231" s="25">
        <f t="shared" si="23"/>
        <v>0</v>
      </c>
    </row>
    <row r="232" spans="1:6" x14ac:dyDescent="0.35">
      <c r="A232" s="16" t="s">
        <v>384</v>
      </c>
      <c r="B232" s="287"/>
      <c r="C232" s="287"/>
      <c r="D232" s="290"/>
      <c r="E232" s="25">
        <f t="shared" si="23"/>
        <v>0</v>
      </c>
    </row>
    <row r="233" spans="1:6" x14ac:dyDescent="0.35">
      <c r="A233" s="16" t="s">
        <v>226</v>
      </c>
      <c r="B233" s="25">
        <f>SUM(B224:B232)</f>
        <v>10954407</v>
      </c>
      <c r="C233" s="225">
        <f>SUM(C224:C232)</f>
        <v>936518</v>
      </c>
      <c r="D233" s="25">
        <f>SUM(D224:D232)</f>
        <v>0</v>
      </c>
      <c r="E233" s="25">
        <f>SUM(E224:E232)</f>
        <v>11890925</v>
      </c>
    </row>
    <row r="234" spans="1:6" x14ac:dyDescent="0.35">
      <c r="A234" s="16"/>
      <c r="B234" s="16"/>
      <c r="C234" s="22"/>
      <c r="D234" s="16"/>
      <c r="E234" s="16"/>
      <c r="F234" s="11">
        <f>E220-E233</f>
        <v>6186710</v>
      </c>
    </row>
    <row r="235" spans="1:6" x14ac:dyDescent="0.35">
      <c r="A235" s="30" t="s">
        <v>386</v>
      </c>
      <c r="B235" s="30"/>
      <c r="C235" s="30"/>
      <c r="D235" s="30"/>
      <c r="E235" s="30"/>
    </row>
    <row r="236" spans="1:6" x14ac:dyDescent="0.35">
      <c r="A236" s="30"/>
      <c r="B236" s="326" t="s">
        <v>387</v>
      </c>
      <c r="C236" s="326"/>
      <c r="D236" s="30"/>
      <c r="E236" s="30"/>
    </row>
    <row r="237" spans="1:6" x14ac:dyDescent="0.35">
      <c r="A237" s="43" t="s">
        <v>387</v>
      </c>
      <c r="B237" s="30"/>
      <c r="C237" s="287">
        <v>322454</v>
      </c>
      <c r="D237" s="32">
        <f>C237</f>
        <v>322454</v>
      </c>
      <c r="E237" s="30"/>
    </row>
    <row r="238" spans="1:6" x14ac:dyDescent="0.35">
      <c r="A238" s="34" t="s">
        <v>388</v>
      </c>
      <c r="B238" s="34"/>
      <c r="C238" s="34"/>
      <c r="D238" s="34"/>
      <c r="E238" s="34"/>
    </row>
    <row r="239" spans="1:6" x14ac:dyDescent="0.35">
      <c r="A239" s="16" t="s">
        <v>389</v>
      </c>
      <c r="B239" s="35" t="s">
        <v>294</v>
      </c>
      <c r="C239" s="287">
        <v>4617237</v>
      </c>
      <c r="D239" s="16"/>
      <c r="E239" s="16"/>
    </row>
    <row r="240" spans="1:6" x14ac:dyDescent="0.35">
      <c r="A240" s="16" t="s">
        <v>390</v>
      </c>
      <c r="B240" s="35" t="s">
        <v>294</v>
      </c>
      <c r="C240" s="287">
        <v>2917918</v>
      </c>
      <c r="D240" s="16"/>
      <c r="E240" s="16"/>
    </row>
    <row r="241" spans="1:5" x14ac:dyDescent="0.35">
      <c r="A241" s="16" t="s">
        <v>391</v>
      </c>
      <c r="B241" s="35" t="s">
        <v>294</v>
      </c>
      <c r="C241" s="287"/>
      <c r="D241" s="16"/>
      <c r="E241" s="16"/>
    </row>
    <row r="242" spans="1:5" x14ac:dyDescent="0.35">
      <c r="A242" s="16" t="s">
        <v>392</v>
      </c>
      <c r="B242" s="35" t="s">
        <v>294</v>
      </c>
      <c r="C242" s="287"/>
      <c r="D242" s="16"/>
      <c r="E242" s="16"/>
    </row>
    <row r="243" spans="1:5" x14ac:dyDescent="0.35">
      <c r="A243" s="16" t="s">
        <v>393</v>
      </c>
      <c r="B243" s="35" t="s">
        <v>294</v>
      </c>
      <c r="C243" s="287"/>
      <c r="D243" s="16"/>
      <c r="E243" s="16"/>
    </row>
    <row r="244" spans="1:5" x14ac:dyDescent="0.35">
      <c r="A244" s="16" t="s">
        <v>394</v>
      </c>
      <c r="B244" s="35" t="s">
        <v>294</v>
      </c>
      <c r="C244" s="287">
        <v>2817215</v>
      </c>
      <c r="D244" s="16"/>
      <c r="E244" s="16"/>
    </row>
    <row r="245" spans="1:5" x14ac:dyDescent="0.35">
      <c r="A245" s="16" t="s">
        <v>395</v>
      </c>
      <c r="B245" s="16"/>
      <c r="C245" s="22"/>
      <c r="D245" s="25">
        <f>SUM(C239:C244)</f>
        <v>10352370</v>
      </c>
      <c r="E245" s="16"/>
    </row>
    <row r="246" spans="1:5" x14ac:dyDescent="0.35">
      <c r="A246" s="34" t="s">
        <v>396</v>
      </c>
      <c r="B246" s="34"/>
      <c r="C246" s="34"/>
      <c r="D246" s="34"/>
      <c r="E246" s="34"/>
    </row>
    <row r="247" spans="1:5" x14ac:dyDescent="0.35">
      <c r="A247" s="21" t="s">
        <v>397</v>
      </c>
      <c r="B247" s="35" t="s">
        <v>294</v>
      </c>
      <c r="C247" s="289">
        <v>81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398</v>
      </c>
      <c r="B249" s="35" t="s">
        <v>294</v>
      </c>
      <c r="C249" s="287">
        <v>79161</v>
      </c>
      <c r="D249" s="16"/>
      <c r="E249" s="16"/>
    </row>
    <row r="250" spans="1:5" x14ac:dyDescent="0.35">
      <c r="A250" s="21" t="s">
        <v>399</v>
      </c>
      <c r="B250" s="35" t="s">
        <v>294</v>
      </c>
      <c r="C250" s="287">
        <v>337279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400</v>
      </c>
      <c r="B252" s="16"/>
      <c r="C252" s="22"/>
      <c r="D252" s="25">
        <f>SUM(C249:C251)</f>
        <v>416440</v>
      </c>
      <c r="E252" s="16"/>
    </row>
    <row r="253" spans="1:5" x14ac:dyDescent="0.35">
      <c r="A253" s="34" t="s">
        <v>401</v>
      </c>
      <c r="B253" s="34"/>
      <c r="C253" s="34"/>
      <c r="D253" s="34"/>
      <c r="E253" s="34"/>
    </row>
    <row r="254" spans="1:5" x14ac:dyDescent="0.35">
      <c r="A254" s="16" t="s">
        <v>402</v>
      </c>
      <c r="B254" s="35" t="s">
        <v>294</v>
      </c>
      <c r="C254" s="287"/>
      <c r="D254" s="16"/>
      <c r="E254" s="16"/>
    </row>
    <row r="255" spans="1:5" x14ac:dyDescent="0.35">
      <c r="A255" s="16" t="s">
        <v>401</v>
      </c>
      <c r="B255" s="35" t="s">
        <v>294</v>
      </c>
      <c r="C255" s="287"/>
      <c r="D255" s="16"/>
      <c r="E255" s="16"/>
    </row>
    <row r="256" spans="1:5" x14ac:dyDescent="0.35">
      <c r="A256" s="16" t="s">
        <v>403</v>
      </c>
      <c r="B256" s="16"/>
      <c r="C256" s="22"/>
      <c r="D256" s="25">
        <f>SUM(C254:C255)</f>
        <v>0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404</v>
      </c>
      <c r="B258" s="16"/>
      <c r="C258" s="22"/>
      <c r="D258" s="25">
        <f>D237+D245+D252+D256</f>
        <v>11091264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405</v>
      </c>
      <c r="B264" s="30"/>
      <c r="C264" s="30"/>
      <c r="D264" s="30"/>
      <c r="E264" s="30"/>
    </row>
    <row r="265" spans="1:5" x14ac:dyDescent="0.35">
      <c r="A265" s="34" t="s">
        <v>406</v>
      </c>
      <c r="B265" s="34"/>
      <c r="C265" s="34"/>
      <c r="D265" s="34"/>
      <c r="E265" s="34"/>
    </row>
    <row r="266" spans="1:5" x14ac:dyDescent="0.35">
      <c r="A266" s="16" t="s">
        <v>407</v>
      </c>
      <c r="B266" s="35" t="s">
        <v>294</v>
      </c>
      <c r="C266" s="287">
        <v>6463271</v>
      </c>
      <c r="D266" s="16"/>
      <c r="E266" s="16"/>
    </row>
    <row r="267" spans="1:5" x14ac:dyDescent="0.35">
      <c r="A267" s="16" t="s">
        <v>408</v>
      </c>
      <c r="B267" s="35" t="s">
        <v>294</v>
      </c>
      <c r="C267" s="287"/>
      <c r="D267" s="16"/>
      <c r="E267" s="16"/>
    </row>
    <row r="268" spans="1:5" x14ac:dyDescent="0.35">
      <c r="A268" s="16" t="s">
        <v>409</v>
      </c>
      <c r="B268" s="35" t="s">
        <v>294</v>
      </c>
      <c r="C268" s="287">
        <v>6128272</v>
      </c>
      <c r="D268" s="16"/>
      <c r="E268" s="16"/>
    </row>
    <row r="269" spans="1:5" x14ac:dyDescent="0.35">
      <c r="A269" s="16" t="s">
        <v>410</v>
      </c>
      <c r="B269" s="35" t="s">
        <v>294</v>
      </c>
      <c r="C269" s="287">
        <v>2850448</v>
      </c>
      <c r="D269" s="16"/>
      <c r="E269" s="16"/>
    </row>
    <row r="270" spans="1:5" x14ac:dyDescent="0.35">
      <c r="A270" s="16" t="s">
        <v>411</v>
      </c>
      <c r="B270" s="35" t="s">
        <v>294</v>
      </c>
      <c r="C270" s="287">
        <v>492775</v>
      </c>
      <c r="D270" s="16"/>
      <c r="E270" s="16"/>
    </row>
    <row r="271" spans="1:5" x14ac:dyDescent="0.35">
      <c r="A271" s="16" t="s">
        <v>412</v>
      </c>
      <c r="B271" s="35" t="s">
        <v>294</v>
      </c>
      <c r="C271" s="287">
        <v>432095</v>
      </c>
      <c r="D271" s="16"/>
      <c r="E271" s="16"/>
    </row>
    <row r="272" spans="1:5" x14ac:dyDescent="0.35">
      <c r="A272" s="16" t="s">
        <v>413</v>
      </c>
      <c r="B272" s="35" t="s">
        <v>294</v>
      </c>
      <c r="C272" s="287"/>
      <c r="D272" s="16"/>
      <c r="E272" s="16"/>
    </row>
    <row r="273" spans="1:5" x14ac:dyDescent="0.35">
      <c r="A273" s="16" t="s">
        <v>414</v>
      </c>
      <c r="B273" s="35" t="s">
        <v>294</v>
      </c>
      <c r="C273" s="287">
        <v>543686</v>
      </c>
      <c r="D273" s="16"/>
      <c r="E273" s="16"/>
    </row>
    <row r="274" spans="1:5" x14ac:dyDescent="0.35">
      <c r="A274" s="16" t="s">
        <v>415</v>
      </c>
      <c r="B274" s="35" t="s">
        <v>294</v>
      </c>
      <c r="C274" s="287">
        <v>160192</v>
      </c>
      <c r="D274" s="16"/>
      <c r="E274" s="16"/>
    </row>
    <row r="275" spans="1:5" x14ac:dyDescent="0.35">
      <c r="A275" s="16" t="s">
        <v>416</v>
      </c>
      <c r="B275" s="35" t="s">
        <v>294</v>
      </c>
      <c r="C275" s="287"/>
      <c r="D275" s="16"/>
      <c r="E275" s="16"/>
    </row>
    <row r="276" spans="1:5" x14ac:dyDescent="0.35">
      <c r="A276" s="16" t="s">
        <v>417</v>
      </c>
      <c r="B276" s="16"/>
      <c r="C276" s="22"/>
      <c r="D276" s="25">
        <f>SUM(C266:C268)-C269+SUM(C270:C275)</f>
        <v>11369843</v>
      </c>
      <c r="E276" s="16"/>
    </row>
    <row r="277" spans="1:5" x14ac:dyDescent="0.35">
      <c r="A277" s="34" t="s">
        <v>418</v>
      </c>
      <c r="B277" s="34"/>
      <c r="C277" s="34"/>
      <c r="D277" s="34"/>
      <c r="E277" s="34"/>
    </row>
    <row r="278" spans="1:5" x14ac:dyDescent="0.35">
      <c r="A278" s="16" t="s">
        <v>407</v>
      </c>
      <c r="B278" s="35" t="s">
        <v>294</v>
      </c>
      <c r="C278" s="287"/>
      <c r="D278" s="16"/>
      <c r="E278" s="16"/>
    </row>
    <row r="279" spans="1:5" x14ac:dyDescent="0.35">
      <c r="A279" s="16" t="s">
        <v>408</v>
      </c>
      <c r="B279" s="35" t="s">
        <v>294</v>
      </c>
      <c r="C279" s="287"/>
      <c r="D279" s="16"/>
      <c r="E279" s="16"/>
    </row>
    <row r="280" spans="1:5" x14ac:dyDescent="0.35">
      <c r="A280" s="16" t="s">
        <v>419</v>
      </c>
      <c r="B280" s="35" t="s">
        <v>294</v>
      </c>
      <c r="C280" s="287"/>
      <c r="D280" s="16"/>
      <c r="E280" s="16"/>
    </row>
    <row r="281" spans="1:5" x14ac:dyDescent="0.35">
      <c r="A281" s="16" t="s">
        <v>420</v>
      </c>
      <c r="B281" s="16"/>
      <c r="C281" s="22"/>
      <c r="D281" s="25">
        <f>SUM(C278:C280)</f>
        <v>0</v>
      </c>
      <c r="E281" s="16"/>
    </row>
    <row r="282" spans="1:5" x14ac:dyDescent="0.35">
      <c r="A282" s="34" t="s">
        <v>421</v>
      </c>
      <c r="B282" s="34"/>
      <c r="C282" s="34"/>
      <c r="D282" s="34"/>
      <c r="E282" s="34"/>
    </row>
    <row r="283" spans="1:5" x14ac:dyDescent="0.35">
      <c r="A283" s="16" t="s">
        <v>376</v>
      </c>
      <c r="B283" s="35" t="s">
        <v>294</v>
      </c>
      <c r="C283" s="287">
        <f>E211</f>
        <v>47282</v>
      </c>
      <c r="D283" s="16"/>
      <c r="E283" s="16"/>
    </row>
    <row r="284" spans="1:5" x14ac:dyDescent="0.35">
      <c r="A284" s="16" t="s">
        <v>377</v>
      </c>
      <c r="B284" s="35" t="s">
        <v>294</v>
      </c>
      <c r="C284" s="287">
        <f>E212</f>
        <v>811390</v>
      </c>
      <c r="D284" s="16"/>
      <c r="E284" s="16"/>
    </row>
    <row r="285" spans="1:5" x14ac:dyDescent="0.35">
      <c r="A285" s="16" t="s">
        <v>378</v>
      </c>
      <c r="B285" s="35" t="s">
        <v>294</v>
      </c>
      <c r="C285" s="287">
        <f>E213</f>
        <v>9217231</v>
      </c>
      <c r="D285" s="16"/>
      <c r="E285" s="16"/>
    </row>
    <row r="286" spans="1:5" x14ac:dyDescent="0.35">
      <c r="A286" s="16" t="s">
        <v>422</v>
      </c>
      <c r="B286" s="35" t="s">
        <v>294</v>
      </c>
      <c r="C286" s="287">
        <f>E214</f>
        <v>2148208</v>
      </c>
      <c r="D286" s="16"/>
      <c r="E286" s="16"/>
    </row>
    <row r="287" spans="1:5" x14ac:dyDescent="0.35">
      <c r="A287" s="16" t="s">
        <v>423</v>
      </c>
      <c r="B287" s="35" t="s">
        <v>294</v>
      </c>
      <c r="C287" s="287"/>
      <c r="D287" s="16"/>
      <c r="E287" s="16"/>
    </row>
    <row r="288" spans="1:5" x14ac:dyDescent="0.35">
      <c r="A288" s="16" t="s">
        <v>424</v>
      </c>
      <c r="B288" s="35" t="s">
        <v>294</v>
      </c>
      <c r="C288" s="287">
        <f>E216</f>
        <v>5797046</v>
      </c>
      <c r="D288" s="16"/>
      <c r="E288" s="16"/>
    </row>
    <row r="289" spans="1:5" x14ac:dyDescent="0.35">
      <c r="A289" s="16" t="s">
        <v>383</v>
      </c>
      <c r="B289" s="35" t="s">
        <v>294</v>
      </c>
      <c r="C289" s="287"/>
      <c r="D289" s="16"/>
      <c r="E289" s="16"/>
    </row>
    <row r="290" spans="1:5" x14ac:dyDescent="0.35">
      <c r="A290" s="16" t="s">
        <v>384</v>
      </c>
      <c r="B290" s="35" t="s">
        <v>294</v>
      </c>
      <c r="C290" s="287">
        <f>E219</f>
        <v>56478</v>
      </c>
      <c r="D290" s="16"/>
      <c r="E290" s="16"/>
    </row>
    <row r="291" spans="1:5" x14ac:dyDescent="0.35">
      <c r="A291" s="16" t="s">
        <v>425</v>
      </c>
      <c r="B291" s="16"/>
      <c r="C291" s="22"/>
      <c r="D291" s="25">
        <f>SUM(C283:C290)</f>
        <v>18077635</v>
      </c>
      <c r="E291" s="16"/>
    </row>
    <row r="292" spans="1:5" x14ac:dyDescent="0.35">
      <c r="A292" s="16" t="s">
        <v>426</v>
      </c>
      <c r="B292" s="35" t="s">
        <v>294</v>
      </c>
      <c r="C292" s="287">
        <f>E233</f>
        <v>11890925</v>
      </c>
      <c r="D292" s="16"/>
      <c r="E292" s="16"/>
    </row>
    <row r="293" spans="1:5" x14ac:dyDescent="0.35">
      <c r="A293" s="16" t="s">
        <v>427</v>
      </c>
      <c r="B293" s="16"/>
      <c r="C293" s="22"/>
      <c r="D293" s="25">
        <f>D291-C292</f>
        <v>6186710</v>
      </c>
      <c r="E293" s="16"/>
    </row>
    <row r="294" spans="1:5" x14ac:dyDescent="0.35">
      <c r="A294" s="34" t="s">
        <v>428</v>
      </c>
      <c r="B294" s="34"/>
      <c r="C294" s="34"/>
      <c r="D294" s="34"/>
      <c r="E294" s="34"/>
    </row>
    <row r="295" spans="1:5" x14ac:dyDescent="0.35">
      <c r="A295" s="16" t="s">
        <v>429</v>
      </c>
      <c r="B295" s="35" t="s">
        <v>294</v>
      </c>
      <c r="C295" s="287"/>
      <c r="D295" s="16"/>
      <c r="E295" s="16"/>
    </row>
    <row r="296" spans="1:5" x14ac:dyDescent="0.35">
      <c r="A296" s="16" t="s">
        <v>430</v>
      </c>
      <c r="B296" s="35" t="s">
        <v>294</v>
      </c>
      <c r="C296" s="287"/>
      <c r="D296" s="16"/>
      <c r="E296" s="16"/>
    </row>
    <row r="297" spans="1:5" x14ac:dyDescent="0.35">
      <c r="A297" s="16" t="s">
        <v>431</v>
      </c>
      <c r="B297" s="35" t="s">
        <v>294</v>
      </c>
      <c r="C297" s="287"/>
      <c r="D297" s="16"/>
      <c r="E297" s="16"/>
    </row>
    <row r="298" spans="1:5" x14ac:dyDescent="0.35">
      <c r="A298" s="16" t="s">
        <v>419</v>
      </c>
      <c r="B298" s="35" t="s">
        <v>294</v>
      </c>
      <c r="C298" s="287"/>
      <c r="D298" s="16"/>
      <c r="E298" s="16"/>
    </row>
    <row r="299" spans="1:5" x14ac:dyDescent="0.35">
      <c r="A299" s="16" t="s">
        <v>432</v>
      </c>
      <c r="B299" s="16"/>
      <c r="C299" s="22"/>
      <c r="D299" s="25">
        <f>C295-C296+C297+C298</f>
        <v>0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433</v>
      </c>
      <c r="B301" s="34"/>
      <c r="C301" s="34"/>
      <c r="D301" s="34"/>
      <c r="E301" s="34"/>
    </row>
    <row r="302" spans="1:5" x14ac:dyDescent="0.35">
      <c r="A302" s="16" t="s">
        <v>434</v>
      </c>
      <c r="B302" s="35" t="s">
        <v>294</v>
      </c>
      <c r="C302" s="287"/>
      <c r="D302" s="16"/>
      <c r="E302" s="16"/>
    </row>
    <row r="303" spans="1:5" x14ac:dyDescent="0.35">
      <c r="A303" s="16" t="s">
        <v>435</v>
      </c>
      <c r="B303" s="35" t="s">
        <v>294</v>
      </c>
      <c r="C303" s="287"/>
      <c r="D303" s="16"/>
      <c r="E303" s="16"/>
    </row>
    <row r="304" spans="1:5" x14ac:dyDescent="0.35">
      <c r="A304" s="16" t="s">
        <v>436</v>
      </c>
      <c r="B304" s="35" t="s">
        <v>294</v>
      </c>
      <c r="C304" s="287"/>
      <c r="D304" s="16"/>
      <c r="E304" s="16"/>
    </row>
    <row r="305" spans="1:6" x14ac:dyDescent="0.35">
      <c r="A305" s="16" t="s">
        <v>437</v>
      </c>
      <c r="B305" s="35" t="s">
        <v>294</v>
      </c>
      <c r="C305" s="287">
        <v>404927</v>
      </c>
      <c r="D305" s="16"/>
      <c r="E305" s="16"/>
    </row>
    <row r="306" spans="1:6" x14ac:dyDescent="0.35">
      <c r="A306" s="16" t="s">
        <v>438</v>
      </c>
      <c r="B306" s="16"/>
      <c r="C306" s="22"/>
      <c r="D306" s="25">
        <f>SUM(C302:C305)</f>
        <v>404927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439</v>
      </c>
      <c r="B308" s="16"/>
      <c r="C308" s="22"/>
      <c r="D308" s="25">
        <f>D276+D281+D293+D299+D306</f>
        <v>17961480</v>
      </c>
      <c r="E308" s="16"/>
    </row>
    <row r="309" spans="1:6" x14ac:dyDescent="0.35">
      <c r="A309" s="16"/>
      <c r="B309" s="16"/>
      <c r="C309" s="22"/>
      <c r="D309" s="16"/>
      <c r="E309" s="16"/>
      <c r="F309" s="11">
        <f>D308-F308</f>
        <v>17961480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440</v>
      </c>
      <c r="B312" s="30"/>
      <c r="C312" s="30"/>
      <c r="D312" s="30"/>
      <c r="E312" s="30"/>
    </row>
    <row r="313" spans="1:6" x14ac:dyDescent="0.35">
      <c r="A313" s="34" t="s">
        <v>441</v>
      </c>
      <c r="B313" s="34"/>
      <c r="C313" s="34"/>
      <c r="D313" s="34"/>
      <c r="E313" s="34"/>
    </row>
    <row r="314" spans="1:6" x14ac:dyDescent="0.35">
      <c r="A314" s="16" t="s">
        <v>442</v>
      </c>
      <c r="B314" s="35" t="s">
        <v>294</v>
      </c>
      <c r="C314" s="287"/>
      <c r="D314" s="16"/>
      <c r="E314" s="16"/>
    </row>
    <row r="315" spans="1:6" x14ac:dyDescent="0.35">
      <c r="A315" s="16" t="s">
        <v>443</v>
      </c>
      <c r="B315" s="35" t="s">
        <v>294</v>
      </c>
      <c r="C315" s="287">
        <v>553374</v>
      </c>
      <c r="D315" s="16"/>
      <c r="E315" s="16"/>
    </row>
    <row r="316" spans="1:6" x14ac:dyDescent="0.35">
      <c r="A316" s="16" t="s">
        <v>444</v>
      </c>
      <c r="B316" s="35" t="s">
        <v>294</v>
      </c>
      <c r="C316" s="287">
        <v>679554</v>
      </c>
      <c r="D316" s="16"/>
      <c r="E316" s="16"/>
    </row>
    <row r="317" spans="1:6" x14ac:dyDescent="0.35">
      <c r="A317" s="16" t="s">
        <v>445</v>
      </c>
      <c r="B317" s="35" t="s">
        <v>294</v>
      </c>
      <c r="C317" s="287">
        <v>1046706</v>
      </c>
      <c r="D317" s="16"/>
      <c r="E317" s="16"/>
    </row>
    <row r="318" spans="1:6" x14ac:dyDescent="0.35">
      <c r="A318" s="16" t="s">
        <v>446</v>
      </c>
      <c r="B318" s="35" t="s">
        <v>294</v>
      </c>
      <c r="C318" s="287" t="s">
        <v>1341</v>
      </c>
      <c r="D318" s="16"/>
      <c r="E318" s="16"/>
    </row>
    <row r="319" spans="1:6" x14ac:dyDescent="0.35">
      <c r="A319" s="16" t="s">
        <v>447</v>
      </c>
      <c r="B319" s="35" t="s">
        <v>294</v>
      </c>
      <c r="C319" s="287" t="s">
        <v>1341</v>
      </c>
      <c r="D319" s="16"/>
      <c r="E319" s="16"/>
    </row>
    <row r="320" spans="1:6" x14ac:dyDescent="0.35">
      <c r="A320" s="16" t="s">
        <v>448</v>
      </c>
      <c r="B320" s="35" t="s">
        <v>294</v>
      </c>
      <c r="C320" s="287"/>
      <c r="D320" s="16"/>
      <c r="E320" s="16"/>
    </row>
    <row r="321" spans="1:5" x14ac:dyDescent="0.35">
      <c r="A321" s="16" t="s">
        <v>449</v>
      </c>
      <c r="B321" s="35" t="s">
        <v>294</v>
      </c>
      <c r="C321" s="287"/>
      <c r="D321" s="16"/>
      <c r="E321" s="16"/>
    </row>
    <row r="322" spans="1:5" x14ac:dyDescent="0.35">
      <c r="A322" s="16" t="s">
        <v>450</v>
      </c>
      <c r="B322" s="35" t="s">
        <v>294</v>
      </c>
      <c r="C322" s="287">
        <v>22865</v>
      </c>
      <c r="D322" s="16"/>
      <c r="E322" s="16"/>
    </row>
    <row r="323" spans="1:5" x14ac:dyDescent="0.35">
      <c r="A323" s="16" t="s">
        <v>451</v>
      </c>
      <c r="B323" s="35" t="s">
        <v>294</v>
      </c>
      <c r="C323" s="287">
        <v>621524</v>
      </c>
      <c r="D323" s="16"/>
      <c r="E323" s="16"/>
    </row>
    <row r="324" spans="1:5" x14ac:dyDescent="0.35">
      <c r="A324" s="16" t="s">
        <v>452</v>
      </c>
      <c r="B324" s="16"/>
      <c r="C324" s="22"/>
      <c r="D324" s="25">
        <f>SUM(C314:C323)</f>
        <v>2924023</v>
      </c>
      <c r="E324" s="16"/>
    </row>
    <row r="325" spans="1:5" x14ac:dyDescent="0.35">
      <c r="A325" s="34" t="s">
        <v>453</v>
      </c>
      <c r="B325" s="34"/>
      <c r="C325" s="34"/>
      <c r="D325" s="34"/>
      <c r="E325" s="34"/>
    </row>
    <row r="326" spans="1:5" x14ac:dyDescent="0.35">
      <c r="A326" s="16" t="s">
        <v>454</v>
      </c>
      <c r="B326" s="35" t="s">
        <v>294</v>
      </c>
      <c r="C326" s="287"/>
      <c r="D326" s="16"/>
      <c r="E326" s="16"/>
    </row>
    <row r="327" spans="1:5" x14ac:dyDescent="0.35">
      <c r="A327" s="16" t="s">
        <v>455</v>
      </c>
      <c r="B327" s="35" t="s">
        <v>294</v>
      </c>
      <c r="C327" s="287"/>
      <c r="D327" s="16"/>
      <c r="E327" s="16"/>
    </row>
    <row r="328" spans="1:5" x14ac:dyDescent="0.35">
      <c r="A328" s="16" t="s">
        <v>456</v>
      </c>
      <c r="B328" s="35" t="s">
        <v>294</v>
      </c>
      <c r="C328" s="287"/>
      <c r="D328" s="16"/>
      <c r="E328" s="16"/>
    </row>
    <row r="329" spans="1:5" x14ac:dyDescent="0.35">
      <c r="A329" s="16" t="s">
        <v>457</v>
      </c>
      <c r="B329" s="16"/>
      <c r="C329" s="22"/>
      <c r="D329" s="25">
        <f>SUM(C326:C328)</f>
        <v>0</v>
      </c>
      <c r="E329" s="16"/>
    </row>
    <row r="330" spans="1:5" x14ac:dyDescent="0.35">
      <c r="A330" s="34" t="s">
        <v>458</v>
      </c>
      <c r="B330" s="34"/>
      <c r="C330" s="34"/>
      <c r="D330" s="34"/>
      <c r="E330" s="34"/>
    </row>
    <row r="331" spans="1:5" x14ac:dyDescent="0.35">
      <c r="A331" s="16" t="s">
        <v>459</v>
      </c>
      <c r="B331" s="35" t="s">
        <v>294</v>
      </c>
      <c r="C331" s="287"/>
      <c r="D331" s="16"/>
      <c r="E331" s="16"/>
    </row>
    <row r="332" spans="1:5" x14ac:dyDescent="0.35">
      <c r="A332" s="16" t="s">
        <v>460</v>
      </c>
      <c r="B332" s="35" t="s">
        <v>294</v>
      </c>
      <c r="C332" s="287"/>
      <c r="D332" s="16"/>
      <c r="E332" s="16"/>
    </row>
    <row r="333" spans="1:5" x14ac:dyDescent="0.35">
      <c r="A333" s="16" t="s">
        <v>461</v>
      </c>
      <c r="B333" s="35" t="s">
        <v>294</v>
      </c>
      <c r="C333" s="287">
        <v>2132731</v>
      </c>
      <c r="D333" s="16"/>
      <c r="E333" s="16"/>
    </row>
    <row r="334" spans="1:5" x14ac:dyDescent="0.35">
      <c r="A334" s="21" t="s">
        <v>462</v>
      </c>
      <c r="B334" s="35" t="s">
        <v>294</v>
      </c>
      <c r="C334" s="287">
        <v>12846</v>
      </c>
      <c r="D334" s="16"/>
      <c r="E334" s="16"/>
    </row>
    <row r="335" spans="1:5" x14ac:dyDescent="0.35">
      <c r="A335" s="16" t="s">
        <v>463</v>
      </c>
      <c r="B335" s="35" t="s">
        <v>294</v>
      </c>
      <c r="C335" s="287" t="s">
        <v>1341</v>
      </c>
      <c r="D335" s="16"/>
      <c r="E335" s="16"/>
    </row>
    <row r="336" spans="1:5" x14ac:dyDescent="0.35">
      <c r="A336" s="21" t="s">
        <v>464</v>
      </c>
      <c r="B336" s="35" t="s">
        <v>294</v>
      </c>
      <c r="C336" s="287"/>
      <c r="D336" s="16"/>
      <c r="E336" s="16"/>
    </row>
    <row r="337" spans="1:5" x14ac:dyDescent="0.35">
      <c r="A337" s="21" t="s">
        <v>465</v>
      </c>
      <c r="B337" s="35" t="s">
        <v>294</v>
      </c>
      <c r="C337" s="293"/>
      <c r="D337" s="16"/>
      <c r="E337" s="16"/>
    </row>
    <row r="338" spans="1:5" x14ac:dyDescent="0.35">
      <c r="A338" s="16" t="s">
        <v>466</v>
      </c>
      <c r="B338" s="35" t="s">
        <v>294</v>
      </c>
      <c r="C338" s="287">
        <v>3789</v>
      </c>
      <c r="D338" s="16"/>
      <c r="E338" s="16"/>
    </row>
    <row r="339" spans="1:5" x14ac:dyDescent="0.35">
      <c r="A339" s="16" t="s">
        <v>226</v>
      </c>
      <c r="B339" s="16"/>
      <c r="C339" s="22"/>
      <c r="D339" s="25">
        <f>SUM(C331:C338)</f>
        <v>2149366</v>
      </c>
      <c r="E339" s="16"/>
    </row>
    <row r="340" spans="1:5" x14ac:dyDescent="0.35">
      <c r="A340" s="16" t="s">
        <v>467</v>
      </c>
      <c r="B340" s="16"/>
      <c r="C340" s="22"/>
      <c r="D340" s="25">
        <f>C323</f>
        <v>621524</v>
      </c>
      <c r="E340" s="16"/>
    </row>
    <row r="341" spans="1:5" x14ac:dyDescent="0.35">
      <c r="A341" s="16" t="s">
        <v>468</v>
      </c>
      <c r="B341" s="16"/>
      <c r="C341" s="22"/>
      <c r="D341" s="25">
        <f>D339-D340</f>
        <v>1527842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469</v>
      </c>
      <c r="B343" s="35" t="s">
        <v>294</v>
      </c>
      <c r="C343" s="292">
        <v>13509615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470</v>
      </c>
      <c r="B345" s="35" t="s">
        <v>294</v>
      </c>
      <c r="C345" s="288"/>
      <c r="D345" s="16"/>
      <c r="E345" s="16"/>
    </row>
    <row r="346" spans="1:5" x14ac:dyDescent="0.35">
      <c r="A346" s="16" t="s">
        <v>471</v>
      </c>
      <c r="B346" s="35" t="s">
        <v>294</v>
      </c>
      <c r="C346" s="288"/>
      <c r="D346" s="16"/>
      <c r="E346" s="16"/>
    </row>
    <row r="347" spans="1:5" x14ac:dyDescent="0.35">
      <c r="A347" s="16" t="s">
        <v>472</v>
      </c>
      <c r="B347" s="35" t="s">
        <v>294</v>
      </c>
      <c r="C347" s="288"/>
      <c r="D347" s="16"/>
      <c r="E347" s="16"/>
    </row>
    <row r="348" spans="1:5" x14ac:dyDescent="0.35">
      <c r="A348" s="16" t="s">
        <v>473</v>
      </c>
      <c r="B348" s="35" t="s">
        <v>294</v>
      </c>
      <c r="C348" s="288"/>
      <c r="D348" s="16"/>
      <c r="E348" s="16"/>
    </row>
    <row r="349" spans="1:5" x14ac:dyDescent="0.35">
      <c r="A349" s="16" t="s">
        <v>474</v>
      </c>
      <c r="B349" s="35" t="s">
        <v>294</v>
      </c>
      <c r="C349" s="288"/>
      <c r="D349" s="16"/>
      <c r="E349" s="16"/>
    </row>
    <row r="350" spans="1:5" x14ac:dyDescent="0.35">
      <c r="A350" s="16" t="s">
        <v>475</v>
      </c>
      <c r="B350" s="16"/>
      <c r="C350" s="22"/>
      <c r="D350" s="25">
        <f>D324+D329+D341+C343+C347+C348</f>
        <v>17961480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476</v>
      </c>
      <c r="B352" s="16"/>
      <c r="C352" s="22"/>
      <c r="D352" s="25">
        <f>D308</f>
        <v>17961480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477</v>
      </c>
      <c r="B356" s="30"/>
      <c r="C356" s="30"/>
      <c r="D356" s="30"/>
      <c r="E356" s="30"/>
    </row>
    <row r="357" spans="1:5" x14ac:dyDescent="0.35">
      <c r="A357" s="34" t="s">
        <v>478</v>
      </c>
      <c r="B357" s="34"/>
      <c r="C357" s="34"/>
      <c r="D357" s="34"/>
      <c r="E357" s="34"/>
    </row>
    <row r="358" spans="1:5" x14ac:dyDescent="0.35">
      <c r="A358" s="16" t="s">
        <v>479</v>
      </c>
      <c r="B358" s="35" t="s">
        <v>294</v>
      </c>
      <c r="C358" s="287">
        <v>4231057</v>
      </c>
      <c r="D358" s="16"/>
      <c r="E358" s="16"/>
    </row>
    <row r="359" spans="1:5" x14ac:dyDescent="0.35">
      <c r="A359" s="16" t="s">
        <v>480</v>
      </c>
      <c r="B359" s="35" t="s">
        <v>294</v>
      </c>
      <c r="C359" s="287">
        <v>24811710</v>
      </c>
      <c r="D359" s="16"/>
      <c r="E359" s="16"/>
    </row>
    <row r="360" spans="1:5" x14ac:dyDescent="0.35">
      <c r="A360" s="16" t="s">
        <v>481</v>
      </c>
      <c r="B360" s="16"/>
      <c r="C360" s="22"/>
      <c r="D360" s="25">
        <f>SUM(C358:C359)</f>
        <v>29042767</v>
      </c>
      <c r="E360" s="16"/>
    </row>
    <row r="361" spans="1:5" x14ac:dyDescent="0.35">
      <c r="A361" s="34" t="s">
        <v>482</v>
      </c>
      <c r="B361" s="34"/>
      <c r="C361" s="34"/>
      <c r="D361" s="34"/>
      <c r="E361" s="34"/>
    </row>
    <row r="362" spans="1:5" x14ac:dyDescent="0.35">
      <c r="A362" s="16" t="s">
        <v>387</v>
      </c>
      <c r="B362" s="34"/>
      <c r="C362" s="287">
        <v>322454</v>
      </c>
      <c r="D362" s="16"/>
      <c r="E362" s="34"/>
    </row>
    <row r="363" spans="1:5" x14ac:dyDescent="0.35">
      <c r="A363" s="16" t="s">
        <v>483</v>
      </c>
      <c r="B363" s="35" t="s">
        <v>294</v>
      </c>
      <c r="C363" s="287">
        <f>D245</f>
        <v>10352370</v>
      </c>
      <c r="D363" s="16"/>
      <c r="E363" s="16"/>
    </row>
    <row r="364" spans="1:5" x14ac:dyDescent="0.35">
      <c r="A364" s="16" t="s">
        <v>484</v>
      </c>
      <c r="B364" s="35" t="s">
        <v>294</v>
      </c>
      <c r="C364" s="287">
        <v>416440</v>
      </c>
      <c r="D364" s="16"/>
      <c r="E364" s="16"/>
    </row>
    <row r="365" spans="1:5" x14ac:dyDescent="0.35">
      <c r="A365" s="16" t="s">
        <v>485</v>
      </c>
      <c r="B365" s="35" t="s">
        <v>294</v>
      </c>
      <c r="C365" s="287">
        <f>D256</f>
        <v>0</v>
      </c>
      <c r="D365" s="16"/>
      <c r="E365" s="16"/>
    </row>
    <row r="366" spans="1:5" x14ac:dyDescent="0.35">
      <c r="A366" s="16" t="s">
        <v>404</v>
      </c>
      <c r="B366" s="16"/>
      <c r="C366" s="22"/>
      <c r="D366" s="25">
        <f>SUM(C362:C365)</f>
        <v>11091264</v>
      </c>
      <c r="E366" s="16"/>
    </row>
    <row r="367" spans="1:5" x14ac:dyDescent="0.35">
      <c r="A367" s="16" t="s">
        <v>486</v>
      </c>
      <c r="B367" s="16"/>
      <c r="C367" s="22"/>
      <c r="D367" s="25">
        <f>D360-D366</f>
        <v>17951503</v>
      </c>
      <c r="E367" s="16"/>
    </row>
    <row r="368" spans="1:5" x14ac:dyDescent="0.35">
      <c r="A368" s="45" t="s">
        <v>487</v>
      </c>
      <c r="B368" s="34"/>
      <c r="C368" s="34"/>
      <c r="D368" s="34"/>
      <c r="E368" s="34"/>
    </row>
    <row r="369" spans="1:6" x14ac:dyDescent="0.35">
      <c r="A369" s="25" t="s">
        <v>488</v>
      </c>
      <c r="B369" s="16"/>
      <c r="C369" s="16"/>
      <c r="D369" s="16"/>
      <c r="E369" s="16"/>
    </row>
    <row r="370" spans="1:6" x14ac:dyDescent="0.35">
      <c r="A370" s="46" t="s">
        <v>489</v>
      </c>
      <c r="B370" s="32" t="s">
        <v>294</v>
      </c>
      <c r="C370" s="287">
        <v>5357</v>
      </c>
      <c r="D370" s="25">
        <v>0</v>
      </c>
      <c r="E370" s="25"/>
    </row>
    <row r="371" spans="1:6" x14ac:dyDescent="0.35">
      <c r="A371" s="46" t="s">
        <v>490</v>
      </c>
      <c r="B371" s="32" t="s">
        <v>294</v>
      </c>
      <c r="C371" s="287">
        <v>117020</v>
      </c>
      <c r="D371" s="25">
        <v>0</v>
      </c>
      <c r="E371" s="25"/>
    </row>
    <row r="372" spans="1:6" x14ac:dyDescent="0.35">
      <c r="A372" s="46" t="s">
        <v>491</v>
      </c>
      <c r="B372" s="32" t="s">
        <v>294</v>
      </c>
      <c r="C372" s="287"/>
      <c r="D372" s="25">
        <v>0</v>
      </c>
      <c r="E372" s="25"/>
    </row>
    <row r="373" spans="1:6" x14ac:dyDescent="0.35">
      <c r="A373" s="46" t="s">
        <v>492</v>
      </c>
      <c r="B373" s="32" t="s">
        <v>294</v>
      </c>
      <c r="C373" s="287"/>
      <c r="D373" s="25">
        <v>0</v>
      </c>
      <c r="E373" s="25"/>
    </row>
    <row r="374" spans="1:6" x14ac:dyDescent="0.35">
      <c r="A374" s="46" t="s">
        <v>493</v>
      </c>
      <c r="B374" s="32" t="s">
        <v>294</v>
      </c>
      <c r="C374" s="287">
        <v>3256445</v>
      </c>
      <c r="D374" s="25">
        <v>0</v>
      </c>
      <c r="E374" s="25"/>
    </row>
    <row r="375" spans="1:6" x14ac:dyDescent="0.35">
      <c r="A375" s="46" t="s">
        <v>494</v>
      </c>
      <c r="B375" s="32" t="s">
        <v>294</v>
      </c>
      <c r="C375" s="287"/>
      <c r="D375" s="25">
        <v>0</v>
      </c>
      <c r="E375" s="25"/>
    </row>
    <row r="376" spans="1:6" x14ac:dyDescent="0.35">
      <c r="A376" s="46" t="s">
        <v>495</v>
      </c>
      <c r="B376" s="32" t="s">
        <v>294</v>
      </c>
      <c r="C376" s="287"/>
      <c r="D376" s="25">
        <v>0</v>
      </c>
      <c r="E376" s="25"/>
    </row>
    <row r="377" spans="1:6" x14ac:dyDescent="0.35">
      <c r="A377" s="46" t="s">
        <v>496</v>
      </c>
      <c r="B377" s="32" t="s">
        <v>294</v>
      </c>
      <c r="C377" s="287"/>
      <c r="D377" s="25">
        <v>0</v>
      </c>
      <c r="E377" s="25"/>
    </row>
    <row r="378" spans="1:6" x14ac:dyDescent="0.35">
      <c r="A378" s="46" t="s">
        <v>497</v>
      </c>
      <c r="B378" s="32" t="s">
        <v>294</v>
      </c>
      <c r="C378" s="287"/>
      <c r="D378" s="25">
        <v>0</v>
      </c>
      <c r="E378" s="25"/>
    </row>
    <row r="379" spans="1:6" x14ac:dyDescent="0.35">
      <c r="A379" s="46" t="s">
        <v>498</v>
      </c>
      <c r="B379" s="32" t="s">
        <v>294</v>
      </c>
      <c r="C379" s="287">
        <v>9627</v>
      </c>
      <c r="D379" s="25">
        <v>0</v>
      </c>
      <c r="E379" s="25"/>
    </row>
    <row r="380" spans="1:6" x14ac:dyDescent="0.35">
      <c r="A380" s="46" t="s">
        <v>499</v>
      </c>
      <c r="B380" s="32" t="s">
        <v>294</v>
      </c>
      <c r="C380" s="289">
        <v>536291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35">
      <c r="A381" s="48" t="s">
        <v>500</v>
      </c>
      <c r="B381" s="35"/>
      <c r="C381" s="35"/>
      <c r="D381" s="25">
        <f>SUM(C370:C380)</f>
        <v>3924740</v>
      </c>
      <c r="E381" s="25"/>
      <c r="F381" s="47"/>
    </row>
    <row r="382" spans="1:6" x14ac:dyDescent="0.35">
      <c r="A382" s="43" t="s">
        <v>501</v>
      </c>
      <c r="B382" s="35" t="s">
        <v>294</v>
      </c>
      <c r="C382" s="287">
        <v>389476</v>
      </c>
      <c r="D382" s="25">
        <v>0</v>
      </c>
      <c r="E382" s="16"/>
    </row>
    <row r="383" spans="1:6" x14ac:dyDescent="0.35">
      <c r="A383" s="16" t="s">
        <v>502</v>
      </c>
      <c r="B383" s="16"/>
      <c r="C383" s="22"/>
      <c r="D383" s="25">
        <f>D381+C382</f>
        <v>4314216</v>
      </c>
      <c r="E383" s="16"/>
    </row>
    <row r="384" spans="1:6" x14ac:dyDescent="0.35">
      <c r="A384" s="16" t="s">
        <v>503</v>
      </c>
      <c r="B384" s="16"/>
      <c r="C384" s="22"/>
      <c r="D384" s="25">
        <f>D367+D383</f>
        <v>22265719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504</v>
      </c>
      <c r="B388" s="34"/>
      <c r="C388" s="34"/>
      <c r="D388" s="34"/>
      <c r="E388" s="34"/>
    </row>
    <row r="389" spans="1:5" x14ac:dyDescent="0.35">
      <c r="A389" s="16" t="s">
        <v>505</v>
      </c>
      <c r="B389" s="35" t="s">
        <v>294</v>
      </c>
      <c r="C389" s="287">
        <v>9135573</v>
      </c>
      <c r="D389" s="16"/>
      <c r="E389" s="16"/>
    </row>
    <row r="390" spans="1:5" x14ac:dyDescent="0.35">
      <c r="A390" s="16" t="s">
        <v>9</v>
      </c>
      <c r="B390" s="35" t="s">
        <v>294</v>
      </c>
      <c r="C390" s="287">
        <v>3150734</v>
      </c>
      <c r="D390" s="16"/>
      <c r="E390" s="16"/>
    </row>
    <row r="391" spans="1:5" x14ac:dyDescent="0.35">
      <c r="A391" s="16" t="s">
        <v>260</v>
      </c>
      <c r="B391" s="35" t="s">
        <v>294</v>
      </c>
      <c r="C391" s="287">
        <v>1926510</v>
      </c>
      <c r="D391" s="16"/>
      <c r="E391" s="16"/>
    </row>
    <row r="392" spans="1:5" x14ac:dyDescent="0.35">
      <c r="A392" s="16" t="s">
        <v>506</v>
      </c>
      <c r="B392" s="35" t="s">
        <v>294</v>
      </c>
      <c r="C392" s="287">
        <v>3739759</v>
      </c>
      <c r="D392" s="16"/>
      <c r="E392" s="16"/>
    </row>
    <row r="393" spans="1:5" x14ac:dyDescent="0.35">
      <c r="A393" s="16" t="s">
        <v>507</v>
      </c>
      <c r="B393" s="35" t="s">
        <v>294</v>
      </c>
      <c r="C393" s="287">
        <v>295176</v>
      </c>
      <c r="D393" s="16"/>
      <c r="E393" s="16"/>
    </row>
    <row r="394" spans="1:5" x14ac:dyDescent="0.35">
      <c r="A394" s="16" t="s">
        <v>508</v>
      </c>
      <c r="B394" s="35" t="s">
        <v>294</v>
      </c>
      <c r="C394" s="287">
        <v>2169702</v>
      </c>
      <c r="D394" s="16"/>
      <c r="E394" s="16"/>
    </row>
    <row r="395" spans="1:5" x14ac:dyDescent="0.35">
      <c r="A395" s="16" t="s">
        <v>14</v>
      </c>
      <c r="B395" s="35" t="s">
        <v>294</v>
      </c>
      <c r="C395" s="287">
        <v>967666</v>
      </c>
      <c r="D395" s="16"/>
      <c r="E395" s="16"/>
    </row>
    <row r="396" spans="1:5" x14ac:dyDescent="0.35">
      <c r="A396" s="16" t="s">
        <v>509</v>
      </c>
      <c r="B396" s="35" t="s">
        <v>294</v>
      </c>
      <c r="C396" s="287">
        <v>254921</v>
      </c>
      <c r="D396" s="16"/>
      <c r="E396" s="16"/>
    </row>
    <row r="397" spans="1:5" x14ac:dyDescent="0.35">
      <c r="A397" s="16" t="s">
        <v>510</v>
      </c>
      <c r="B397" s="35" t="s">
        <v>294</v>
      </c>
      <c r="C397" s="289">
        <v>141648</v>
      </c>
      <c r="D397" s="16"/>
      <c r="E397" s="16"/>
    </row>
    <row r="398" spans="1:5" x14ac:dyDescent="0.35">
      <c r="A398" s="16" t="s">
        <v>511</v>
      </c>
      <c r="B398" s="35" t="s">
        <v>294</v>
      </c>
      <c r="C398" s="289">
        <v>143710</v>
      </c>
      <c r="D398" s="16"/>
      <c r="E398" s="16"/>
    </row>
    <row r="399" spans="1:5" x14ac:dyDescent="0.35">
      <c r="A399" s="16" t="s">
        <v>512</v>
      </c>
      <c r="B399" s="35" t="s">
        <v>294</v>
      </c>
      <c r="C399" s="289">
        <v>48067</v>
      </c>
      <c r="D399" s="16"/>
      <c r="E399" s="16"/>
    </row>
    <row r="400" spans="1:5" x14ac:dyDescent="0.35">
      <c r="A400" s="25" t="s">
        <v>513</v>
      </c>
      <c r="B400" s="16"/>
      <c r="C400" s="16"/>
      <c r="D400" s="16"/>
      <c r="E400" s="16"/>
    </row>
    <row r="401" spans="1:9" x14ac:dyDescent="0.35">
      <c r="A401" s="26" t="s">
        <v>266</v>
      </c>
      <c r="B401" s="32" t="s">
        <v>294</v>
      </c>
      <c r="C401" s="287"/>
      <c r="D401" s="25">
        <v>0</v>
      </c>
      <c r="E401" s="25"/>
    </row>
    <row r="402" spans="1:9" x14ac:dyDescent="0.35">
      <c r="A402" s="26" t="s">
        <v>267</v>
      </c>
      <c r="B402" s="32" t="s">
        <v>294</v>
      </c>
      <c r="C402" s="287"/>
      <c r="D402" s="25">
        <v>0</v>
      </c>
      <c r="E402" s="25"/>
    </row>
    <row r="403" spans="1:9" x14ac:dyDescent="0.35">
      <c r="A403" s="26" t="s">
        <v>514</v>
      </c>
      <c r="B403" s="32" t="s">
        <v>294</v>
      </c>
      <c r="C403" s="287"/>
      <c r="D403" s="25">
        <v>0</v>
      </c>
      <c r="E403" s="25"/>
    </row>
    <row r="404" spans="1:9" x14ac:dyDescent="0.35">
      <c r="A404" s="26" t="s">
        <v>269</v>
      </c>
      <c r="B404" s="32" t="s">
        <v>294</v>
      </c>
      <c r="C404" s="287"/>
      <c r="D404" s="25">
        <v>0</v>
      </c>
      <c r="E404" s="25"/>
    </row>
    <row r="405" spans="1:9" x14ac:dyDescent="0.35">
      <c r="A405" s="26" t="s">
        <v>270</v>
      </c>
      <c r="B405" s="32" t="s">
        <v>294</v>
      </c>
      <c r="C405" s="287"/>
      <c r="D405" s="25">
        <v>0</v>
      </c>
      <c r="E405" s="25"/>
    </row>
    <row r="406" spans="1:9" x14ac:dyDescent="0.35">
      <c r="A406" s="26" t="s">
        <v>271</v>
      </c>
      <c r="B406" s="32" t="s">
        <v>294</v>
      </c>
      <c r="C406" s="287"/>
      <c r="D406" s="25">
        <v>0</v>
      </c>
      <c r="E406" s="25"/>
    </row>
    <row r="407" spans="1:9" x14ac:dyDescent="0.35">
      <c r="A407" s="26" t="s">
        <v>272</v>
      </c>
      <c r="B407" s="32" t="s">
        <v>294</v>
      </c>
      <c r="C407" s="287"/>
      <c r="D407" s="25">
        <v>0</v>
      </c>
      <c r="E407" s="25"/>
    </row>
    <row r="408" spans="1:9" x14ac:dyDescent="0.35">
      <c r="A408" s="26" t="s">
        <v>273</v>
      </c>
      <c r="B408" s="32" t="s">
        <v>294</v>
      </c>
      <c r="C408" s="287">
        <v>258762</v>
      </c>
      <c r="D408" s="25">
        <v>0</v>
      </c>
      <c r="E408" s="25"/>
    </row>
    <row r="409" spans="1:9" x14ac:dyDescent="0.35">
      <c r="A409" s="26" t="s">
        <v>274</v>
      </c>
      <c r="B409" s="32" t="s">
        <v>294</v>
      </c>
      <c r="C409" s="287"/>
      <c r="D409" s="25">
        <v>0</v>
      </c>
      <c r="E409" s="25"/>
    </row>
    <row r="410" spans="1:9" x14ac:dyDescent="0.35">
      <c r="A410" s="26" t="s">
        <v>275</v>
      </c>
      <c r="B410" s="32" t="s">
        <v>294</v>
      </c>
      <c r="C410" s="287"/>
      <c r="D410" s="25">
        <v>0</v>
      </c>
      <c r="E410" s="25"/>
    </row>
    <row r="411" spans="1:9" x14ac:dyDescent="0.35">
      <c r="A411" s="26" t="s">
        <v>276</v>
      </c>
      <c r="B411" s="32" t="s">
        <v>294</v>
      </c>
      <c r="C411" s="287"/>
      <c r="D411" s="25">
        <v>0</v>
      </c>
      <c r="E411" s="25"/>
    </row>
    <row r="412" spans="1:9" x14ac:dyDescent="0.35">
      <c r="A412" s="26" t="s">
        <v>277</v>
      </c>
      <c r="B412" s="32" t="s">
        <v>294</v>
      </c>
      <c r="C412" s="287"/>
      <c r="D412" s="25">
        <v>0</v>
      </c>
      <c r="E412" s="25"/>
    </row>
    <row r="413" spans="1:9" x14ac:dyDescent="0.35">
      <c r="A413" s="26" t="s">
        <v>278</v>
      </c>
      <c r="B413" s="32" t="s">
        <v>294</v>
      </c>
      <c r="C413" s="287"/>
      <c r="D413" s="25">
        <v>0</v>
      </c>
      <c r="E413" s="25"/>
    </row>
    <row r="414" spans="1:9" x14ac:dyDescent="0.35">
      <c r="A414" s="26" t="s">
        <v>279</v>
      </c>
      <c r="B414" s="32" t="s">
        <v>294</v>
      </c>
      <c r="C414" s="289">
        <v>386487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35">
      <c r="A415" s="49" t="s">
        <v>515</v>
      </c>
      <c r="B415" s="35"/>
      <c r="C415" s="35"/>
      <c r="D415" s="25">
        <f>SUM(C401:C414)</f>
        <v>645249</v>
      </c>
      <c r="E415" s="25"/>
      <c r="F415" s="47"/>
      <c r="G415" s="47"/>
      <c r="H415" s="47"/>
      <c r="I415" s="47"/>
    </row>
    <row r="416" spans="1:9" x14ac:dyDescent="0.35">
      <c r="A416" s="25" t="s">
        <v>516</v>
      </c>
      <c r="B416" s="16"/>
      <c r="C416" s="22"/>
      <c r="D416" s="25">
        <f>SUM(C389:C399,D415)</f>
        <v>22618715</v>
      </c>
      <c r="E416" s="25"/>
    </row>
    <row r="417" spans="1:13" x14ac:dyDescent="0.35">
      <c r="A417" s="25" t="s">
        <v>517</v>
      </c>
      <c r="B417" s="16"/>
      <c r="C417" s="22"/>
      <c r="D417" s="25">
        <f>D384-D416</f>
        <v>-352996</v>
      </c>
      <c r="E417" s="25"/>
    </row>
    <row r="418" spans="1:13" x14ac:dyDescent="0.35">
      <c r="A418" s="25" t="s">
        <v>518</v>
      </c>
      <c r="B418" s="16"/>
      <c r="C418" s="289">
        <v>1095203</v>
      </c>
      <c r="D418" s="25">
        <v>0</v>
      </c>
      <c r="E418" s="25"/>
    </row>
    <row r="419" spans="1:13" x14ac:dyDescent="0.35">
      <c r="A419" s="46" t="s">
        <v>519</v>
      </c>
      <c r="B419" s="35" t="s">
        <v>294</v>
      </c>
      <c r="C419" s="287"/>
      <c r="D419" s="25">
        <v>0</v>
      </c>
      <c r="E419" s="25"/>
    </row>
    <row r="420" spans="1:13" x14ac:dyDescent="0.35">
      <c r="A420" s="48" t="s">
        <v>520</v>
      </c>
      <c r="B420" s="16"/>
      <c r="C420" s="16"/>
      <c r="D420" s="25">
        <f>SUM(C418:C419)</f>
        <v>1095203</v>
      </c>
      <c r="E420" s="25"/>
      <c r="F420" s="11">
        <f>D420-C399</f>
        <v>1047136</v>
      </c>
    </row>
    <row r="421" spans="1:13" x14ac:dyDescent="0.35">
      <c r="A421" s="25" t="s">
        <v>521</v>
      </c>
      <c r="B421" s="16"/>
      <c r="C421" s="22"/>
      <c r="D421" s="25">
        <f>D417+D420</f>
        <v>742207</v>
      </c>
      <c r="E421" s="25"/>
      <c r="F421" s="50"/>
    </row>
    <row r="422" spans="1:13" x14ac:dyDescent="0.35">
      <c r="A422" s="25" t="s">
        <v>522</v>
      </c>
      <c r="B422" s="35" t="s">
        <v>294</v>
      </c>
      <c r="C422" s="287"/>
      <c r="D422" s="25">
        <v>0</v>
      </c>
      <c r="E422" s="16"/>
    </row>
    <row r="423" spans="1:13" x14ac:dyDescent="0.35">
      <c r="A423" s="16" t="s">
        <v>523</v>
      </c>
      <c r="B423" s="35" t="s">
        <v>294</v>
      </c>
      <c r="C423" s="287"/>
      <c r="D423" s="25">
        <v>0</v>
      </c>
      <c r="E423" s="16"/>
    </row>
    <row r="424" spans="1:13" x14ac:dyDescent="0.35">
      <c r="A424" s="16" t="s">
        <v>524</v>
      </c>
      <c r="B424" s="16"/>
      <c r="C424" s="22"/>
      <c r="D424" s="25">
        <f>D421+C422-C423</f>
        <v>742207</v>
      </c>
      <c r="E424" s="16"/>
    </row>
    <row r="426" spans="1:13" ht="29.15" customHeight="1" x14ac:dyDescent="0.35">
      <c r="A426" s="327" t="s">
        <v>1344</v>
      </c>
      <c r="B426" s="327"/>
      <c r="C426" s="327"/>
      <c r="D426" s="327"/>
      <c r="E426" s="327"/>
    </row>
    <row r="427" spans="1:13" x14ac:dyDescent="0.35">
      <c r="A427" s="301"/>
      <c r="B427" s="301"/>
      <c r="C427" s="301"/>
      <c r="D427" s="301"/>
      <c r="E427" s="301"/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525</v>
      </c>
      <c r="D612" s="217">
        <f>CE90-(BE90+CD90)</f>
        <v>30431</v>
      </c>
      <c r="E612" s="219">
        <f>SUM(C624:D647)+SUM(C668:D713)</f>
        <v>17945183.469882682</v>
      </c>
      <c r="F612" s="219">
        <f>CE64-(AX64+BD64+BE64+BG64+BJ64+BN64+BP64+BQ64+CB64+CC64+CD64)</f>
        <v>3568838</v>
      </c>
      <c r="G612" s="217">
        <f>CE91-(AX91+AY91+BD91+BE91+BG91+BJ91+BN91+BP91+BQ91+CB91+CC91+CD91)</f>
        <v>24887</v>
      </c>
      <c r="H612" s="222">
        <f>CE60-(AX60+AY60+AZ60+BD60+BE60+BG60+BJ60+BN60+BO60+BP60+BQ60+BR60+CB60+CC60+CD60)</f>
        <v>110.58999999999999</v>
      </c>
      <c r="I612" s="217">
        <f>CE92-(AX92+AY92+AZ92+BD92+BE92+BF92+BG92+BJ92+BN92+BO92+BP92+BQ92+BR92+CB92+CC92+CD92)</f>
        <v>10657</v>
      </c>
      <c r="J612" s="217">
        <f>CE93-(AX93+AY93+AZ93+BA93+BD93+BE93+BF93+BG93+BJ93+BN93+BO93+BP93+BQ93+BR93+CB93+CC93+CD93)</f>
        <v>52763</v>
      </c>
      <c r="K612" s="217">
        <f>CE89-(AW89+AX89+AY89+AZ89+BA89+BB89+BC89+BD89+BE89+BF89+BG89+BH89+BI89+BJ89+BK89+BL89+BM89+BN89+BO89+BP89+BQ89+BR89+BS89+BT89+BU89+BV89+BW89+BX89+CB89+CC89+CD89)</f>
        <v>26374240</v>
      </c>
      <c r="L612" s="223">
        <f>CE94-(AW94+AX94+AY94+AZ94+BA94+BB94+BC94+BD94+BE94+BF94+BG94+BH94+BI94+BJ94+BK94+BL94+BM94+BN94+BO94+BP94+BQ94+BR94+BS94+BT94+BU94+BV94+BW94+BX94+BY94+BZ94+CA94+CB94+CC94+CD94)</f>
        <v>38.260000000000005</v>
      </c>
    </row>
    <row r="613" spans="1:14" s="202" customFormat="1" ht="12.65" customHeight="1" x14ac:dyDescent="0.3">
      <c r="A613" s="212"/>
      <c r="C613" s="210" t="s">
        <v>526</v>
      </c>
      <c r="D613" s="218" t="s">
        <v>527</v>
      </c>
      <c r="E613" s="220" t="s">
        <v>528</v>
      </c>
      <c r="F613" s="221" t="s">
        <v>529</v>
      </c>
      <c r="G613" s="218" t="s">
        <v>530</v>
      </c>
      <c r="H613" s="221" t="s">
        <v>531</v>
      </c>
      <c r="I613" s="218" t="s">
        <v>532</v>
      </c>
      <c r="J613" s="218" t="s">
        <v>533</v>
      </c>
      <c r="K613" s="210" t="s">
        <v>534</v>
      </c>
      <c r="L613" s="211" t="s">
        <v>535</v>
      </c>
    </row>
    <row r="614" spans="1:14" s="202" customFormat="1" ht="12.65" customHeight="1" x14ac:dyDescent="0.3">
      <c r="A614" s="212">
        <v>8430</v>
      </c>
      <c r="B614" s="211" t="s">
        <v>163</v>
      </c>
      <c r="C614" s="217">
        <f>BE85</f>
        <v>758950</v>
      </c>
      <c r="D614" s="217"/>
      <c r="E614" s="219"/>
      <c r="F614" s="219"/>
      <c r="G614" s="217"/>
      <c r="H614" s="219"/>
      <c r="I614" s="217"/>
      <c r="J614" s="217"/>
      <c r="N614" s="213" t="s">
        <v>536</v>
      </c>
    </row>
    <row r="615" spans="1:14" s="202" customFormat="1" ht="12.65" customHeight="1" x14ac:dyDescent="0.3">
      <c r="A615" s="212"/>
      <c r="B615" s="211" t="s">
        <v>537</v>
      </c>
      <c r="C615" s="217">
        <f>CD69-CD84</f>
        <v>-2526274</v>
      </c>
      <c r="D615" s="217">
        <f>SUM(C614:C615)</f>
        <v>-1767324</v>
      </c>
      <c r="E615" s="219"/>
      <c r="F615" s="219"/>
      <c r="G615" s="217"/>
      <c r="H615" s="219"/>
      <c r="I615" s="217"/>
      <c r="J615" s="217"/>
      <c r="N615" s="213" t="s">
        <v>538</v>
      </c>
    </row>
    <row r="616" spans="1:14" s="202" customFormat="1" ht="12.65" customHeight="1" x14ac:dyDescent="0.3">
      <c r="A616" s="212">
        <v>8310</v>
      </c>
      <c r="B616" s="216" t="s">
        <v>539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540</v>
      </c>
    </row>
    <row r="617" spans="1:14" s="202" customFormat="1" ht="12.65" customHeight="1" x14ac:dyDescent="0.3">
      <c r="A617" s="212">
        <v>8510</v>
      </c>
      <c r="B617" s="216" t="s">
        <v>168</v>
      </c>
      <c r="C617" s="217">
        <f>BJ85</f>
        <v>270354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541</v>
      </c>
    </row>
    <row r="618" spans="1:14" s="202" customFormat="1" ht="12.65" customHeight="1" x14ac:dyDescent="0.3">
      <c r="A618" s="212">
        <v>8470</v>
      </c>
      <c r="B618" s="216" t="s">
        <v>542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543</v>
      </c>
    </row>
    <row r="619" spans="1:14" s="202" customFormat="1" ht="12.65" customHeight="1" x14ac:dyDescent="0.3">
      <c r="A619" s="212">
        <v>8610</v>
      </c>
      <c r="B619" s="216" t="s">
        <v>544</v>
      </c>
      <c r="C619" s="217">
        <f>BN85</f>
        <v>496144</v>
      </c>
      <c r="D619" s="217">
        <f>(D615/D612)*BN90</f>
        <v>-136363.46988268543</v>
      </c>
      <c r="E619" s="219"/>
      <c r="F619" s="219"/>
      <c r="G619" s="217"/>
      <c r="H619" s="219"/>
      <c r="I619" s="217"/>
      <c r="J619" s="217"/>
      <c r="N619" s="213" t="s">
        <v>545</v>
      </c>
    </row>
    <row r="620" spans="1:14" s="202" customFormat="1" ht="12.65" customHeight="1" x14ac:dyDescent="0.3">
      <c r="A620" s="212">
        <v>8790</v>
      </c>
      <c r="B620" s="216" t="s">
        <v>546</v>
      </c>
      <c r="C620" s="217">
        <f>CC85</f>
        <v>118657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547</v>
      </c>
    </row>
    <row r="621" spans="1:14" s="202" customFormat="1" ht="12.65" customHeight="1" x14ac:dyDescent="0.3">
      <c r="A621" s="212">
        <v>8630</v>
      </c>
      <c r="B621" s="216" t="s">
        <v>548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549</v>
      </c>
    </row>
    <row r="622" spans="1:14" s="202" customFormat="1" ht="12.65" customHeight="1" x14ac:dyDescent="0.3">
      <c r="A622" s="212">
        <v>8770</v>
      </c>
      <c r="B622" s="211" t="s">
        <v>550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551</v>
      </c>
    </row>
    <row r="623" spans="1:14" s="202" customFormat="1" ht="12.65" customHeight="1" x14ac:dyDescent="0.3">
      <c r="A623" s="212">
        <v>8640</v>
      </c>
      <c r="B623" s="216" t="s">
        <v>552</v>
      </c>
      <c r="C623" s="217">
        <f>BQ85</f>
        <v>0</v>
      </c>
      <c r="D623" s="217">
        <f>(D615/D612)*BQ90</f>
        <v>0</v>
      </c>
      <c r="E623" s="219">
        <f>SUM(C616:D623)</f>
        <v>748791.53011731454</v>
      </c>
      <c r="F623" s="219"/>
      <c r="G623" s="217"/>
      <c r="H623" s="219"/>
      <c r="I623" s="217"/>
      <c r="J623" s="217"/>
      <c r="N623" s="213" t="s">
        <v>553</v>
      </c>
    </row>
    <row r="624" spans="1:14" s="202" customFormat="1" ht="12.65" customHeight="1" x14ac:dyDescent="0.3">
      <c r="A624" s="212">
        <v>8420</v>
      </c>
      <c r="B624" s="216" t="s">
        <v>162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554</v>
      </c>
    </row>
    <row r="625" spans="1:14" s="202" customFormat="1" ht="12.65" customHeight="1" x14ac:dyDescent="0.3">
      <c r="A625" s="212">
        <v>8320</v>
      </c>
      <c r="B625" s="216" t="s">
        <v>158</v>
      </c>
      <c r="C625" s="217">
        <f>AY85</f>
        <v>479971</v>
      </c>
      <c r="D625" s="217">
        <f>(D615/D612)*AY90</f>
        <v>-55056.460582958163</v>
      </c>
      <c r="E625" s="219">
        <f>(E623/E612)*SUM(C625:D625)</f>
        <v>17730.23990939786</v>
      </c>
      <c r="F625" s="219">
        <f>(F624/F612)*AY64</f>
        <v>0</v>
      </c>
      <c r="G625" s="217">
        <f>SUM(C625:F625)</f>
        <v>442644.77932643966</v>
      </c>
      <c r="H625" s="219"/>
      <c r="I625" s="217"/>
      <c r="J625" s="217"/>
      <c r="N625" s="213" t="s">
        <v>555</v>
      </c>
    </row>
    <row r="626" spans="1:14" s="202" customFormat="1" ht="12.65" customHeight="1" x14ac:dyDescent="0.3">
      <c r="A626" s="212">
        <v>8650</v>
      </c>
      <c r="B626" s="216" t="s">
        <v>175</v>
      </c>
      <c r="C626" s="217">
        <f>BR85</f>
        <v>323757</v>
      </c>
      <c r="D626" s="217">
        <f>(D615/D612)*BR90</f>
        <v>-23462.879826492721</v>
      </c>
      <c r="E626" s="219">
        <f>(E623/E612)*SUM(C626:D626)</f>
        <v>12530.253263073673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556</v>
      </c>
    </row>
    <row r="627" spans="1:14" s="202" customFormat="1" ht="12.65" customHeight="1" x14ac:dyDescent="0.3">
      <c r="A627" s="212">
        <v>8620</v>
      </c>
      <c r="B627" s="211" t="s">
        <v>557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558</v>
      </c>
    </row>
    <row r="628" spans="1:14" s="202" customFormat="1" ht="12.65" customHeight="1" x14ac:dyDescent="0.3">
      <c r="A628" s="212">
        <v>8330</v>
      </c>
      <c r="B628" s="216" t="s">
        <v>159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312824.37343658094</v>
      </c>
      <c r="I628" s="217"/>
      <c r="J628" s="217"/>
      <c r="N628" s="213" t="s">
        <v>559</v>
      </c>
    </row>
    <row r="629" spans="1:14" s="202" customFormat="1" ht="12.65" customHeight="1" x14ac:dyDescent="0.3">
      <c r="A629" s="212">
        <v>8460</v>
      </c>
      <c r="B629" s="216" t="s">
        <v>164</v>
      </c>
      <c r="C629" s="217">
        <f>BF85</f>
        <v>314842</v>
      </c>
      <c r="D629" s="217">
        <f>(D615/D612)*BF90</f>
        <v>-42511.950576714531</v>
      </c>
      <c r="E629" s="219">
        <f>(E623/E612)*SUM(C629:D629)</f>
        <v>11363.407610004166</v>
      </c>
      <c r="F629" s="219">
        <f>(F624/F612)*BF64</f>
        <v>0</v>
      </c>
      <c r="G629" s="217">
        <f>(G625/G612)*BF91</f>
        <v>0</v>
      </c>
      <c r="H629" s="219">
        <f>(H628/H612)*BF60</f>
        <v>15020.322117264173</v>
      </c>
      <c r="I629" s="217">
        <f>SUM(C629:H629)</f>
        <v>298713.7791505538</v>
      </c>
      <c r="J629" s="217"/>
      <c r="N629" s="213" t="s">
        <v>560</v>
      </c>
    </row>
    <row r="630" spans="1:14" s="202" customFormat="1" ht="12.65" customHeight="1" x14ac:dyDescent="0.3">
      <c r="A630" s="212">
        <v>8350</v>
      </c>
      <c r="B630" s="216" t="s">
        <v>561</v>
      </c>
      <c r="C630" s="217">
        <f>BA85</f>
        <v>119669</v>
      </c>
      <c r="D630" s="217">
        <f>(D615/D612)*BA90</f>
        <v>0</v>
      </c>
      <c r="E630" s="219">
        <f>(E623/E612)*SUM(C630:D630)</f>
        <v>4993.3807457581115</v>
      </c>
      <c r="F630" s="219">
        <f>(F624/F612)*BA64</f>
        <v>0</v>
      </c>
      <c r="G630" s="217">
        <f>(G625/G612)*BA91</f>
        <v>0</v>
      </c>
      <c r="H630" s="219">
        <f>(H628/H612)*BA60</f>
        <v>2998.4070516572551</v>
      </c>
      <c r="I630" s="217">
        <f>(I629/I612)*BA92</f>
        <v>0</v>
      </c>
      <c r="J630" s="217">
        <f>SUM(C630:I630)</f>
        <v>127660.78779741537</v>
      </c>
      <c r="N630" s="213" t="s">
        <v>562</v>
      </c>
    </row>
    <row r="631" spans="1:14" s="202" customFormat="1" ht="12.65" customHeight="1" x14ac:dyDescent="0.3">
      <c r="A631" s="212">
        <v>8200</v>
      </c>
      <c r="B631" s="216" t="s">
        <v>563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564</v>
      </c>
    </row>
    <row r="632" spans="1:14" s="202" customFormat="1" ht="12.65" customHeight="1" x14ac:dyDescent="0.3">
      <c r="A632" s="212">
        <v>8360</v>
      </c>
      <c r="B632" s="216" t="s">
        <v>565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566</v>
      </c>
    </row>
    <row r="633" spans="1:14" s="202" customFormat="1" ht="12.65" customHeight="1" x14ac:dyDescent="0.3">
      <c r="A633" s="212">
        <v>8370</v>
      </c>
      <c r="B633" s="216" t="s">
        <v>567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568</v>
      </c>
    </row>
    <row r="634" spans="1:14" s="202" customFormat="1" ht="12.65" customHeight="1" x14ac:dyDescent="0.3">
      <c r="A634" s="212">
        <v>8490</v>
      </c>
      <c r="B634" s="216" t="s">
        <v>569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570</v>
      </c>
    </row>
    <row r="635" spans="1:14" s="202" customFormat="1" ht="12.65" customHeight="1" x14ac:dyDescent="0.3">
      <c r="A635" s="212">
        <v>8530</v>
      </c>
      <c r="B635" s="216" t="s">
        <v>571</v>
      </c>
      <c r="C635" s="217">
        <f>BK85</f>
        <v>932001</v>
      </c>
      <c r="D635" s="217">
        <f>(D615/D612)*BK90</f>
        <v>0</v>
      </c>
      <c r="E635" s="219">
        <f>(E623/E612)*SUM(C635:D635)</f>
        <v>38889.23487642836</v>
      </c>
      <c r="F635" s="219">
        <f>(F624/F612)*BK64</f>
        <v>0</v>
      </c>
      <c r="G635" s="217">
        <f>(G625/G612)*BK91</f>
        <v>0</v>
      </c>
      <c r="H635" s="219">
        <f>(H628/H612)*BK60</f>
        <v>14200.003206905112</v>
      </c>
      <c r="I635" s="217">
        <f>(I629/I612)*BK92</f>
        <v>0</v>
      </c>
      <c r="J635" s="217">
        <f>(J630/J612)*BK93</f>
        <v>0</v>
      </c>
      <c r="N635" s="213" t="s">
        <v>572</v>
      </c>
    </row>
    <row r="636" spans="1:14" s="202" customFormat="1" ht="12.65" customHeight="1" x14ac:dyDescent="0.3">
      <c r="A636" s="212">
        <v>8480</v>
      </c>
      <c r="B636" s="216" t="s">
        <v>573</v>
      </c>
      <c r="C636" s="217">
        <f>BH85</f>
        <v>1124476</v>
      </c>
      <c r="D636" s="217">
        <f>(D615/D612)*BH90</f>
        <v>0</v>
      </c>
      <c r="E636" s="219">
        <f>(E623/E612)*SUM(C636:D636)</f>
        <v>46920.562614103052</v>
      </c>
      <c r="F636" s="219">
        <f>(F624/F612)*BH64</f>
        <v>0</v>
      </c>
      <c r="G636" s="217">
        <f>(G625/G612)*BH91</f>
        <v>0</v>
      </c>
      <c r="H636" s="219">
        <f>(H628/H612)*BH60</f>
        <v>8203.1891035906028</v>
      </c>
      <c r="I636" s="217">
        <f>(I629/I612)*BH92</f>
        <v>0</v>
      </c>
      <c r="J636" s="217">
        <f>(J630/J612)*BH93</f>
        <v>0</v>
      </c>
      <c r="N636" s="213" t="s">
        <v>574</v>
      </c>
    </row>
    <row r="637" spans="1:14" s="202" customFormat="1" ht="12.65" customHeight="1" x14ac:dyDescent="0.3">
      <c r="A637" s="212">
        <v>8560</v>
      </c>
      <c r="B637" s="216" t="s">
        <v>170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575</v>
      </c>
    </row>
    <row r="638" spans="1:14" s="202" customFormat="1" ht="12.65" customHeight="1" x14ac:dyDescent="0.3">
      <c r="A638" s="212">
        <v>8590</v>
      </c>
      <c r="B638" s="216" t="s">
        <v>576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577</v>
      </c>
    </row>
    <row r="639" spans="1:14" s="202" customFormat="1" ht="12.65" customHeight="1" x14ac:dyDescent="0.3">
      <c r="A639" s="212">
        <v>8660</v>
      </c>
      <c r="B639" s="216" t="s">
        <v>578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579</v>
      </c>
    </row>
    <row r="640" spans="1:14" s="202" customFormat="1" ht="12.65" customHeight="1" x14ac:dyDescent="0.3">
      <c r="A640" s="212">
        <v>8670</v>
      </c>
      <c r="B640" s="216" t="s">
        <v>580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581</v>
      </c>
    </row>
    <row r="641" spans="1:14" s="202" customFormat="1" ht="12.65" customHeight="1" x14ac:dyDescent="0.3">
      <c r="A641" s="212">
        <v>8680</v>
      </c>
      <c r="B641" s="216" t="s">
        <v>582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583</v>
      </c>
    </row>
    <row r="642" spans="1:14" s="202" customFormat="1" ht="12.65" customHeight="1" x14ac:dyDescent="0.3">
      <c r="A642" s="212">
        <v>8690</v>
      </c>
      <c r="B642" s="216" t="s">
        <v>584</v>
      </c>
      <c r="C642" s="217">
        <f>BV85</f>
        <v>359488</v>
      </c>
      <c r="D642" s="217">
        <f>(D615/D612)*BV90</f>
        <v>-44718.85511484999</v>
      </c>
      <c r="E642" s="219">
        <f>(E623/E612)*SUM(C642:D642)</f>
        <v>13134.246859489536</v>
      </c>
      <c r="F642" s="219">
        <f>(F624/F612)*BV64</f>
        <v>0</v>
      </c>
      <c r="G642" s="217">
        <f>(G625/G612)*BV91</f>
        <v>0</v>
      </c>
      <c r="H642" s="219">
        <f>(H628/H612)*BV60</f>
        <v>8457.7708343916911</v>
      </c>
      <c r="I642" s="217">
        <f>(I629/I612)*BV92</f>
        <v>8857.4227466993525</v>
      </c>
      <c r="J642" s="217">
        <f>(J630/J612)*BV93</f>
        <v>0</v>
      </c>
      <c r="N642" s="213" t="s">
        <v>585</v>
      </c>
    </row>
    <row r="643" spans="1:14" s="202" customFormat="1" ht="12.65" customHeight="1" x14ac:dyDescent="0.3">
      <c r="A643" s="212">
        <v>8700</v>
      </c>
      <c r="B643" s="216" t="s">
        <v>586</v>
      </c>
      <c r="C643" s="217">
        <f>BW85</f>
        <v>2457600</v>
      </c>
      <c r="D643" s="217">
        <f>(D615/D612)*BW90</f>
        <v>0</v>
      </c>
      <c r="E643" s="219">
        <f>(E623/E612)*SUM(C643:D643)</f>
        <v>102547.29730151613</v>
      </c>
      <c r="F643" s="219">
        <f>(F624/F612)*BW64</f>
        <v>0</v>
      </c>
      <c r="G643" s="217">
        <f>(G625/G612)*BW91</f>
        <v>0</v>
      </c>
      <c r="H643" s="219">
        <f>(H628/H612)*BW60</f>
        <v>19857.375002484838</v>
      </c>
      <c r="I643" s="217">
        <f>(I629/I612)*BW92</f>
        <v>0</v>
      </c>
      <c r="J643" s="217">
        <f>(J630/J612)*BW93</f>
        <v>0</v>
      </c>
      <c r="N643" s="213" t="s">
        <v>587</v>
      </c>
    </row>
    <row r="644" spans="1:14" s="202" customFormat="1" ht="12.65" customHeight="1" x14ac:dyDescent="0.3">
      <c r="A644" s="212">
        <v>8710</v>
      </c>
      <c r="B644" s="216" t="s">
        <v>588</v>
      </c>
      <c r="C644" s="217">
        <f>BX85</f>
        <v>38618</v>
      </c>
      <c r="D644" s="217">
        <f>(D615/D612)*BX90</f>
        <v>0</v>
      </c>
      <c r="E644" s="219">
        <f>(E623/E612)*SUM(C644:D644)</f>
        <v>1611.3979195922648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5130142.645350351</v>
      </c>
      <c r="L644" s="219"/>
      <c r="N644" s="213" t="s">
        <v>589</v>
      </c>
    </row>
    <row r="645" spans="1:14" s="202" customFormat="1" ht="12.65" customHeight="1" x14ac:dyDescent="0.3">
      <c r="A645" s="212">
        <v>8720</v>
      </c>
      <c r="B645" s="216" t="s">
        <v>590</v>
      </c>
      <c r="C645" s="217">
        <f>BY85</f>
        <v>320695</v>
      </c>
      <c r="D645" s="217">
        <f>(D615/D612)*BY90</f>
        <v>-17713.312740297722</v>
      </c>
      <c r="E645" s="219">
        <f>(E623/E612)*SUM(C645:D645)</f>
        <v>12642.396305475128</v>
      </c>
      <c r="F645" s="219">
        <f>(F624/F612)*BY64</f>
        <v>0</v>
      </c>
      <c r="G645" s="217">
        <f>(G625/G612)*BY91</f>
        <v>0</v>
      </c>
      <c r="H645" s="219">
        <f>(H628/H612)*BY60</f>
        <v>3733.8653850826195</v>
      </c>
      <c r="I645" s="217">
        <f>(I629/I612)*BY92</f>
        <v>3503.7273523336044</v>
      </c>
      <c r="J645" s="217">
        <f>(J630/J612)*BY93</f>
        <v>0</v>
      </c>
      <c r="K645" s="219">
        <v>0</v>
      </c>
      <c r="L645" s="219"/>
      <c r="N645" s="213" t="s">
        <v>591</v>
      </c>
    </row>
    <row r="646" spans="1:14" s="202" customFormat="1" ht="12.65" customHeight="1" x14ac:dyDescent="0.3">
      <c r="A646" s="212">
        <v>8730</v>
      </c>
      <c r="B646" s="216" t="s">
        <v>592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593</v>
      </c>
    </row>
    <row r="647" spans="1:14" s="202" customFormat="1" ht="12.65" customHeight="1" x14ac:dyDescent="0.3">
      <c r="A647" s="212">
        <v>8740</v>
      </c>
      <c r="B647" s="216" t="s">
        <v>594</v>
      </c>
      <c r="C647" s="217">
        <f>CA85</f>
        <v>27539</v>
      </c>
      <c r="D647" s="217">
        <f>(D615/D612)*CA90</f>
        <v>0</v>
      </c>
      <c r="E647" s="219">
        <f>(E623/E612)*SUM(C647:D647)</f>
        <v>1149.1088950140188</v>
      </c>
      <c r="F647" s="219">
        <f>(F624/F612)*CA64</f>
        <v>0</v>
      </c>
      <c r="G647" s="217">
        <f>(G625/G612)*CA91</f>
        <v>0</v>
      </c>
      <c r="H647" s="219">
        <f>(H628/H612)*CA60</f>
        <v>565.73717955797269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352115.52237716567</v>
      </c>
      <c r="N647" s="213" t="s">
        <v>595</v>
      </c>
    </row>
    <row r="648" spans="1:14" s="202" customFormat="1" ht="12.65" customHeight="1" x14ac:dyDescent="0.3">
      <c r="A648" s="212"/>
      <c r="B648" s="212"/>
      <c r="C648" s="202">
        <f>SUM(C614:C647)</f>
        <v>5616487</v>
      </c>
      <c r="L648" s="215"/>
    </row>
    <row r="666" spans="1:14" s="202" customFormat="1" ht="12.65" customHeight="1" x14ac:dyDescent="0.3">
      <c r="C666" s="210" t="s">
        <v>596</v>
      </c>
      <c r="M666" s="210" t="s">
        <v>597</v>
      </c>
    </row>
    <row r="667" spans="1:14" s="202" customFormat="1" ht="12.65" customHeight="1" x14ac:dyDescent="0.3">
      <c r="C667" s="210" t="s">
        <v>526</v>
      </c>
      <c r="D667" s="210" t="s">
        <v>527</v>
      </c>
      <c r="E667" s="211" t="s">
        <v>528</v>
      </c>
      <c r="F667" s="210" t="s">
        <v>529</v>
      </c>
      <c r="G667" s="210" t="s">
        <v>530</v>
      </c>
      <c r="H667" s="210" t="s">
        <v>531</v>
      </c>
      <c r="I667" s="210" t="s">
        <v>532</v>
      </c>
      <c r="J667" s="210" t="s">
        <v>533</v>
      </c>
      <c r="K667" s="210" t="s">
        <v>534</v>
      </c>
      <c r="L667" s="211" t="s">
        <v>535</v>
      </c>
      <c r="M667" s="210" t="s">
        <v>598</v>
      </c>
    </row>
    <row r="668" spans="1:14" s="202" customFormat="1" ht="12.65" customHeight="1" x14ac:dyDescent="0.3">
      <c r="A668" s="212">
        <v>6010</v>
      </c>
      <c r="B668" s="211" t="s">
        <v>325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599</v>
      </c>
    </row>
    <row r="669" spans="1:14" s="202" customFormat="1" ht="12.65" customHeight="1" x14ac:dyDescent="0.3">
      <c r="A669" s="212">
        <v>6030</v>
      </c>
      <c r="B669" s="211" t="s">
        <v>326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600</v>
      </c>
    </row>
    <row r="670" spans="1:14" s="202" customFormat="1" ht="12.65" customHeight="1" x14ac:dyDescent="0.3">
      <c r="A670" s="212">
        <v>6070</v>
      </c>
      <c r="B670" s="211" t="s">
        <v>601</v>
      </c>
      <c r="C670" s="217">
        <f>E85</f>
        <v>300887</v>
      </c>
      <c r="D670" s="217">
        <f>(D615/D612)*E90</f>
        <v>-30373.975616969536</v>
      </c>
      <c r="E670" s="219">
        <f>(E623/E612)*SUM(C670:D670)</f>
        <v>11287.589329158085</v>
      </c>
      <c r="F670" s="219">
        <f>(F624/F612)*E64</f>
        <v>0</v>
      </c>
      <c r="G670" s="217">
        <f>(G625/G612)*E91</f>
        <v>19333.582799366734</v>
      </c>
      <c r="H670" s="219">
        <f>(H628/H612)*E60</f>
        <v>7439.4439111873398</v>
      </c>
      <c r="I670" s="217">
        <f>(I629/I612)*E92</f>
        <v>6026.4110460137999</v>
      </c>
      <c r="J670" s="217">
        <f>(J630/J612)*E93</f>
        <v>6014.9104195056116</v>
      </c>
      <c r="K670" s="217">
        <f>(K644/K612)*E89</f>
        <v>210483.12621240498</v>
      </c>
      <c r="L670" s="217">
        <f>(L647/L612)*E94</f>
        <v>24204.490952742955</v>
      </c>
      <c r="M670" s="202">
        <f t="shared" si="24"/>
        <v>254416</v>
      </c>
      <c r="N670" s="211" t="s">
        <v>602</v>
      </c>
    </row>
    <row r="671" spans="1:14" s="202" customFormat="1" ht="12.65" customHeight="1" x14ac:dyDescent="0.3">
      <c r="A671" s="212">
        <v>6100</v>
      </c>
      <c r="B671" s="211" t="s">
        <v>603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604</v>
      </c>
    </row>
    <row r="672" spans="1:14" s="202" customFormat="1" ht="12.65" customHeight="1" x14ac:dyDescent="0.3">
      <c r="A672" s="212">
        <v>6120</v>
      </c>
      <c r="B672" s="211" t="s">
        <v>605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606</v>
      </c>
    </row>
    <row r="673" spans="1:14" s="202" customFormat="1" ht="12.65" customHeight="1" x14ac:dyDescent="0.3">
      <c r="A673" s="212">
        <v>6140</v>
      </c>
      <c r="B673" s="211" t="s">
        <v>607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608</v>
      </c>
    </row>
    <row r="674" spans="1:14" s="202" customFormat="1" ht="12.65" customHeight="1" x14ac:dyDescent="0.3">
      <c r="A674" s="212">
        <v>6150</v>
      </c>
      <c r="B674" s="211" t="s">
        <v>609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610</v>
      </c>
    </row>
    <row r="675" spans="1:14" s="202" customFormat="1" ht="12.65" customHeight="1" x14ac:dyDescent="0.3">
      <c r="A675" s="212">
        <v>6170</v>
      </c>
      <c r="B675" s="211" t="s">
        <v>121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611</v>
      </c>
    </row>
    <row r="676" spans="1:14" s="202" customFormat="1" ht="12.65" customHeight="1" x14ac:dyDescent="0.3">
      <c r="A676" s="212">
        <v>6200</v>
      </c>
      <c r="B676" s="211" t="s">
        <v>331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612</v>
      </c>
    </row>
    <row r="677" spans="1:14" s="202" customFormat="1" ht="12.65" customHeight="1" x14ac:dyDescent="0.3">
      <c r="A677" s="212">
        <v>6210</v>
      </c>
      <c r="B677" s="211" t="s">
        <v>332</v>
      </c>
      <c r="C677" s="217">
        <f>L85</f>
        <v>3461394</v>
      </c>
      <c r="D677" s="217">
        <f>(D615/D612)*L90</f>
        <v>-347993.99980283261</v>
      </c>
      <c r="E677" s="219">
        <f>(E623/E612)*SUM(C677:D677)</f>
        <v>129911.60296173475</v>
      </c>
      <c r="F677" s="219">
        <f>(F624/F612)*L64</f>
        <v>0</v>
      </c>
      <c r="G677" s="217">
        <f>(G625/G612)*L91</f>
        <v>221331.28275558384</v>
      </c>
      <c r="H677" s="219">
        <f>(H628/H612)*L60</f>
        <v>85143.445523474889</v>
      </c>
      <c r="I677" s="217">
        <f>(I629/I612)*L92</f>
        <v>68841.235018650666</v>
      </c>
      <c r="J677" s="217">
        <f>(J630/J612)*L93</f>
        <v>68835.15745572593</v>
      </c>
      <c r="K677" s="217">
        <f>(K644/K612)*L89</f>
        <v>368448.22256625636</v>
      </c>
      <c r="L677" s="217">
        <f>(L647/L612)*L94</f>
        <v>277017.17782416847</v>
      </c>
      <c r="M677" s="202">
        <f t="shared" si="24"/>
        <v>871534</v>
      </c>
      <c r="N677" s="211" t="s">
        <v>613</v>
      </c>
    </row>
    <row r="678" spans="1:14" s="202" customFormat="1" ht="12.65" customHeight="1" x14ac:dyDescent="0.3">
      <c r="A678" s="212">
        <v>6330</v>
      </c>
      <c r="B678" s="211" t="s">
        <v>614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615</v>
      </c>
    </row>
    <row r="679" spans="1:14" s="202" customFormat="1" ht="12.65" customHeight="1" x14ac:dyDescent="0.3">
      <c r="A679" s="212">
        <v>6400</v>
      </c>
      <c r="B679" s="211" t="s">
        <v>616</v>
      </c>
      <c r="C679" s="217">
        <f>N85</f>
        <v>1699504</v>
      </c>
      <c r="D679" s="217">
        <f>(D615/D612)*N90</f>
        <v>-603239.9325687621</v>
      </c>
      <c r="E679" s="219">
        <f>(E623/E612)*SUM(C679:D679)</f>
        <v>45743.374529557492</v>
      </c>
      <c r="F679" s="219">
        <f>(F624/F612)*N64</f>
        <v>0</v>
      </c>
      <c r="G679" s="217">
        <f>(G625/G612)*N91</f>
        <v>196893.064939273</v>
      </c>
      <c r="H679" s="219">
        <f>(H628/H612)*N60</f>
        <v>43759.770838809185</v>
      </c>
      <c r="I679" s="217">
        <f>(I629/I612)*N92</f>
        <v>119350.96852989191</v>
      </c>
      <c r="J679" s="217">
        <f>(J630/J612)*N93</f>
        <v>0</v>
      </c>
      <c r="K679" s="217">
        <f>(K644/K612)*N89</f>
        <v>43044.839081725426</v>
      </c>
      <c r="L679" s="217">
        <f>(L647/L612)*N94</f>
        <v>0</v>
      </c>
      <c r="M679" s="202">
        <f t="shared" si="24"/>
        <v>-154448</v>
      </c>
      <c r="N679" s="211" t="s">
        <v>617</v>
      </c>
    </row>
    <row r="680" spans="1:14" s="202" customFormat="1" ht="12.65" customHeight="1" x14ac:dyDescent="0.3">
      <c r="A680" s="212">
        <v>7010</v>
      </c>
      <c r="B680" s="211" t="s">
        <v>618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619</v>
      </c>
    </row>
    <row r="681" spans="1:14" s="202" customFormat="1" ht="12.65" customHeight="1" x14ac:dyDescent="0.3">
      <c r="A681" s="212">
        <v>7020</v>
      </c>
      <c r="B681" s="211" t="s">
        <v>620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24"/>
        <v>0</v>
      </c>
      <c r="N681" s="211" t="s">
        <v>621</v>
      </c>
    </row>
    <row r="682" spans="1:14" s="202" customFormat="1" ht="12.65" customHeight="1" x14ac:dyDescent="0.3">
      <c r="A682" s="212">
        <v>7030</v>
      </c>
      <c r="B682" s="211" t="s">
        <v>622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4"/>
        <v>0</v>
      </c>
      <c r="N682" s="211" t="s">
        <v>623</v>
      </c>
    </row>
    <row r="683" spans="1:14" s="202" customFormat="1" ht="12.65" customHeight="1" x14ac:dyDescent="0.3">
      <c r="A683" s="212">
        <v>7040</v>
      </c>
      <c r="B683" s="211" t="s">
        <v>129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24"/>
        <v>0</v>
      </c>
      <c r="N683" s="211" t="s">
        <v>624</v>
      </c>
    </row>
    <row r="684" spans="1:14" s="202" customFormat="1" ht="12.65" customHeight="1" x14ac:dyDescent="0.3">
      <c r="A684" s="212">
        <v>7050</v>
      </c>
      <c r="B684" s="211" t="s">
        <v>625</v>
      </c>
      <c r="C684" s="217">
        <f>S85</f>
        <v>190871</v>
      </c>
      <c r="D684" s="217">
        <f>(D615/D612)*S90</f>
        <v>-46809.606782557261</v>
      </c>
      <c r="E684" s="219">
        <f>(E623/E612)*SUM(C684:D684)</f>
        <v>6011.1924316160967</v>
      </c>
      <c r="F684" s="219">
        <f>(F624/F612)*S64</f>
        <v>0</v>
      </c>
      <c r="G684" s="217">
        <f>(G625/G612)*S91</f>
        <v>0</v>
      </c>
      <c r="H684" s="219">
        <f>(H628/H612)*S60</f>
        <v>5431.0769237565373</v>
      </c>
      <c r="I684" s="217">
        <f>(I629/I612)*S92</f>
        <v>9249.8402101607153</v>
      </c>
      <c r="J684" s="217">
        <f>(J630/J612)*S93</f>
        <v>0</v>
      </c>
      <c r="K684" s="217">
        <f>(K644/K612)*S89</f>
        <v>57940.284921895196</v>
      </c>
      <c r="L684" s="217">
        <f>(L647/L612)*S94</f>
        <v>17670.198718352272</v>
      </c>
      <c r="M684" s="202">
        <f t="shared" si="24"/>
        <v>49493</v>
      </c>
      <c r="N684" s="211" t="s">
        <v>626</v>
      </c>
    </row>
    <row r="685" spans="1:14" s="202" customFormat="1" ht="12.65" customHeight="1" x14ac:dyDescent="0.3">
      <c r="A685" s="212">
        <v>7060</v>
      </c>
      <c r="B685" s="211" t="s">
        <v>627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628</v>
      </c>
    </row>
    <row r="686" spans="1:14" s="202" customFormat="1" ht="12.65" customHeight="1" x14ac:dyDescent="0.3">
      <c r="A686" s="212">
        <v>7070</v>
      </c>
      <c r="B686" s="211" t="s">
        <v>132</v>
      </c>
      <c r="C686" s="217">
        <f>U85</f>
        <v>1280154</v>
      </c>
      <c r="D686" s="217">
        <f>(D615/D612)*U90</f>
        <v>-54127.237619532709</v>
      </c>
      <c r="E686" s="219">
        <f>(E623/E612)*SUM(C686:D686)</f>
        <v>51157.930868101015</v>
      </c>
      <c r="F686" s="219">
        <f>(F624/F612)*U64</f>
        <v>0</v>
      </c>
      <c r="G686" s="217">
        <f>(G625/G612)*U91</f>
        <v>0</v>
      </c>
      <c r="H686" s="219">
        <f>(H628/H612)*U60</f>
        <v>20338.251605109119</v>
      </c>
      <c r="I686" s="217">
        <f>(I629/I612)*U92</f>
        <v>10707.390788731496</v>
      </c>
      <c r="J686" s="217">
        <f>(J630/J612)*U93</f>
        <v>0</v>
      </c>
      <c r="K686" s="217">
        <f>(K644/K612)*U89</f>
        <v>824887.68612776254</v>
      </c>
      <c r="L686" s="217">
        <f>(L647/L612)*U94</f>
        <v>0</v>
      </c>
      <c r="M686" s="202">
        <f t="shared" si="24"/>
        <v>852964</v>
      </c>
      <c r="N686" s="211" t="s">
        <v>629</v>
      </c>
    </row>
    <row r="687" spans="1:14" s="202" customFormat="1" ht="12.65" customHeight="1" x14ac:dyDescent="0.3">
      <c r="A687" s="212">
        <v>7110</v>
      </c>
      <c r="B687" s="211" t="s">
        <v>630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631</v>
      </c>
    </row>
    <row r="688" spans="1:14" s="202" customFormat="1" ht="12.65" customHeight="1" x14ac:dyDescent="0.3">
      <c r="A688" s="212">
        <v>7120</v>
      </c>
      <c r="B688" s="211" t="s">
        <v>632</v>
      </c>
      <c r="C688" s="217">
        <f>W85</f>
        <v>141068</v>
      </c>
      <c r="D688" s="217">
        <f>(D615/D612)*W90</f>
        <v>-3310.3568072031808</v>
      </c>
      <c r="E688" s="219">
        <f>(E623/E612)*SUM(C688:D688)</f>
        <v>5748.1583626497049</v>
      </c>
      <c r="F688" s="219">
        <f>(F624/F612)*W64</f>
        <v>0</v>
      </c>
      <c r="G688" s="217">
        <f>(G625/G612)*W91</f>
        <v>0</v>
      </c>
      <c r="H688" s="219">
        <f>(H628/H612)*W60</f>
        <v>961.75320524855363</v>
      </c>
      <c r="I688" s="217">
        <f>(I629/I612)*W92</f>
        <v>644.68583282938323</v>
      </c>
      <c r="J688" s="217">
        <f>(J630/J612)*W93</f>
        <v>858.92727229464685</v>
      </c>
      <c r="K688" s="217">
        <f>(K644/K612)*W89</f>
        <v>74989.577451560646</v>
      </c>
      <c r="L688" s="217">
        <f>(L647/L612)*W94</f>
        <v>0</v>
      </c>
      <c r="M688" s="202">
        <f t="shared" si="24"/>
        <v>79893</v>
      </c>
      <c r="N688" s="211" t="s">
        <v>633</v>
      </c>
    </row>
    <row r="689" spans="1:14" s="202" customFormat="1" ht="12.65" customHeight="1" x14ac:dyDescent="0.3">
      <c r="A689" s="212">
        <v>7130</v>
      </c>
      <c r="B689" s="211" t="s">
        <v>634</v>
      </c>
      <c r="C689" s="217">
        <f>X85</f>
        <v>214287</v>
      </c>
      <c r="D689" s="217">
        <f>(D615/D612)*X90</f>
        <v>-15099.873155663632</v>
      </c>
      <c r="E689" s="219">
        <f>(E623/E612)*SUM(C689:D689)</f>
        <v>8311.4019836999378</v>
      </c>
      <c r="F689" s="219">
        <f>(F624/F612)*X64</f>
        <v>0</v>
      </c>
      <c r="G689" s="217">
        <f>(G625/G612)*X91</f>
        <v>0</v>
      </c>
      <c r="H689" s="219">
        <f>(H628/H612)*X60</f>
        <v>4412.750000552187</v>
      </c>
      <c r="I689" s="217">
        <f>(I629/I612)*X92</f>
        <v>2971.1607947788966</v>
      </c>
      <c r="J689" s="217">
        <f>(J630/J612)*X93</f>
        <v>3922.0312912383733</v>
      </c>
      <c r="K689" s="217">
        <f>(K644/K612)*X89</f>
        <v>341848.90647349431</v>
      </c>
      <c r="L689" s="217">
        <f>(L647/L612)*X94</f>
        <v>0</v>
      </c>
      <c r="M689" s="202">
        <f t="shared" si="24"/>
        <v>346366</v>
      </c>
      <c r="N689" s="211" t="s">
        <v>635</v>
      </c>
    </row>
    <row r="690" spans="1:14" s="202" customFormat="1" ht="12.65" customHeight="1" x14ac:dyDescent="0.3">
      <c r="A690" s="212">
        <v>7140</v>
      </c>
      <c r="B690" s="211" t="s">
        <v>636</v>
      </c>
      <c r="C690" s="217">
        <f>Y85</f>
        <v>506663</v>
      </c>
      <c r="D690" s="217">
        <f>(D615/D612)*Y90</f>
        <v>-32929.338766389534</v>
      </c>
      <c r="E690" s="219">
        <f>(E623/E612)*SUM(C690:D690)</f>
        <v>19767.295979923005</v>
      </c>
      <c r="F690" s="219">
        <f>(F624/F612)*Y64</f>
        <v>0</v>
      </c>
      <c r="G690" s="217">
        <f>(G625/G612)*Y91</f>
        <v>0</v>
      </c>
      <c r="H690" s="219">
        <f>(H628/H612)*Y60</f>
        <v>9645.8189114634333</v>
      </c>
      <c r="I690" s="217">
        <f>(I629/I612)*Y92</f>
        <v>6530.9477847498392</v>
      </c>
      <c r="J690" s="217">
        <f>(J630/J612)*Y93</f>
        <v>8562.6580750725498</v>
      </c>
      <c r="K690" s="217">
        <f>(K644/K612)*Y89</f>
        <v>746533.99971794058</v>
      </c>
      <c r="L690" s="217">
        <f>(L647/L612)*Y94</f>
        <v>0</v>
      </c>
      <c r="M690" s="202">
        <f t="shared" si="24"/>
        <v>758111</v>
      </c>
      <c r="N690" s="211" t="s">
        <v>637</v>
      </c>
    </row>
    <row r="691" spans="1:14" s="202" customFormat="1" ht="12.65" customHeight="1" x14ac:dyDescent="0.3">
      <c r="A691" s="212">
        <v>7150</v>
      </c>
      <c r="B691" s="211" t="s">
        <v>638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639</v>
      </c>
    </row>
    <row r="692" spans="1:14" s="202" customFormat="1" ht="12.65" customHeight="1" x14ac:dyDescent="0.3">
      <c r="A692" s="212">
        <v>7160</v>
      </c>
      <c r="B692" s="211" t="s">
        <v>640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641</v>
      </c>
    </row>
    <row r="693" spans="1:14" s="202" customFormat="1" ht="12.65" customHeight="1" x14ac:dyDescent="0.3">
      <c r="A693" s="212">
        <v>7170</v>
      </c>
      <c r="B693" s="211" t="s">
        <v>138</v>
      </c>
      <c r="C693" s="217">
        <f>AB85</f>
        <v>2715649</v>
      </c>
      <c r="D693" s="217">
        <f>(D615/D612)*AB90</f>
        <v>-5807.6435214090889</v>
      </c>
      <c r="E693" s="219">
        <f>(E623/E612)*SUM(C693:D693)</f>
        <v>113072.47201446688</v>
      </c>
      <c r="F693" s="219">
        <f>(F624/F612)*AB64</f>
        <v>0</v>
      </c>
      <c r="G693" s="217">
        <f>(G625/G612)*AB91</f>
        <v>0</v>
      </c>
      <c r="H693" s="219">
        <f>(H628/H612)*AB60</f>
        <v>0</v>
      </c>
      <c r="I693" s="217">
        <f>(I629/I612)*AB92</f>
        <v>1149.2225715654222</v>
      </c>
      <c r="J693" s="217">
        <f>(J630/J612)*AB93</f>
        <v>0</v>
      </c>
      <c r="K693" s="217">
        <f>(K644/K612)*AB89</f>
        <v>141386.52621094469</v>
      </c>
      <c r="L693" s="217">
        <f>(L647/L612)*AB94</f>
        <v>0</v>
      </c>
      <c r="M693" s="202">
        <f t="shared" si="24"/>
        <v>249801</v>
      </c>
      <c r="N693" s="211" t="s">
        <v>642</v>
      </c>
    </row>
    <row r="694" spans="1:14" s="202" customFormat="1" ht="12.65" customHeight="1" x14ac:dyDescent="0.3">
      <c r="A694" s="212">
        <v>7180</v>
      </c>
      <c r="B694" s="211" t="s">
        <v>643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24"/>
        <v>0</v>
      </c>
      <c r="N694" s="211" t="s">
        <v>644</v>
      </c>
    </row>
    <row r="695" spans="1:14" s="202" customFormat="1" ht="12.65" customHeight="1" x14ac:dyDescent="0.3">
      <c r="A695" s="212">
        <v>7190</v>
      </c>
      <c r="B695" s="211" t="s">
        <v>140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645</v>
      </c>
    </row>
    <row r="696" spans="1:14" s="202" customFormat="1" ht="12.65" customHeight="1" x14ac:dyDescent="0.3">
      <c r="A696" s="212">
        <v>7200</v>
      </c>
      <c r="B696" s="211" t="s">
        <v>646</v>
      </c>
      <c r="C696" s="217">
        <f>AE85</f>
        <v>786290</v>
      </c>
      <c r="D696" s="217">
        <f>(D615/D612)*AE90</f>
        <v>-109648.3096842036</v>
      </c>
      <c r="E696" s="219">
        <f>(E623/E612)*SUM(C696:D696)</f>
        <v>28233.958570725252</v>
      </c>
      <c r="F696" s="219">
        <f>(F624/F612)*AE64</f>
        <v>0</v>
      </c>
      <c r="G696" s="217">
        <f>(G625/G612)*AE91</f>
        <v>0</v>
      </c>
      <c r="H696" s="219">
        <f>(H628/H612)*AE60</f>
        <v>17594.42628425295</v>
      </c>
      <c r="I696" s="217">
        <f>(I629/I612)*AE92</f>
        <v>21695.07976564968</v>
      </c>
      <c r="J696" s="217">
        <f>(J630/J612)*AE93</f>
        <v>4231.7290119530635</v>
      </c>
      <c r="K696" s="217">
        <f>(K644/K612)*AE89</f>
        <v>284701.26358715357</v>
      </c>
      <c r="L696" s="217">
        <f>(L647/L612)*AE94</f>
        <v>0</v>
      </c>
      <c r="M696" s="202">
        <f t="shared" si="24"/>
        <v>246808</v>
      </c>
      <c r="N696" s="211" t="s">
        <v>647</v>
      </c>
    </row>
    <row r="697" spans="1:14" s="202" customFormat="1" ht="12.65" customHeight="1" x14ac:dyDescent="0.3">
      <c r="A697" s="212">
        <v>7220</v>
      </c>
      <c r="B697" s="211" t="s">
        <v>648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649</v>
      </c>
    </row>
    <row r="698" spans="1:14" s="202" customFormat="1" ht="12.65" customHeight="1" x14ac:dyDescent="0.3">
      <c r="A698" s="212">
        <v>7230</v>
      </c>
      <c r="B698" s="211" t="s">
        <v>650</v>
      </c>
      <c r="C698" s="217">
        <f>AG85</f>
        <v>464235</v>
      </c>
      <c r="D698" s="217">
        <f>(D615/D612)*AG90</f>
        <v>-57902.205908448617</v>
      </c>
      <c r="E698" s="219">
        <f>(E623/E612)*SUM(C698:D698)</f>
        <v>16954.886816024598</v>
      </c>
      <c r="F698" s="219">
        <f>(F624/F612)*AG64</f>
        <v>0</v>
      </c>
      <c r="G698" s="217">
        <f>(G625/G612)*AG91</f>
        <v>0</v>
      </c>
      <c r="H698" s="219">
        <f>(H628/H612)*AG60</f>
        <v>7665.738783010529</v>
      </c>
      <c r="I698" s="217">
        <f>(I629/I612)*AG92</f>
        <v>11464.195896835554</v>
      </c>
      <c r="J698" s="217">
        <f>(J630/J612)*AG93</f>
        <v>31785.148101788101</v>
      </c>
      <c r="K698" s="217">
        <f>(K644/K612)*AG89</f>
        <v>1198785.7846577405</v>
      </c>
      <c r="L698" s="217">
        <f>(L647/L612)*AG94</f>
        <v>24940.749232674301</v>
      </c>
      <c r="M698" s="202">
        <f t="shared" si="24"/>
        <v>1233694</v>
      </c>
      <c r="N698" s="211" t="s">
        <v>651</v>
      </c>
    </row>
    <row r="699" spans="1:14" s="202" customFormat="1" ht="12.65" customHeight="1" x14ac:dyDescent="0.3">
      <c r="A699" s="212">
        <v>7240</v>
      </c>
      <c r="B699" s="211" t="s">
        <v>142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652</v>
      </c>
    </row>
    <row r="700" spans="1:14" s="202" customFormat="1" ht="12.65" customHeight="1" x14ac:dyDescent="0.3">
      <c r="A700" s="212">
        <v>7250</v>
      </c>
      <c r="B700" s="211" t="s">
        <v>653</v>
      </c>
      <c r="C700" s="217">
        <f>AI85</f>
        <v>53234</v>
      </c>
      <c r="D700" s="217">
        <f>(D615/D612)*AI90</f>
        <v>-22010.968946140449</v>
      </c>
      <c r="E700" s="219">
        <f>(E623/E612)*SUM(C700:D700)</f>
        <v>1302.8309928933129</v>
      </c>
      <c r="F700" s="219">
        <f>(F624/F612)*AI64</f>
        <v>0</v>
      </c>
      <c r="G700" s="217">
        <f>(G625/G612)*AI91</f>
        <v>0</v>
      </c>
      <c r="H700" s="219">
        <f>(H628/H612)*AI60</f>
        <v>594.02403853587123</v>
      </c>
      <c r="I700" s="217">
        <f>(I629/I612)*AI92</f>
        <v>4344.6219168936695</v>
      </c>
      <c r="J700" s="217">
        <f>(J630/J612)*AI93</f>
        <v>1749.3082193493794</v>
      </c>
      <c r="K700" s="217">
        <f>(K644/K612)*AI89</f>
        <v>234848.84512865858</v>
      </c>
      <c r="L700" s="217">
        <f>(L647/L612)*AI94</f>
        <v>1932.6779848197798</v>
      </c>
      <c r="M700" s="202">
        <f t="shared" si="24"/>
        <v>222761</v>
      </c>
      <c r="N700" s="211" t="s">
        <v>654</v>
      </c>
    </row>
    <row r="701" spans="1:14" s="202" customFormat="1" ht="12.65" customHeight="1" x14ac:dyDescent="0.3">
      <c r="A701" s="212">
        <v>7260</v>
      </c>
      <c r="B701" s="211" t="s">
        <v>144</v>
      </c>
      <c r="C701" s="217">
        <f>AJ85</f>
        <v>1114638</v>
      </c>
      <c r="D701" s="217">
        <f>(D615/D612)*AJ90</f>
        <v>-110229.07403634451</v>
      </c>
      <c r="E701" s="219">
        <f>(E623/E612)*SUM(C701:D701)</f>
        <v>41910.5715914272</v>
      </c>
      <c r="F701" s="219">
        <f>(F624/F612)*AJ64</f>
        <v>0</v>
      </c>
      <c r="G701" s="217">
        <f>(G625/G612)*AJ91</f>
        <v>0</v>
      </c>
      <c r="H701" s="219">
        <f>(H628/H612)*AJ60</f>
        <v>34679.689106903723</v>
      </c>
      <c r="I701" s="217">
        <f>(I629/I612)*AJ92</f>
        <v>21807.199040924355</v>
      </c>
      <c r="J701" s="217">
        <f>(J630/J612)*AJ93</f>
        <v>120.97567215417561</v>
      </c>
      <c r="K701" s="217">
        <f>(K644/K612)*AJ89</f>
        <v>480043.07904332969</v>
      </c>
      <c r="L701" s="217">
        <f>(L647/L612)*AJ94</f>
        <v>0</v>
      </c>
      <c r="M701" s="202">
        <f t="shared" si="24"/>
        <v>468332</v>
      </c>
      <c r="N701" s="211" t="s">
        <v>655</v>
      </c>
    </row>
    <row r="702" spans="1:14" s="202" customFormat="1" ht="12.65" customHeight="1" x14ac:dyDescent="0.3">
      <c r="A702" s="212">
        <v>7310</v>
      </c>
      <c r="B702" s="211" t="s">
        <v>656</v>
      </c>
      <c r="C702" s="217">
        <f>AK85</f>
        <v>69155</v>
      </c>
      <c r="D702" s="217">
        <f>(D615/D612)*AK90</f>
        <v>0</v>
      </c>
      <c r="E702" s="219">
        <f>(E623/E612)*SUM(C702:D702)</f>
        <v>2885.6031676783641</v>
      </c>
      <c r="F702" s="219">
        <f>(F624/F612)*AK64</f>
        <v>0</v>
      </c>
      <c r="G702" s="217">
        <f>(G625/G612)*AK91</f>
        <v>0</v>
      </c>
      <c r="H702" s="219">
        <f>(H628/H612)*AK60</f>
        <v>169.72115386739179</v>
      </c>
      <c r="I702" s="217">
        <f>(I629/I612)*AK92</f>
        <v>0</v>
      </c>
      <c r="J702" s="217">
        <f>(J630/J612)*AK93</f>
        <v>0</v>
      </c>
      <c r="K702" s="217">
        <f>(K644/K612)*AK89</f>
        <v>43426.474339089327</v>
      </c>
      <c r="L702" s="217">
        <f>(L647/L612)*AK94</f>
        <v>0</v>
      </c>
      <c r="M702" s="202">
        <f t="shared" si="24"/>
        <v>46482</v>
      </c>
      <c r="N702" s="211" t="s">
        <v>657</v>
      </c>
    </row>
    <row r="703" spans="1:14" s="202" customFormat="1" ht="12.65" customHeight="1" x14ac:dyDescent="0.3">
      <c r="A703" s="212">
        <v>7320</v>
      </c>
      <c r="B703" s="211" t="s">
        <v>658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659</v>
      </c>
    </row>
    <row r="704" spans="1:14" s="202" customFormat="1" ht="12.65" customHeight="1" x14ac:dyDescent="0.3">
      <c r="A704" s="212">
        <v>7330</v>
      </c>
      <c r="B704" s="211" t="s">
        <v>660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661</v>
      </c>
    </row>
    <row r="705" spans="1:14" s="202" customFormat="1" ht="12.65" customHeight="1" x14ac:dyDescent="0.3">
      <c r="A705" s="212">
        <v>7340</v>
      </c>
      <c r="B705" s="211" t="s">
        <v>662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663</v>
      </c>
    </row>
    <row r="706" spans="1:14" s="202" customFormat="1" ht="12.65" customHeight="1" x14ac:dyDescent="0.3">
      <c r="A706" s="212">
        <v>7350</v>
      </c>
      <c r="B706" s="211" t="s">
        <v>664</v>
      </c>
      <c r="C706" s="217">
        <f>AO85</f>
        <v>79459</v>
      </c>
      <c r="D706" s="217">
        <f>(D615/D612)*AO90</f>
        <v>-8014.5480595445433</v>
      </c>
      <c r="E706" s="219">
        <f>(E623/E612)*SUM(C706:D706)</f>
        <v>2981.1342178067084</v>
      </c>
      <c r="F706" s="219">
        <f>(F624/F612)*AO64</f>
        <v>0</v>
      </c>
      <c r="G706" s="217">
        <f>(G625/G612)*AO91</f>
        <v>5086.8488322160865</v>
      </c>
      <c r="H706" s="219">
        <f>(H628/H612)*AO60</f>
        <v>1951.7932694750054</v>
      </c>
      <c r="I706" s="217">
        <f>(I629/I612)*AO92</f>
        <v>1569.6698538454548</v>
      </c>
      <c r="J706" s="217">
        <f>(J630/J612)*AO93</f>
        <v>1579.9422783335335</v>
      </c>
      <c r="K706" s="217">
        <f>(K644/K612)*AO89</f>
        <v>78774.029830394546</v>
      </c>
      <c r="L706" s="217">
        <f>(L647/L612)*AO94</f>
        <v>6350.2276644078474</v>
      </c>
      <c r="M706" s="202">
        <f t="shared" si="24"/>
        <v>90279</v>
      </c>
      <c r="N706" s="211" t="s">
        <v>665</v>
      </c>
    </row>
    <row r="707" spans="1:14" s="202" customFormat="1" ht="12.65" customHeight="1" x14ac:dyDescent="0.3">
      <c r="A707" s="212">
        <v>7380</v>
      </c>
      <c r="B707" s="211" t="s">
        <v>666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667</v>
      </c>
    </row>
    <row r="708" spans="1:14" s="202" customFormat="1" ht="12.65" customHeight="1" x14ac:dyDescent="0.3">
      <c r="A708" s="212">
        <v>7390</v>
      </c>
      <c r="B708" s="211" t="s">
        <v>668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669</v>
      </c>
    </row>
    <row r="709" spans="1:14" s="202" customFormat="1" ht="12.65" customHeight="1" x14ac:dyDescent="0.3">
      <c r="A709" s="212">
        <v>7400</v>
      </c>
      <c r="B709" s="211" t="s">
        <v>670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671</v>
      </c>
    </row>
    <row r="710" spans="1:14" s="202" customFormat="1" ht="12.65" customHeight="1" x14ac:dyDescent="0.3">
      <c r="A710" s="212">
        <v>7410</v>
      </c>
      <c r="B710" s="211" t="s">
        <v>152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672</v>
      </c>
    </row>
    <row r="711" spans="1:14" s="202" customFormat="1" ht="12.65" customHeight="1" x14ac:dyDescent="0.3">
      <c r="A711" s="212">
        <v>7420</v>
      </c>
      <c r="B711" s="211" t="s">
        <v>673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674</v>
      </c>
    </row>
    <row r="712" spans="1:14" s="202" customFormat="1" ht="12.65" customHeight="1" x14ac:dyDescent="0.3">
      <c r="A712" s="212">
        <v>7430</v>
      </c>
      <c r="B712" s="211" t="s">
        <v>675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676</v>
      </c>
    </row>
    <row r="713" spans="1:14" s="202" customFormat="1" ht="12.65" customHeight="1" x14ac:dyDescent="0.3">
      <c r="A713" s="212">
        <v>7490</v>
      </c>
      <c r="B713" s="211" t="s">
        <v>677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0</v>
      </c>
      <c r="N713" s="213" t="s">
        <v>678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18693975</v>
      </c>
      <c r="D715" s="202">
        <f>SUM(D616:D647)+SUM(D668:D713)</f>
        <v>-1767324</v>
      </c>
      <c r="E715" s="202">
        <f>SUM(E624:E647)+SUM(E668:E713)</f>
        <v>748791.53011731466</v>
      </c>
      <c r="F715" s="202">
        <f>SUM(F625:F648)+SUM(F668:F713)</f>
        <v>0</v>
      </c>
      <c r="G715" s="202">
        <f>SUM(G626:G647)+SUM(G668:G713)</f>
        <v>442644.77932643972</v>
      </c>
      <c r="H715" s="202">
        <f>SUM(H629:H647)+SUM(H668:H713)</f>
        <v>312824.37343658099</v>
      </c>
      <c r="I715" s="202">
        <f>SUM(I630:I647)+SUM(I668:I713)</f>
        <v>298713.77915055386</v>
      </c>
      <c r="J715" s="202">
        <f>SUM(J631:J647)+SUM(J668:J713)</f>
        <v>127660.78779741537</v>
      </c>
      <c r="K715" s="202">
        <f>SUM(K668:K713)</f>
        <v>5130142.6453503501</v>
      </c>
      <c r="L715" s="202">
        <f>SUM(L668:L713)</f>
        <v>352115.52237716567</v>
      </c>
      <c r="M715" s="202">
        <f>SUM(M668:M713)</f>
        <v>5616486</v>
      </c>
      <c r="N715" s="211" t="s">
        <v>679</v>
      </c>
    </row>
    <row r="716" spans="1:14" s="202" customFormat="1" ht="12.65" customHeight="1" x14ac:dyDescent="0.3">
      <c r="C716" s="214">
        <f>CE85</f>
        <v>18693975</v>
      </c>
      <c r="D716" s="202">
        <f>D615</f>
        <v>-1767324</v>
      </c>
      <c r="E716" s="202">
        <f>E623</f>
        <v>748791.53011731454</v>
      </c>
      <c r="F716" s="202">
        <f>F624</f>
        <v>0</v>
      </c>
      <c r="G716" s="202">
        <f>G625</f>
        <v>442644.77932643966</v>
      </c>
      <c r="H716" s="202">
        <f>H628</f>
        <v>312824.37343658094</v>
      </c>
      <c r="I716" s="202">
        <f>I629</f>
        <v>298713.7791505538</v>
      </c>
      <c r="J716" s="202">
        <f>J630</f>
        <v>127660.78779741537</v>
      </c>
      <c r="K716" s="202">
        <f>K644</f>
        <v>5130142.645350351</v>
      </c>
      <c r="L716" s="202">
        <f>L647</f>
        <v>352115.52237716567</v>
      </c>
      <c r="M716" s="202">
        <f>C648</f>
        <v>5616487</v>
      </c>
      <c r="N716" s="211" t="s">
        <v>680</v>
      </c>
    </row>
  </sheetData>
  <sheetProtection algorithmName="SHA-512" hashValue="yDIKZtz/GRUnLuOjwXm5Ttz+OnhLuR2AkAXkz4YBjrixWsXNMWaaWDjX3jsxQMl5t9WAeU6bAAHz/LGBAyVgzw==" saltValue="Kknyz/tMlTJnoPIzxARQtg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B125" sqref="B125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68" t="s">
        <v>883</v>
      </c>
      <c r="B1" s="169"/>
      <c r="C1" s="169"/>
    </row>
    <row r="2" spans="1:3" ht="20.149999999999999" customHeight="1" x14ac:dyDescent="0.35">
      <c r="A2" s="168"/>
      <c r="B2" s="169"/>
      <c r="C2" s="94" t="s">
        <v>884</v>
      </c>
    </row>
    <row r="3" spans="1:3" ht="20.149999999999999" customHeight="1" x14ac:dyDescent="0.35">
      <c r="A3" s="120" t="str">
        <f>"Hospital: "&amp;data!C98</f>
        <v>Hospital: Ferry County Public Hospital District No. 1</v>
      </c>
      <c r="B3" s="170"/>
      <c r="C3" s="142" t="str">
        <f>"FYE: "&amp;data!C96</f>
        <v>FYE: 12/31/2022</v>
      </c>
    </row>
    <row r="4" spans="1:3" ht="20.149999999999999" customHeight="1" x14ac:dyDescent="0.35">
      <c r="A4" s="171"/>
      <c r="B4" s="172" t="s">
        <v>885</v>
      </c>
      <c r="C4" s="173"/>
    </row>
    <row r="5" spans="1:3" ht="20.149999999999999" customHeight="1" x14ac:dyDescent="0.35">
      <c r="A5" s="174">
        <v>1</v>
      </c>
      <c r="B5" s="175" t="s">
        <v>406</v>
      </c>
      <c r="C5" s="175"/>
    </row>
    <row r="6" spans="1:3" ht="20.149999999999999" customHeight="1" x14ac:dyDescent="0.35">
      <c r="A6" s="174">
        <v>2</v>
      </c>
      <c r="B6" s="176" t="s">
        <v>407</v>
      </c>
      <c r="C6" s="176">
        <f>data!C266</f>
        <v>6463271</v>
      </c>
    </row>
    <row r="7" spans="1:3" ht="20.149999999999999" customHeight="1" x14ac:dyDescent="0.35">
      <c r="A7" s="174">
        <v>3</v>
      </c>
      <c r="B7" s="176" t="s">
        <v>408</v>
      </c>
      <c r="C7" s="176">
        <f>data!C267</f>
        <v>0</v>
      </c>
    </row>
    <row r="8" spans="1:3" ht="20.149999999999999" customHeight="1" x14ac:dyDescent="0.35">
      <c r="A8" s="174">
        <v>4</v>
      </c>
      <c r="B8" s="176" t="s">
        <v>409</v>
      </c>
      <c r="C8" s="176">
        <f>data!C268</f>
        <v>6128272</v>
      </c>
    </row>
    <row r="9" spans="1:3" ht="20.149999999999999" customHeight="1" x14ac:dyDescent="0.35">
      <c r="A9" s="174">
        <v>5</v>
      </c>
      <c r="B9" s="176" t="s">
        <v>886</v>
      </c>
      <c r="C9" s="176">
        <f>data!C269</f>
        <v>2850448</v>
      </c>
    </row>
    <row r="10" spans="1:3" ht="20.149999999999999" customHeight="1" x14ac:dyDescent="0.35">
      <c r="A10" s="174">
        <v>6</v>
      </c>
      <c r="B10" s="176" t="s">
        <v>887</v>
      </c>
      <c r="C10" s="176">
        <f>data!C270</f>
        <v>492775</v>
      </c>
    </row>
    <row r="11" spans="1:3" ht="20.149999999999999" customHeight="1" x14ac:dyDescent="0.35">
      <c r="A11" s="174">
        <v>7</v>
      </c>
      <c r="B11" s="176" t="s">
        <v>888</v>
      </c>
      <c r="C11" s="176">
        <f>data!C271</f>
        <v>432095</v>
      </c>
    </row>
    <row r="12" spans="1:3" ht="20.149999999999999" customHeight="1" x14ac:dyDescent="0.35">
      <c r="A12" s="174">
        <v>8</v>
      </c>
      <c r="B12" s="176" t="s">
        <v>413</v>
      </c>
      <c r="C12" s="176">
        <f>data!C272</f>
        <v>0</v>
      </c>
    </row>
    <row r="13" spans="1:3" ht="20.149999999999999" customHeight="1" x14ac:dyDescent="0.35">
      <c r="A13" s="174">
        <v>9</v>
      </c>
      <c r="B13" s="176" t="s">
        <v>414</v>
      </c>
      <c r="C13" s="176">
        <f>data!C273</f>
        <v>543686</v>
      </c>
    </row>
    <row r="14" spans="1:3" ht="20.149999999999999" customHeight="1" x14ac:dyDescent="0.35">
      <c r="A14" s="174">
        <v>10</v>
      </c>
      <c r="B14" s="176" t="s">
        <v>415</v>
      </c>
      <c r="C14" s="176">
        <f>data!C274</f>
        <v>160192</v>
      </c>
    </row>
    <row r="15" spans="1:3" ht="20.149999999999999" customHeight="1" x14ac:dyDescent="0.35">
      <c r="A15" s="174">
        <v>11</v>
      </c>
      <c r="B15" s="176" t="s">
        <v>889</v>
      </c>
      <c r="C15" s="176">
        <f>data!C275</f>
        <v>0</v>
      </c>
    </row>
    <row r="16" spans="1:3" ht="20.149999999999999" customHeight="1" x14ac:dyDescent="0.35">
      <c r="A16" s="174">
        <v>12</v>
      </c>
      <c r="B16" s="176" t="s">
        <v>890</v>
      </c>
      <c r="C16" s="176">
        <f>data!D276</f>
        <v>11369843</v>
      </c>
    </row>
    <row r="17" spans="1:3" ht="20.149999999999999" customHeight="1" x14ac:dyDescent="0.35">
      <c r="A17" s="174">
        <v>13</v>
      </c>
      <c r="B17" s="176"/>
      <c r="C17" s="176"/>
    </row>
    <row r="18" spans="1:3" ht="20.149999999999999" customHeight="1" x14ac:dyDescent="0.35">
      <c r="A18" s="174">
        <v>14</v>
      </c>
      <c r="B18" s="177" t="s">
        <v>891</v>
      </c>
      <c r="C18" s="175"/>
    </row>
    <row r="19" spans="1:3" ht="20.149999999999999" customHeight="1" x14ac:dyDescent="0.35">
      <c r="A19" s="174">
        <v>15</v>
      </c>
      <c r="B19" s="176" t="s">
        <v>407</v>
      </c>
      <c r="C19" s="176">
        <f>data!C278</f>
        <v>0</v>
      </c>
    </row>
    <row r="20" spans="1:3" ht="20.149999999999999" customHeight="1" x14ac:dyDescent="0.35">
      <c r="A20" s="174">
        <v>16</v>
      </c>
      <c r="B20" s="176" t="s">
        <v>408</v>
      </c>
      <c r="C20" s="176">
        <f>data!C279</f>
        <v>0</v>
      </c>
    </row>
    <row r="21" spans="1:3" ht="20.149999999999999" customHeight="1" x14ac:dyDescent="0.35">
      <c r="A21" s="174">
        <v>17</v>
      </c>
      <c r="B21" s="176" t="s">
        <v>419</v>
      </c>
      <c r="C21" s="176">
        <f>data!C280</f>
        <v>0</v>
      </c>
    </row>
    <row r="22" spans="1:3" ht="20.149999999999999" customHeight="1" x14ac:dyDescent="0.35">
      <c r="A22" s="174">
        <v>18</v>
      </c>
      <c r="B22" s="176" t="s">
        <v>892</v>
      </c>
      <c r="C22" s="176">
        <f>data!D281</f>
        <v>0</v>
      </c>
    </row>
    <row r="23" spans="1:3" ht="20.149999999999999" customHeight="1" x14ac:dyDescent="0.35">
      <c r="A23" s="174">
        <v>19</v>
      </c>
      <c r="B23" s="178"/>
      <c r="C23" s="176"/>
    </row>
    <row r="24" spans="1:3" ht="20.149999999999999" customHeight="1" x14ac:dyDescent="0.35">
      <c r="A24" s="174">
        <v>20</v>
      </c>
      <c r="B24" s="177" t="s">
        <v>893</v>
      </c>
      <c r="C24" s="175"/>
    </row>
    <row r="25" spans="1:3" ht="20.149999999999999" customHeight="1" x14ac:dyDescent="0.35">
      <c r="A25" s="174">
        <v>21</v>
      </c>
      <c r="B25" s="176" t="s">
        <v>376</v>
      </c>
      <c r="C25" s="176">
        <f>data!C283</f>
        <v>47282</v>
      </c>
    </row>
    <row r="26" spans="1:3" ht="20.149999999999999" customHeight="1" x14ac:dyDescent="0.35">
      <c r="A26" s="174">
        <v>22</v>
      </c>
      <c r="B26" s="176" t="s">
        <v>377</v>
      </c>
      <c r="C26" s="176">
        <f>data!C284</f>
        <v>811390</v>
      </c>
    </row>
    <row r="27" spans="1:3" ht="20.149999999999999" customHeight="1" x14ac:dyDescent="0.35">
      <c r="A27" s="174">
        <v>23</v>
      </c>
      <c r="B27" s="176" t="s">
        <v>378</v>
      </c>
      <c r="C27" s="176">
        <f>data!C285</f>
        <v>9217231</v>
      </c>
    </row>
    <row r="28" spans="1:3" ht="20.149999999999999" customHeight="1" x14ac:dyDescent="0.35">
      <c r="A28" s="174">
        <v>24</v>
      </c>
      <c r="B28" s="176" t="s">
        <v>894</v>
      </c>
      <c r="C28" s="176">
        <f>data!C286</f>
        <v>2148208</v>
      </c>
    </row>
    <row r="29" spans="1:3" ht="20.149999999999999" customHeight="1" x14ac:dyDescent="0.35">
      <c r="A29" s="174">
        <v>25</v>
      </c>
      <c r="B29" s="176" t="s">
        <v>380</v>
      </c>
      <c r="C29" s="176">
        <f>data!C287</f>
        <v>0</v>
      </c>
    </row>
    <row r="30" spans="1:3" ht="20.149999999999999" customHeight="1" x14ac:dyDescent="0.35">
      <c r="A30" s="174">
        <v>26</v>
      </c>
      <c r="B30" s="176" t="s">
        <v>424</v>
      </c>
      <c r="C30" s="176">
        <f>data!C288</f>
        <v>5797046</v>
      </c>
    </row>
    <row r="31" spans="1:3" ht="20.149999999999999" customHeight="1" x14ac:dyDescent="0.35">
      <c r="A31" s="174">
        <v>27</v>
      </c>
      <c r="B31" s="176" t="s">
        <v>383</v>
      </c>
      <c r="C31" s="176">
        <f>data!C289</f>
        <v>0</v>
      </c>
    </row>
    <row r="32" spans="1:3" ht="20.149999999999999" customHeight="1" x14ac:dyDescent="0.35">
      <c r="A32" s="174">
        <v>28</v>
      </c>
      <c r="B32" s="176" t="s">
        <v>384</v>
      </c>
      <c r="C32" s="176">
        <f>data!C290</f>
        <v>56478</v>
      </c>
    </row>
    <row r="33" spans="1:3" ht="20.149999999999999" customHeight="1" x14ac:dyDescent="0.35">
      <c r="A33" s="174">
        <v>29</v>
      </c>
      <c r="B33" s="176" t="s">
        <v>597</v>
      </c>
      <c r="C33" s="176">
        <f>data!C291</f>
        <v>0</v>
      </c>
    </row>
    <row r="34" spans="1:3" ht="20.149999999999999" customHeight="1" x14ac:dyDescent="0.35">
      <c r="A34" s="174">
        <v>30</v>
      </c>
      <c r="B34" s="176" t="s">
        <v>895</v>
      </c>
      <c r="C34" s="176">
        <f>data!C292</f>
        <v>11890925</v>
      </c>
    </row>
    <row r="35" spans="1:3" ht="20.149999999999999" customHeight="1" x14ac:dyDescent="0.35">
      <c r="A35" s="174">
        <v>31</v>
      </c>
      <c r="B35" s="176" t="s">
        <v>896</v>
      </c>
      <c r="C35" s="176">
        <f>data!D293</f>
        <v>6186710</v>
      </c>
    </row>
    <row r="36" spans="1:3" ht="20.149999999999999" customHeight="1" x14ac:dyDescent="0.35">
      <c r="A36" s="174">
        <v>32</v>
      </c>
      <c r="B36" s="178"/>
      <c r="C36" s="176"/>
    </row>
    <row r="37" spans="1:3" ht="20.149999999999999" customHeight="1" x14ac:dyDescent="0.35">
      <c r="A37" s="174">
        <v>33</v>
      </c>
      <c r="B37" s="177" t="s">
        <v>897</v>
      </c>
      <c r="C37" s="175"/>
    </row>
    <row r="38" spans="1:3" ht="20.149999999999999" customHeight="1" x14ac:dyDescent="0.35">
      <c r="A38" s="174">
        <v>34</v>
      </c>
      <c r="B38" s="176" t="s">
        <v>898</v>
      </c>
      <c r="C38" s="176">
        <f>data!C295</f>
        <v>0</v>
      </c>
    </row>
    <row r="39" spans="1:3" ht="20.149999999999999" customHeight="1" x14ac:dyDescent="0.35">
      <c r="A39" s="174">
        <v>35</v>
      </c>
      <c r="B39" s="176" t="s">
        <v>899</v>
      </c>
      <c r="C39" s="176">
        <f>data!C296</f>
        <v>0</v>
      </c>
    </row>
    <row r="40" spans="1:3" ht="20.149999999999999" customHeight="1" x14ac:dyDescent="0.35">
      <c r="A40" s="174">
        <v>36</v>
      </c>
      <c r="B40" s="176" t="s">
        <v>431</v>
      </c>
      <c r="C40" s="176">
        <f>data!C297</f>
        <v>0</v>
      </c>
    </row>
    <row r="41" spans="1:3" ht="20.149999999999999" customHeight="1" x14ac:dyDescent="0.35">
      <c r="A41" s="174">
        <v>37</v>
      </c>
      <c r="B41" s="176" t="s">
        <v>419</v>
      </c>
      <c r="C41" s="176">
        <f>data!C298</f>
        <v>0</v>
      </c>
    </row>
    <row r="42" spans="1:3" ht="20.149999999999999" customHeight="1" x14ac:dyDescent="0.35">
      <c r="A42" s="174">
        <v>38</v>
      </c>
      <c r="B42" s="176" t="s">
        <v>900</v>
      </c>
      <c r="C42" s="176">
        <f>data!D299</f>
        <v>0</v>
      </c>
    </row>
    <row r="43" spans="1:3" ht="20.149999999999999" customHeight="1" x14ac:dyDescent="0.35">
      <c r="A43" s="174">
        <v>39</v>
      </c>
      <c r="B43" s="178"/>
      <c r="C43" s="176"/>
    </row>
    <row r="44" spans="1:3" ht="20.149999999999999" customHeight="1" x14ac:dyDescent="0.35">
      <c r="A44" s="174">
        <v>40</v>
      </c>
      <c r="B44" s="177" t="s">
        <v>901</v>
      </c>
      <c r="C44" s="175"/>
    </row>
    <row r="45" spans="1:3" ht="20.149999999999999" customHeight="1" x14ac:dyDescent="0.35">
      <c r="A45" s="174">
        <v>41</v>
      </c>
      <c r="B45" s="176" t="s">
        <v>434</v>
      </c>
      <c r="C45" s="176">
        <f>data!C302</f>
        <v>0</v>
      </c>
    </row>
    <row r="46" spans="1:3" ht="20.149999999999999" customHeight="1" x14ac:dyDescent="0.35">
      <c r="A46" s="174">
        <v>42</v>
      </c>
      <c r="B46" s="176" t="s">
        <v>435</v>
      </c>
      <c r="C46" s="176">
        <f>data!C303</f>
        <v>0</v>
      </c>
    </row>
    <row r="47" spans="1:3" ht="20.149999999999999" customHeight="1" x14ac:dyDescent="0.35">
      <c r="A47" s="174">
        <v>43</v>
      </c>
      <c r="B47" s="176" t="s">
        <v>902</v>
      </c>
      <c r="C47" s="176">
        <f>data!C304</f>
        <v>0</v>
      </c>
    </row>
    <row r="48" spans="1:3" ht="20.149999999999999" customHeight="1" x14ac:dyDescent="0.35">
      <c r="A48" s="174">
        <v>44</v>
      </c>
      <c r="B48" s="176" t="s">
        <v>437</v>
      </c>
      <c r="C48" s="176">
        <f>data!C305</f>
        <v>404927</v>
      </c>
    </row>
    <row r="49" spans="1:3" ht="20.149999999999999" customHeight="1" x14ac:dyDescent="0.35">
      <c r="A49" s="174">
        <v>45</v>
      </c>
      <c r="B49" s="176" t="s">
        <v>903</v>
      </c>
      <c r="C49" s="176">
        <f>data!D306</f>
        <v>404927</v>
      </c>
    </row>
    <row r="50" spans="1:3" ht="20.149999999999999" customHeight="1" x14ac:dyDescent="0.35">
      <c r="A50" s="179">
        <v>46</v>
      </c>
      <c r="B50" s="180" t="s">
        <v>904</v>
      </c>
      <c r="C50" s="176">
        <f>data!D308</f>
        <v>17961480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68" t="s">
        <v>905</v>
      </c>
      <c r="B53" s="169"/>
      <c r="C53" s="169"/>
    </row>
    <row r="54" spans="1:3" ht="20.149999999999999" customHeight="1" x14ac:dyDescent="0.35">
      <c r="A54" s="168"/>
      <c r="B54" s="169"/>
      <c r="C54" s="94" t="s">
        <v>906</v>
      </c>
    </row>
    <row r="55" spans="1:3" ht="20.149999999999999" customHeight="1" x14ac:dyDescent="0.35">
      <c r="A55" s="120" t="str">
        <f>"Hospital: "&amp;data!C98</f>
        <v>Hospital: Ferry County Public Hospital District No. 1</v>
      </c>
      <c r="B55" s="170"/>
      <c r="C55" s="142" t="str">
        <f>"FYE: "&amp;data!C96</f>
        <v>FYE: 12/31/2022</v>
      </c>
    </row>
    <row r="56" spans="1:3" ht="20.149999999999999" customHeight="1" x14ac:dyDescent="0.35">
      <c r="A56" s="181"/>
      <c r="B56" s="182" t="s">
        <v>907</v>
      </c>
      <c r="C56" s="173"/>
    </row>
    <row r="57" spans="1:3" ht="20.149999999999999" customHeight="1" x14ac:dyDescent="0.35">
      <c r="A57" s="183">
        <v>1</v>
      </c>
      <c r="B57" s="168" t="s">
        <v>441</v>
      </c>
      <c r="C57" s="184"/>
    </row>
    <row r="58" spans="1:3" ht="20.149999999999999" customHeight="1" x14ac:dyDescent="0.35">
      <c r="A58" s="174">
        <v>2</v>
      </c>
      <c r="B58" s="176" t="s">
        <v>442</v>
      </c>
      <c r="C58" s="176">
        <f>data!C314</f>
        <v>0</v>
      </c>
    </row>
    <row r="59" spans="1:3" ht="20.149999999999999" customHeight="1" x14ac:dyDescent="0.35">
      <c r="A59" s="174">
        <v>3</v>
      </c>
      <c r="B59" s="176" t="s">
        <v>908</v>
      </c>
      <c r="C59" s="176">
        <f>data!C315</f>
        <v>553374</v>
      </c>
    </row>
    <row r="60" spans="1:3" ht="20.149999999999999" customHeight="1" x14ac:dyDescent="0.35">
      <c r="A60" s="174">
        <v>4</v>
      </c>
      <c r="B60" s="176" t="s">
        <v>909</v>
      </c>
      <c r="C60" s="176">
        <f>data!C316</f>
        <v>679554</v>
      </c>
    </row>
    <row r="61" spans="1:3" ht="20.149999999999999" customHeight="1" x14ac:dyDescent="0.35">
      <c r="A61" s="174">
        <v>5</v>
      </c>
      <c r="B61" s="176" t="s">
        <v>445</v>
      </c>
      <c r="C61" s="176">
        <f>data!C317</f>
        <v>1046706</v>
      </c>
    </row>
    <row r="62" spans="1:3" ht="20.149999999999999" customHeight="1" x14ac:dyDescent="0.35">
      <c r="A62" s="174">
        <v>6</v>
      </c>
      <c r="B62" s="176" t="s">
        <v>910</v>
      </c>
      <c r="C62" s="176" t="str">
        <f>data!C318</f>
        <v xml:space="preserve"> </v>
      </c>
    </row>
    <row r="63" spans="1:3" ht="20.149999999999999" customHeight="1" x14ac:dyDescent="0.35">
      <c r="A63" s="174">
        <v>7</v>
      </c>
      <c r="B63" s="176" t="s">
        <v>911</v>
      </c>
      <c r="C63" s="176" t="str">
        <f>data!C319</f>
        <v xml:space="preserve"> </v>
      </c>
    </row>
    <row r="64" spans="1:3" ht="20.149999999999999" customHeight="1" x14ac:dyDescent="0.35">
      <c r="A64" s="174">
        <v>8</v>
      </c>
      <c r="B64" s="176" t="s">
        <v>448</v>
      </c>
      <c r="C64" s="176">
        <f>data!C320</f>
        <v>0</v>
      </c>
    </row>
    <row r="65" spans="1:3" ht="20.149999999999999" customHeight="1" x14ac:dyDescent="0.35">
      <c r="A65" s="174">
        <v>9</v>
      </c>
      <c r="B65" s="176" t="s">
        <v>449</v>
      </c>
      <c r="C65" s="176">
        <f>data!C321</f>
        <v>0</v>
      </c>
    </row>
    <row r="66" spans="1:3" ht="20.149999999999999" customHeight="1" x14ac:dyDescent="0.35">
      <c r="A66" s="174">
        <v>10</v>
      </c>
      <c r="B66" s="176" t="s">
        <v>450</v>
      </c>
      <c r="C66" s="176">
        <f>data!C322</f>
        <v>22865</v>
      </c>
    </row>
    <row r="67" spans="1:3" ht="20.149999999999999" customHeight="1" x14ac:dyDescent="0.35">
      <c r="A67" s="174">
        <v>11</v>
      </c>
      <c r="B67" s="176" t="s">
        <v>912</v>
      </c>
      <c r="C67" s="176">
        <f>data!C323</f>
        <v>621524</v>
      </c>
    </row>
    <row r="68" spans="1:3" ht="20.149999999999999" customHeight="1" x14ac:dyDescent="0.35">
      <c r="A68" s="174">
        <v>12</v>
      </c>
      <c r="B68" s="176" t="s">
        <v>913</v>
      </c>
      <c r="C68" s="176">
        <f>data!D324</f>
        <v>2924023</v>
      </c>
    </row>
    <row r="69" spans="1:3" ht="20.149999999999999" customHeight="1" x14ac:dyDescent="0.35">
      <c r="A69" s="174">
        <v>13</v>
      </c>
      <c r="B69" s="178"/>
      <c r="C69" s="176"/>
    </row>
    <row r="70" spans="1:3" ht="20.149999999999999" customHeight="1" x14ac:dyDescent="0.35">
      <c r="A70" s="174">
        <v>14</v>
      </c>
      <c r="B70" s="177" t="s">
        <v>914</v>
      </c>
      <c r="C70" s="175"/>
    </row>
    <row r="71" spans="1:3" ht="20.149999999999999" customHeight="1" x14ac:dyDescent="0.35">
      <c r="A71" s="174">
        <v>15</v>
      </c>
      <c r="B71" s="176" t="s">
        <v>454</v>
      </c>
      <c r="C71" s="176">
        <f>data!C326</f>
        <v>0</v>
      </c>
    </row>
    <row r="72" spans="1:3" ht="20.149999999999999" customHeight="1" x14ac:dyDescent="0.35">
      <c r="A72" s="174">
        <v>16</v>
      </c>
      <c r="B72" s="176" t="s">
        <v>915</v>
      </c>
      <c r="C72" s="176">
        <f>data!C327</f>
        <v>0</v>
      </c>
    </row>
    <row r="73" spans="1:3" ht="20.149999999999999" customHeight="1" x14ac:dyDescent="0.35">
      <c r="A73" s="174">
        <v>17</v>
      </c>
      <c r="B73" s="176" t="s">
        <v>456</v>
      </c>
      <c r="C73" s="176">
        <f>data!C328</f>
        <v>0</v>
      </c>
    </row>
    <row r="74" spans="1:3" ht="20.149999999999999" customHeight="1" x14ac:dyDescent="0.35">
      <c r="A74" s="174">
        <v>18</v>
      </c>
      <c r="B74" s="176" t="s">
        <v>916</v>
      </c>
      <c r="C74" s="176">
        <f>data!D329</f>
        <v>0</v>
      </c>
    </row>
    <row r="75" spans="1:3" ht="20.149999999999999" customHeight="1" x14ac:dyDescent="0.35">
      <c r="A75" s="174">
        <v>19</v>
      </c>
      <c r="B75" s="178"/>
      <c r="C75" s="176"/>
    </row>
    <row r="76" spans="1:3" ht="20.149999999999999" customHeight="1" x14ac:dyDescent="0.35">
      <c r="A76" s="174">
        <v>20</v>
      </c>
      <c r="B76" s="177" t="s">
        <v>458</v>
      </c>
      <c r="C76" s="175"/>
    </row>
    <row r="77" spans="1:3" ht="20.149999999999999" customHeight="1" x14ac:dyDescent="0.35">
      <c r="A77" s="174">
        <v>21</v>
      </c>
      <c r="B77" s="176" t="s">
        <v>459</v>
      </c>
      <c r="C77" s="176">
        <f>data!C331</f>
        <v>0</v>
      </c>
    </row>
    <row r="78" spans="1:3" ht="20.149999999999999" customHeight="1" x14ac:dyDescent="0.35">
      <c r="A78" s="174">
        <v>22</v>
      </c>
      <c r="B78" s="176" t="s">
        <v>917</v>
      </c>
      <c r="C78" s="176">
        <f>data!C332</f>
        <v>0</v>
      </c>
    </row>
    <row r="79" spans="1:3" ht="20.149999999999999" customHeight="1" x14ac:dyDescent="0.35">
      <c r="A79" s="174">
        <v>23</v>
      </c>
      <c r="B79" s="176" t="s">
        <v>461</v>
      </c>
      <c r="C79" s="176">
        <f>data!C333</f>
        <v>2132731</v>
      </c>
    </row>
    <row r="80" spans="1:3" ht="20.149999999999999" customHeight="1" x14ac:dyDescent="0.35">
      <c r="A80" s="174">
        <v>24</v>
      </c>
      <c r="B80" s="176" t="s">
        <v>918</v>
      </c>
      <c r="C80" s="176">
        <f>data!C334</f>
        <v>12846</v>
      </c>
    </row>
    <row r="81" spans="1:3" ht="20.149999999999999" customHeight="1" x14ac:dyDescent="0.35">
      <c r="A81" s="174">
        <v>25</v>
      </c>
      <c r="B81" s="176" t="s">
        <v>463</v>
      </c>
      <c r="C81" s="176" t="str">
        <f>data!C335</f>
        <v xml:space="preserve"> </v>
      </c>
    </row>
    <row r="82" spans="1:3" ht="20.149999999999999" customHeight="1" x14ac:dyDescent="0.35">
      <c r="A82" s="174">
        <v>26</v>
      </c>
      <c r="B82" s="176" t="s">
        <v>919</v>
      </c>
      <c r="C82" s="176">
        <f>data!C336</f>
        <v>0</v>
      </c>
    </row>
    <row r="83" spans="1:3" ht="20.149999999999999" customHeight="1" x14ac:dyDescent="0.35">
      <c r="A83" s="174">
        <v>27</v>
      </c>
      <c r="B83" s="176" t="s">
        <v>465</v>
      </c>
      <c r="C83" s="176">
        <f>data!C337</f>
        <v>0</v>
      </c>
    </row>
    <row r="84" spans="1:3" ht="20.149999999999999" customHeight="1" x14ac:dyDescent="0.35">
      <c r="A84" s="174">
        <v>28</v>
      </c>
      <c r="B84" s="176" t="s">
        <v>466</v>
      </c>
      <c r="C84" s="176">
        <f>data!C338</f>
        <v>3789</v>
      </c>
    </row>
    <row r="85" spans="1:3" ht="20.149999999999999" customHeight="1" x14ac:dyDescent="0.35">
      <c r="A85" s="174">
        <v>29</v>
      </c>
      <c r="B85" s="176" t="s">
        <v>597</v>
      </c>
      <c r="C85" s="176">
        <f>data!D339</f>
        <v>2149366</v>
      </c>
    </row>
    <row r="86" spans="1:3" ht="20.149999999999999" customHeight="1" x14ac:dyDescent="0.35">
      <c r="A86" s="174">
        <v>30</v>
      </c>
      <c r="B86" s="176" t="s">
        <v>920</v>
      </c>
      <c r="C86" s="176">
        <f>data!D340</f>
        <v>621524</v>
      </c>
    </row>
    <row r="87" spans="1:3" ht="20.149999999999999" customHeight="1" x14ac:dyDescent="0.35">
      <c r="A87" s="174">
        <v>31</v>
      </c>
      <c r="B87" s="176" t="s">
        <v>921</v>
      </c>
      <c r="C87" s="176">
        <f>data!D341</f>
        <v>1527842</v>
      </c>
    </row>
    <row r="88" spans="1:3" ht="20.149999999999999" customHeight="1" x14ac:dyDescent="0.35">
      <c r="A88" s="174">
        <v>32</v>
      </c>
      <c r="B88" s="178"/>
      <c r="C88" s="176"/>
    </row>
    <row r="89" spans="1:3" ht="20.149999999999999" customHeight="1" x14ac:dyDescent="0.35">
      <c r="A89" s="174">
        <v>33</v>
      </c>
      <c r="B89" s="185" t="s">
        <v>922</v>
      </c>
      <c r="C89" s="176">
        <f>data!C343</f>
        <v>13509615</v>
      </c>
    </row>
    <row r="90" spans="1:3" ht="20.149999999999999" customHeight="1" x14ac:dyDescent="0.35">
      <c r="A90" s="174">
        <v>34</v>
      </c>
      <c r="B90" s="176"/>
      <c r="C90" s="176"/>
    </row>
    <row r="91" spans="1:3" ht="20.149999999999999" customHeight="1" x14ac:dyDescent="0.35">
      <c r="A91" s="174">
        <v>35</v>
      </c>
      <c r="B91" s="177" t="s">
        <v>923</v>
      </c>
      <c r="C91" s="175"/>
    </row>
    <row r="92" spans="1:3" ht="20.149999999999999" customHeight="1" x14ac:dyDescent="0.35">
      <c r="A92" s="174">
        <v>36</v>
      </c>
      <c r="B92" s="176" t="s">
        <v>470</v>
      </c>
      <c r="C92" s="176">
        <f>data!C345</f>
        <v>0</v>
      </c>
    </row>
    <row r="93" spans="1:3" ht="20.149999999999999" customHeight="1" x14ac:dyDescent="0.35">
      <c r="A93" s="174">
        <v>37</v>
      </c>
      <c r="B93" s="178"/>
      <c r="C93" s="176"/>
    </row>
    <row r="94" spans="1:3" ht="20.149999999999999" customHeight="1" x14ac:dyDescent="0.35">
      <c r="A94" s="174">
        <v>38</v>
      </c>
      <c r="B94" s="176" t="s">
        <v>471</v>
      </c>
      <c r="C94" s="176">
        <f>data!C346</f>
        <v>0</v>
      </c>
    </row>
    <row r="95" spans="1:3" ht="20.149999999999999" customHeight="1" x14ac:dyDescent="0.35">
      <c r="A95" s="174">
        <v>39</v>
      </c>
      <c r="B95" s="178"/>
      <c r="C95" s="176"/>
    </row>
    <row r="96" spans="1:3" ht="20.149999999999999" customHeight="1" x14ac:dyDescent="0.35">
      <c r="A96" s="174">
        <v>40</v>
      </c>
      <c r="B96" s="176" t="s">
        <v>924</v>
      </c>
      <c r="C96" s="176">
        <f>data!C347</f>
        <v>0</v>
      </c>
    </row>
    <row r="97" spans="1:3" ht="20.149999999999999" customHeight="1" x14ac:dyDescent="0.35">
      <c r="A97" s="174">
        <v>41</v>
      </c>
      <c r="B97" s="178"/>
      <c r="C97" s="176"/>
    </row>
    <row r="98" spans="1:3" ht="20.149999999999999" customHeight="1" x14ac:dyDescent="0.35">
      <c r="A98" s="174">
        <v>42</v>
      </c>
      <c r="B98" s="176" t="s">
        <v>925</v>
      </c>
      <c r="C98" s="176">
        <f>data!C348</f>
        <v>0</v>
      </c>
    </row>
    <row r="99" spans="1:3" ht="20.149999999999999" customHeight="1" x14ac:dyDescent="0.35">
      <c r="A99" s="174">
        <v>43</v>
      </c>
      <c r="B99" s="176" t="s">
        <v>926</v>
      </c>
      <c r="C99" s="176"/>
    </row>
    <row r="100" spans="1:3" ht="20.149999999999999" customHeight="1" x14ac:dyDescent="0.35">
      <c r="A100" s="174">
        <v>44</v>
      </c>
      <c r="B100" s="178"/>
      <c r="C100" s="176"/>
    </row>
    <row r="101" spans="1:3" ht="20.149999999999999" customHeight="1" x14ac:dyDescent="0.35">
      <c r="A101" s="174">
        <v>45</v>
      </c>
      <c r="B101" s="176" t="s">
        <v>927</v>
      </c>
      <c r="C101" s="176">
        <f>data!C349</f>
        <v>0</v>
      </c>
    </row>
    <row r="102" spans="1:3" ht="20.149999999999999" customHeight="1" x14ac:dyDescent="0.35">
      <c r="A102" s="174">
        <v>46</v>
      </c>
      <c r="B102" s="176" t="s">
        <v>928</v>
      </c>
      <c r="C102" s="176">
        <f>data!C343+data!C345+data!C346+data!C347+data!C348-data!C349</f>
        <v>13509615</v>
      </c>
    </row>
    <row r="103" spans="1:3" ht="20.149999999999999" customHeight="1" x14ac:dyDescent="0.35">
      <c r="A103" s="174">
        <v>47</v>
      </c>
      <c r="B103" s="176" t="s">
        <v>929</v>
      </c>
      <c r="C103" s="176">
        <f>data!D352</f>
        <v>17961480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68" t="s">
        <v>930</v>
      </c>
      <c r="B106" s="169"/>
      <c r="C106" s="169"/>
    </row>
    <row r="107" spans="1:3" ht="20.149999999999999" customHeight="1" x14ac:dyDescent="0.35">
      <c r="A107" s="170"/>
      <c r="C107" s="94" t="s">
        <v>931</v>
      </c>
    </row>
    <row r="108" spans="1:3" ht="20.149999999999999" customHeight="1" x14ac:dyDescent="0.35">
      <c r="A108" s="120" t="str">
        <f>"Hospital: "&amp;data!C98</f>
        <v>Hospital: Ferry County Public Hospital District No. 1</v>
      </c>
      <c r="B108" s="170"/>
      <c r="C108" s="142" t="str">
        <f>"FYE: "&amp;data!C96</f>
        <v>FYE: 12/31/2022</v>
      </c>
    </row>
    <row r="109" spans="1:3" ht="20.149999999999999" customHeight="1" x14ac:dyDescent="0.35">
      <c r="A109" s="171"/>
      <c r="B109" s="186"/>
      <c r="C109" s="187"/>
    </row>
    <row r="110" spans="1:3" ht="20.149999999999999" customHeight="1" x14ac:dyDescent="0.35">
      <c r="A110" s="174">
        <v>1</v>
      </c>
      <c r="B110" s="177" t="s">
        <v>932</v>
      </c>
      <c r="C110" s="175"/>
    </row>
    <row r="111" spans="1:3" ht="20.149999999999999" customHeight="1" x14ac:dyDescent="0.35">
      <c r="A111" s="174">
        <v>2</v>
      </c>
      <c r="B111" s="176" t="s">
        <v>479</v>
      </c>
      <c r="C111" s="176">
        <f>data!C358</f>
        <v>4231057</v>
      </c>
    </row>
    <row r="112" spans="1:3" ht="20.149999999999999" customHeight="1" x14ac:dyDescent="0.35">
      <c r="A112" s="174">
        <v>3</v>
      </c>
      <c r="B112" s="176" t="s">
        <v>480</v>
      </c>
      <c r="C112" s="176">
        <f>data!C359</f>
        <v>24811710</v>
      </c>
    </row>
    <row r="113" spans="1:3" ht="20.149999999999999" customHeight="1" x14ac:dyDescent="0.35">
      <c r="A113" s="174">
        <v>4</v>
      </c>
      <c r="B113" s="176" t="s">
        <v>933</v>
      </c>
      <c r="C113" s="176">
        <f>data!D360</f>
        <v>29042767</v>
      </c>
    </row>
    <row r="114" spans="1:3" ht="20.149999999999999" customHeight="1" x14ac:dyDescent="0.35">
      <c r="A114" s="174">
        <v>5</v>
      </c>
      <c r="B114" s="178"/>
      <c r="C114" s="176"/>
    </row>
    <row r="115" spans="1:3" ht="20.149999999999999" customHeight="1" x14ac:dyDescent="0.35">
      <c r="A115" s="174">
        <v>6</v>
      </c>
      <c r="B115" s="177" t="s">
        <v>934</v>
      </c>
      <c r="C115" s="175"/>
    </row>
    <row r="116" spans="1:3" ht="20.149999999999999" customHeight="1" x14ac:dyDescent="0.35">
      <c r="A116" s="174">
        <v>7</v>
      </c>
      <c r="B116" s="188" t="s">
        <v>935</v>
      </c>
      <c r="C116" s="189">
        <f>data!C362</f>
        <v>322454</v>
      </c>
    </row>
    <row r="117" spans="1:3" ht="20.149999999999999" customHeight="1" x14ac:dyDescent="0.35">
      <c r="A117" s="174">
        <v>8</v>
      </c>
      <c r="B117" s="176" t="s">
        <v>483</v>
      </c>
      <c r="C117" s="189">
        <f>data!C363</f>
        <v>10352370</v>
      </c>
    </row>
    <row r="118" spans="1:3" ht="20.149999999999999" customHeight="1" x14ac:dyDescent="0.35">
      <c r="A118" s="174">
        <v>9</v>
      </c>
      <c r="B118" s="176" t="s">
        <v>936</v>
      </c>
      <c r="C118" s="189">
        <f>data!C364</f>
        <v>416440</v>
      </c>
    </row>
    <row r="119" spans="1:3" ht="20.149999999999999" customHeight="1" x14ac:dyDescent="0.35">
      <c r="A119" s="174">
        <v>10</v>
      </c>
      <c r="B119" s="176" t="s">
        <v>937</v>
      </c>
      <c r="C119" s="189">
        <f>data!C365</f>
        <v>0</v>
      </c>
    </row>
    <row r="120" spans="1:3" ht="20.149999999999999" customHeight="1" x14ac:dyDescent="0.35">
      <c r="A120" s="174">
        <v>11</v>
      </c>
      <c r="B120" s="176" t="s">
        <v>881</v>
      </c>
      <c r="C120" s="189">
        <f>data!D366</f>
        <v>11091264</v>
      </c>
    </row>
    <row r="121" spans="1:3" ht="20.149999999999999" customHeight="1" x14ac:dyDescent="0.35">
      <c r="A121" s="174">
        <v>12</v>
      </c>
      <c r="B121" s="176" t="s">
        <v>938</v>
      </c>
      <c r="C121" s="189">
        <f>data!D367</f>
        <v>17951503</v>
      </c>
    </row>
    <row r="122" spans="1:3" ht="20.149999999999999" customHeight="1" x14ac:dyDescent="0.35">
      <c r="A122" s="174">
        <v>13</v>
      </c>
      <c r="B122" s="178"/>
      <c r="C122" s="176"/>
    </row>
    <row r="123" spans="1:3" ht="20.149999999999999" customHeight="1" x14ac:dyDescent="0.35">
      <c r="A123" s="174">
        <v>14</v>
      </c>
      <c r="B123" s="177" t="s">
        <v>487</v>
      </c>
      <c r="C123" s="175"/>
    </row>
    <row r="124" spans="1:3" ht="20.149999999999999" customHeight="1" x14ac:dyDescent="0.35">
      <c r="A124" s="174">
        <v>15</v>
      </c>
      <c r="B124" s="190" t="s">
        <v>488</v>
      </c>
      <c r="C124" s="191"/>
    </row>
    <row r="125" spans="1:3" ht="20.149999999999999" customHeight="1" x14ac:dyDescent="0.35">
      <c r="A125" s="195" t="s">
        <v>939</v>
      </c>
      <c r="B125" s="192" t="s">
        <v>489</v>
      </c>
      <c r="C125" s="191">
        <f>data!C370</f>
        <v>5357</v>
      </c>
    </row>
    <row r="126" spans="1:3" ht="20.149999999999999" customHeight="1" x14ac:dyDescent="0.35">
      <c r="A126" s="195" t="s">
        <v>940</v>
      </c>
      <c r="B126" s="192" t="s">
        <v>490</v>
      </c>
      <c r="C126" s="191">
        <f>data!C371</f>
        <v>117020</v>
      </c>
    </row>
    <row r="127" spans="1:3" ht="20.149999999999999" customHeight="1" x14ac:dyDescent="0.35">
      <c r="A127" s="195" t="s">
        <v>941</v>
      </c>
      <c r="B127" s="192" t="s">
        <v>491</v>
      </c>
      <c r="C127" s="191">
        <f>data!C372</f>
        <v>0</v>
      </c>
    </row>
    <row r="128" spans="1:3" ht="20.149999999999999" customHeight="1" x14ac:dyDescent="0.35">
      <c r="A128" s="195" t="s">
        <v>942</v>
      </c>
      <c r="B128" s="192" t="s">
        <v>492</v>
      </c>
      <c r="C128" s="191">
        <f>data!C373</f>
        <v>0</v>
      </c>
    </row>
    <row r="129" spans="1:3" ht="20.149999999999999" customHeight="1" x14ac:dyDescent="0.35">
      <c r="A129" s="195" t="s">
        <v>943</v>
      </c>
      <c r="B129" s="192" t="s">
        <v>493</v>
      </c>
      <c r="C129" s="191">
        <f>data!C374</f>
        <v>3256445</v>
      </c>
    </row>
    <row r="130" spans="1:3" ht="20.149999999999999" customHeight="1" x14ac:dyDescent="0.35">
      <c r="A130" s="195" t="s">
        <v>944</v>
      </c>
      <c r="B130" s="192" t="s">
        <v>494</v>
      </c>
      <c r="C130" s="191">
        <f>data!C375</f>
        <v>0</v>
      </c>
    </row>
    <row r="131" spans="1:3" ht="20.149999999999999" customHeight="1" x14ac:dyDescent="0.35">
      <c r="A131" s="195" t="s">
        <v>945</v>
      </c>
      <c r="B131" s="192" t="s">
        <v>495</v>
      </c>
      <c r="C131" s="191">
        <f>data!C376</f>
        <v>0</v>
      </c>
    </row>
    <row r="132" spans="1:3" ht="20.149999999999999" customHeight="1" x14ac:dyDescent="0.35">
      <c r="A132" s="195" t="s">
        <v>946</v>
      </c>
      <c r="B132" s="192" t="s">
        <v>496</v>
      </c>
      <c r="C132" s="191">
        <f>data!C377</f>
        <v>0</v>
      </c>
    </row>
    <row r="133" spans="1:3" ht="20.149999999999999" customHeight="1" x14ac:dyDescent="0.35">
      <c r="A133" s="195" t="s">
        <v>947</v>
      </c>
      <c r="B133" s="192" t="s">
        <v>497</v>
      </c>
      <c r="C133" s="191">
        <f>data!C378</f>
        <v>0</v>
      </c>
    </row>
    <row r="134" spans="1:3" ht="20.149999999999999" customHeight="1" x14ac:dyDescent="0.35">
      <c r="A134" s="195" t="s">
        <v>948</v>
      </c>
      <c r="B134" s="192" t="s">
        <v>498</v>
      </c>
      <c r="C134" s="191">
        <f>data!C379</f>
        <v>9627</v>
      </c>
    </row>
    <row r="135" spans="1:3" ht="20.149999999999999" customHeight="1" x14ac:dyDescent="0.35">
      <c r="A135" s="195" t="s">
        <v>949</v>
      </c>
      <c r="B135" s="192" t="s">
        <v>499</v>
      </c>
      <c r="C135" s="191">
        <f>data!C380</f>
        <v>536291</v>
      </c>
    </row>
    <row r="136" spans="1:3" ht="20.149999999999999" customHeight="1" x14ac:dyDescent="0.35">
      <c r="A136" s="174">
        <v>16</v>
      </c>
      <c r="B136" s="176" t="s">
        <v>501</v>
      </c>
      <c r="C136" s="191">
        <f>data!C381</f>
        <v>0</v>
      </c>
    </row>
    <row r="137" spans="1:3" ht="20.149999999999999" customHeight="1" x14ac:dyDescent="0.35">
      <c r="A137" s="174">
        <v>17</v>
      </c>
      <c r="B137" s="176" t="s">
        <v>950</v>
      </c>
      <c r="C137" s="189">
        <f>data!D383</f>
        <v>4314216</v>
      </c>
    </row>
    <row r="138" spans="1:3" ht="20.149999999999999" customHeight="1" x14ac:dyDescent="0.35">
      <c r="A138" s="174">
        <v>18</v>
      </c>
      <c r="B138" s="176" t="s">
        <v>951</v>
      </c>
      <c r="C138" s="189">
        <f>data!D384</f>
        <v>22265719</v>
      </c>
    </row>
    <row r="139" spans="1:3" ht="20.149999999999999" customHeight="1" x14ac:dyDescent="0.35">
      <c r="A139" s="174">
        <v>19</v>
      </c>
      <c r="B139" s="178"/>
      <c r="C139" s="176"/>
    </row>
    <row r="140" spans="1:3" ht="20.149999999999999" customHeight="1" x14ac:dyDescent="0.35">
      <c r="A140" s="174">
        <v>20</v>
      </c>
      <c r="B140" s="177" t="s">
        <v>952</v>
      </c>
      <c r="C140" s="175"/>
    </row>
    <row r="141" spans="1:3" ht="20.149999999999999" customHeight="1" x14ac:dyDescent="0.35">
      <c r="A141" s="174">
        <v>21</v>
      </c>
      <c r="B141" s="176" t="s">
        <v>505</v>
      </c>
      <c r="C141" s="189">
        <f>data!C389</f>
        <v>9135573</v>
      </c>
    </row>
    <row r="142" spans="1:3" ht="20.149999999999999" customHeight="1" x14ac:dyDescent="0.35">
      <c r="A142" s="174">
        <v>22</v>
      </c>
      <c r="B142" s="176" t="s">
        <v>9</v>
      </c>
      <c r="C142" s="189">
        <f>data!C390</f>
        <v>3150734</v>
      </c>
    </row>
    <row r="143" spans="1:3" ht="20.149999999999999" customHeight="1" x14ac:dyDescent="0.35">
      <c r="A143" s="174">
        <v>23</v>
      </c>
      <c r="B143" s="176" t="s">
        <v>260</v>
      </c>
      <c r="C143" s="189">
        <f>data!C391</f>
        <v>1926510</v>
      </c>
    </row>
    <row r="144" spans="1:3" ht="20.149999999999999" customHeight="1" x14ac:dyDescent="0.35">
      <c r="A144" s="174">
        <v>24</v>
      </c>
      <c r="B144" s="176" t="s">
        <v>261</v>
      </c>
      <c r="C144" s="189">
        <f>data!C392</f>
        <v>3739759</v>
      </c>
    </row>
    <row r="145" spans="1:3" ht="20.149999999999999" customHeight="1" x14ac:dyDescent="0.35">
      <c r="A145" s="174">
        <v>25</v>
      </c>
      <c r="B145" s="176" t="s">
        <v>953</v>
      </c>
      <c r="C145" s="189">
        <f>data!C393</f>
        <v>295176</v>
      </c>
    </row>
    <row r="146" spans="1:3" ht="20.149999999999999" customHeight="1" x14ac:dyDescent="0.35">
      <c r="A146" s="174">
        <v>26</v>
      </c>
      <c r="B146" s="176" t="s">
        <v>954</v>
      </c>
      <c r="C146" s="189">
        <f>data!C394</f>
        <v>2169702</v>
      </c>
    </row>
    <row r="147" spans="1:3" ht="20.149999999999999" customHeight="1" x14ac:dyDescent="0.35">
      <c r="A147" s="174">
        <v>27</v>
      </c>
      <c r="B147" s="176" t="s">
        <v>14</v>
      </c>
      <c r="C147" s="189">
        <f>data!C395</f>
        <v>967666</v>
      </c>
    </row>
    <row r="148" spans="1:3" ht="20.149999999999999" customHeight="1" x14ac:dyDescent="0.35">
      <c r="A148" s="174">
        <v>28</v>
      </c>
      <c r="B148" s="176" t="s">
        <v>955</v>
      </c>
      <c r="C148" s="189">
        <f>data!C396</f>
        <v>254921</v>
      </c>
    </row>
    <row r="149" spans="1:3" ht="20.149999999999999" customHeight="1" x14ac:dyDescent="0.35">
      <c r="A149" s="174">
        <v>29</v>
      </c>
      <c r="B149" s="176" t="s">
        <v>510</v>
      </c>
      <c r="C149" s="189">
        <f>data!C397</f>
        <v>141648</v>
      </c>
    </row>
    <row r="150" spans="1:3" ht="20.149999999999999" customHeight="1" x14ac:dyDescent="0.35">
      <c r="A150" s="174">
        <v>30</v>
      </c>
      <c r="B150" s="176" t="s">
        <v>956</v>
      </c>
      <c r="C150" s="189">
        <f>data!C398</f>
        <v>143710</v>
      </c>
    </row>
    <row r="151" spans="1:3" ht="20.149999999999999" customHeight="1" x14ac:dyDescent="0.35">
      <c r="A151" s="174">
        <v>31</v>
      </c>
      <c r="B151" s="176" t="s">
        <v>512</v>
      </c>
      <c r="C151" s="189">
        <f>data!C399</f>
        <v>48067</v>
      </c>
    </row>
    <row r="152" spans="1:3" ht="20.149999999999999" customHeight="1" x14ac:dyDescent="0.35">
      <c r="A152" s="174">
        <v>32</v>
      </c>
      <c r="B152" s="176" t="s">
        <v>265</v>
      </c>
      <c r="C152" s="189"/>
    </row>
    <row r="153" spans="1:3" ht="20.149999999999999" customHeight="1" x14ac:dyDescent="0.35">
      <c r="A153" s="195" t="s">
        <v>957</v>
      </c>
      <c r="B153" s="193" t="s">
        <v>266</v>
      </c>
      <c r="C153" s="189">
        <f>data!C401</f>
        <v>0</v>
      </c>
    </row>
    <row r="154" spans="1:3" ht="20.149999999999999" customHeight="1" x14ac:dyDescent="0.35">
      <c r="A154" s="195" t="s">
        <v>958</v>
      </c>
      <c r="B154" s="193" t="s">
        <v>267</v>
      </c>
      <c r="C154" s="189">
        <f>data!C402</f>
        <v>0</v>
      </c>
    </row>
    <row r="155" spans="1:3" ht="20.149999999999999" customHeight="1" x14ac:dyDescent="0.35">
      <c r="A155" s="195" t="s">
        <v>959</v>
      </c>
      <c r="B155" s="193" t="s">
        <v>960</v>
      </c>
      <c r="C155" s="189">
        <f>data!C403</f>
        <v>0</v>
      </c>
    </row>
    <row r="156" spans="1:3" ht="20.149999999999999" customHeight="1" x14ac:dyDescent="0.35">
      <c r="A156" s="195" t="s">
        <v>961</v>
      </c>
      <c r="B156" s="193" t="s">
        <v>269</v>
      </c>
      <c r="C156" s="189">
        <f>data!C404</f>
        <v>0</v>
      </c>
    </row>
    <row r="157" spans="1:3" ht="20.149999999999999" customHeight="1" x14ac:dyDescent="0.35">
      <c r="A157" s="195" t="s">
        <v>962</v>
      </c>
      <c r="B157" s="193" t="s">
        <v>270</v>
      </c>
      <c r="C157" s="189">
        <f>data!C405</f>
        <v>0</v>
      </c>
    </row>
    <row r="158" spans="1:3" ht="20.149999999999999" customHeight="1" x14ac:dyDescent="0.35">
      <c r="A158" s="195" t="s">
        <v>963</v>
      </c>
      <c r="B158" s="193" t="s">
        <v>271</v>
      </c>
      <c r="C158" s="189">
        <f>data!C406</f>
        <v>0</v>
      </c>
    </row>
    <row r="159" spans="1:3" ht="20.149999999999999" customHeight="1" x14ac:dyDescent="0.35">
      <c r="A159" s="195" t="s">
        <v>964</v>
      </c>
      <c r="B159" s="193" t="s">
        <v>272</v>
      </c>
      <c r="C159" s="189">
        <f>data!C407</f>
        <v>0</v>
      </c>
    </row>
    <row r="160" spans="1:3" ht="20.149999999999999" customHeight="1" x14ac:dyDescent="0.35">
      <c r="A160" s="195" t="s">
        <v>965</v>
      </c>
      <c r="B160" s="193" t="s">
        <v>273</v>
      </c>
      <c r="C160" s="189">
        <f>data!C408</f>
        <v>258762</v>
      </c>
    </row>
    <row r="161" spans="1:3" ht="20.149999999999999" customHeight="1" x14ac:dyDescent="0.35">
      <c r="A161" s="195" t="s">
        <v>966</v>
      </c>
      <c r="B161" s="193" t="s">
        <v>274</v>
      </c>
      <c r="C161" s="189">
        <f>data!C409</f>
        <v>0</v>
      </c>
    </row>
    <row r="162" spans="1:3" ht="20.149999999999999" customHeight="1" x14ac:dyDescent="0.35">
      <c r="A162" s="195" t="s">
        <v>967</v>
      </c>
      <c r="B162" s="193" t="s">
        <v>275</v>
      </c>
      <c r="C162" s="189">
        <f>data!C410</f>
        <v>0</v>
      </c>
    </row>
    <row r="163" spans="1:3" ht="20.149999999999999" customHeight="1" x14ac:dyDescent="0.35">
      <c r="A163" s="195" t="s">
        <v>968</v>
      </c>
      <c r="B163" s="193" t="s">
        <v>276</v>
      </c>
      <c r="C163" s="189">
        <f>data!C411</f>
        <v>0</v>
      </c>
    </row>
    <row r="164" spans="1:3" ht="20.149999999999999" customHeight="1" x14ac:dyDescent="0.35">
      <c r="A164" s="195" t="s">
        <v>969</v>
      </c>
      <c r="B164" s="193" t="s">
        <v>277</v>
      </c>
      <c r="C164" s="189">
        <f>data!C412</f>
        <v>0</v>
      </c>
    </row>
    <row r="165" spans="1:3" ht="20.149999999999999" customHeight="1" x14ac:dyDescent="0.35">
      <c r="A165" s="195" t="s">
        <v>970</v>
      </c>
      <c r="B165" s="193" t="s">
        <v>278</v>
      </c>
      <c r="C165" s="189">
        <f>data!C413</f>
        <v>0</v>
      </c>
    </row>
    <row r="166" spans="1:3" ht="20.149999999999999" customHeight="1" x14ac:dyDescent="0.35">
      <c r="A166" s="195" t="s">
        <v>971</v>
      </c>
      <c r="B166" s="193" t="s">
        <v>972</v>
      </c>
      <c r="C166" s="189">
        <f>data!C414</f>
        <v>386487</v>
      </c>
    </row>
    <row r="167" spans="1:3" ht="20.149999999999999" customHeight="1" x14ac:dyDescent="0.35">
      <c r="A167" s="174">
        <v>34</v>
      </c>
      <c r="B167" s="176" t="s">
        <v>973</v>
      </c>
      <c r="C167" s="189">
        <f>data!D416</f>
        <v>22618715</v>
      </c>
    </row>
    <row r="168" spans="1:3" ht="20.149999999999999" customHeight="1" x14ac:dyDescent="0.35">
      <c r="A168" s="174">
        <v>35</v>
      </c>
      <c r="B168" s="176" t="s">
        <v>974</v>
      </c>
      <c r="C168" s="189">
        <f>data!D417</f>
        <v>-352996</v>
      </c>
    </row>
    <row r="169" spans="1:3" ht="20.149999999999999" customHeight="1" x14ac:dyDescent="0.35">
      <c r="A169" s="174">
        <v>36</v>
      </c>
      <c r="B169" s="178"/>
      <c r="C169" s="176"/>
    </row>
    <row r="170" spans="1:3" ht="20.149999999999999" customHeight="1" x14ac:dyDescent="0.35">
      <c r="A170" s="174">
        <v>37</v>
      </c>
      <c r="B170" s="176" t="s">
        <v>975</v>
      </c>
      <c r="C170" s="189">
        <f>data!D420</f>
        <v>1095203</v>
      </c>
    </row>
    <row r="171" spans="1:3" ht="20.149999999999999" customHeight="1" x14ac:dyDescent="0.35">
      <c r="A171" s="174">
        <v>38</v>
      </c>
      <c r="B171" s="178"/>
      <c r="C171" s="176"/>
    </row>
    <row r="172" spans="1:3" ht="20.149999999999999" customHeight="1" x14ac:dyDescent="0.35">
      <c r="A172" s="174">
        <v>39</v>
      </c>
      <c r="B172" s="176" t="s">
        <v>976</v>
      </c>
      <c r="C172" s="176">
        <f>data!D421</f>
        <v>742207</v>
      </c>
    </row>
    <row r="173" spans="1:3" ht="20.149999999999999" customHeight="1" x14ac:dyDescent="0.35">
      <c r="A173" s="174">
        <v>40</v>
      </c>
      <c r="B173" s="178"/>
      <c r="C173" s="176"/>
    </row>
    <row r="174" spans="1:3" ht="20.149999999999999" customHeight="1" x14ac:dyDescent="0.35">
      <c r="A174" s="174">
        <v>41</v>
      </c>
      <c r="B174" s="176" t="s">
        <v>977</v>
      </c>
      <c r="C174" s="189">
        <f>data!C422</f>
        <v>0</v>
      </c>
    </row>
    <row r="175" spans="1:3" ht="20.149999999999999" customHeight="1" x14ac:dyDescent="0.35">
      <c r="A175" s="174">
        <v>42</v>
      </c>
      <c r="B175" s="176" t="s">
        <v>978</v>
      </c>
      <c r="C175" s="189">
        <f>data!C423</f>
        <v>0</v>
      </c>
    </row>
    <row r="176" spans="1:3" ht="20.149999999999999" customHeight="1" x14ac:dyDescent="0.35">
      <c r="A176" s="174">
        <v>43</v>
      </c>
      <c r="B176" s="178"/>
      <c r="C176" s="176"/>
    </row>
    <row r="177" spans="1:3" ht="20.149999999999999" customHeight="1" x14ac:dyDescent="0.35">
      <c r="A177" s="174">
        <v>44</v>
      </c>
      <c r="B177" s="176" t="s">
        <v>979</v>
      </c>
      <c r="C177" s="189">
        <f>data!D424</f>
        <v>742207</v>
      </c>
    </row>
    <row r="178" spans="1:3" ht="20.149999999999999" customHeight="1" x14ac:dyDescent="0.35">
      <c r="A178" s="179">
        <v>45</v>
      </c>
      <c r="B178" s="178" t="s">
        <v>980</v>
      </c>
      <c r="C178" s="176"/>
    </row>
    <row r="179" spans="1:3" ht="20.149999999999999" customHeight="1" x14ac:dyDescent="0.3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zoomScale="65" workbookViewId="0">
      <selection activeCell="I203" sqref="I203"/>
    </sheetView>
  </sheetViews>
  <sheetFormatPr defaultColWidth="8.9140625" defaultRowHeight="20.149999999999999" customHeight="1" x14ac:dyDescent="0.35"/>
  <cols>
    <col min="1" max="1" width="5.75" style="233" customWidth="1"/>
    <col min="2" max="2" width="22.4140625" style="233" customWidth="1"/>
    <col min="3" max="8" width="13.75" style="233" customWidth="1"/>
    <col min="9" max="9" width="15.75" style="233" customWidth="1"/>
    <col min="10" max="12" width="8.9140625" style="233" customWidth="1"/>
    <col min="13" max="16384" width="8.9140625" style="233"/>
  </cols>
  <sheetData>
    <row r="1" spans="1:9" ht="20.149999999999999" customHeight="1" x14ac:dyDescent="0.35">
      <c r="A1" s="231" t="s">
        <v>981</v>
      </c>
      <c r="B1" s="232"/>
      <c r="C1" s="232"/>
      <c r="D1" s="232"/>
      <c r="E1" s="232"/>
      <c r="F1" s="232"/>
      <c r="G1" s="232"/>
      <c r="H1" s="232"/>
    </row>
    <row r="2" spans="1:9" ht="20.149999999999999" customHeight="1" x14ac:dyDescent="0.35">
      <c r="A2" s="234"/>
      <c r="I2" s="235" t="s">
        <v>982</v>
      </c>
    </row>
    <row r="3" spans="1:9" ht="20.149999999999999" customHeight="1" x14ac:dyDescent="0.35">
      <c r="A3" s="234"/>
      <c r="I3" s="234"/>
    </row>
    <row r="4" spans="1:9" ht="20.149999999999999" customHeight="1" x14ac:dyDescent="0.35">
      <c r="A4" s="236" t="str">
        <f>"Hospital: "&amp;data!C98</f>
        <v>Hospital: Ferry County Public Hospital District No. 1</v>
      </c>
      <c r="G4" s="237"/>
      <c r="H4" s="236" t="str">
        <f>"FYE: "&amp;data!C96</f>
        <v>FYE: 12/31/2022</v>
      </c>
    </row>
    <row r="5" spans="1:9" ht="20.149999999999999" customHeight="1" x14ac:dyDescent="0.35">
      <c r="A5" s="230">
        <v>1</v>
      </c>
      <c r="B5" s="238" t="s">
        <v>232</v>
      </c>
      <c r="C5" s="239" t="s">
        <v>32</v>
      </c>
      <c r="D5" s="240" t="s">
        <v>33</v>
      </c>
      <c r="E5" s="240" t="s">
        <v>34</v>
      </c>
      <c r="F5" s="240" t="s">
        <v>35</v>
      </c>
      <c r="G5" s="240" t="s">
        <v>36</v>
      </c>
      <c r="H5" s="240" t="s">
        <v>37</v>
      </c>
      <c r="I5" s="240" t="s">
        <v>38</v>
      </c>
    </row>
    <row r="6" spans="1:9" ht="20.149999999999999" customHeight="1" x14ac:dyDescent="0.35">
      <c r="A6" s="241">
        <v>2</v>
      </c>
      <c r="B6" s="242" t="s">
        <v>983</v>
      </c>
      <c r="C6" s="243" t="s">
        <v>114</v>
      </c>
      <c r="D6" s="244" t="s">
        <v>984</v>
      </c>
      <c r="E6" s="244" t="s">
        <v>116</v>
      </c>
      <c r="F6" s="244" t="s">
        <v>117</v>
      </c>
      <c r="G6" s="244" t="s">
        <v>118</v>
      </c>
      <c r="H6" s="244" t="s">
        <v>119</v>
      </c>
      <c r="I6" s="244" t="s">
        <v>120</v>
      </c>
    </row>
    <row r="7" spans="1:9" ht="20.149999999999999" customHeight="1" x14ac:dyDescent="0.35">
      <c r="A7" s="241"/>
      <c r="B7" s="242"/>
      <c r="C7" s="244" t="s">
        <v>186</v>
      </c>
      <c r="D7" s="244" t="s">
        <v>985</v>
      </c>
      <c r="E7" s="244" t="s">
        <v>186</v>
      </c>
      <c r="F7" s="244" t="s">
        <v>986</v>
      </c>
      <c r="G7" s="244" t="s">
        <v>188</v>
      </c>
      <c r="H7" s="244" t="s">
        <v>186</v>
      </c>
      <c r="I7" s="244" t="s">
        <v>189</v>
      </c>
    </row>
    <row r="8" spans="1:9" ht="20.149999999999999" customHeight="1" x14ac:dyDescent="0.35">
      <c r="A8" s="230">
        <v>3</v>
      </c>
      <c r="B8" s="238" t="s">
        <v>987</v>
      </c>
      <c r="C8" s="240" t="s">
        <v>238</v>
      </c>
      <c r="D8" s="240" t="s">
        <v>238</v>
      </c>
      <c r="E8" s="240" t="s">
        <v>238</v>
      </c>
      <c r="F8" s="240" t="s">
        <v>238</v>
      </c>
      <c r="G8" s="240" t="s">
        <v>238</v>
      </c>
      <c r="H8" s="240" t="s">
        <v>238</v>
      </c>
      <c r="I8" s="240" t="s">
        <v>238</v>
      </c>
    </row>
    <row r="9" spans="1:9" ht="20.149999999999999" customHeight="1" x14ac:dyDescent="0.35">
      <c r="A9" s="230">
        <v>4</v>
      </c>
      <c r="B9" s="238" t="s">
        <v>257</v>
      </c>
      <c r="C9" s="238">
        <f>data!C59</f>
        <v>0</v>
      </c>
      <c r="D9" s="238">
        <f>data!D59</f>
        <v>0</v>
      </c>
      <c r="E9" s="238">
        <f>data!E59</f>
        <v>354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49999999999999" customHeight="1" x14ac:dyDescent="0.35">
      <c r="A10" s="230">
        <v>5</v>
      </c>
      <c r="B10" s="238" t="s">
        <v>258</v>
      </c>
      <c r="C10" s="245">
        <f>data!C60</f>
        <v>0</v>
      </c>
      <c r="D10" s="245">
        <f>data!D60</f>
        <v>0</v>
      </c>
      <c r="E10" s="245">
        <f>data!E60</f>
        <v>2.63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49999999999999" customHeight="1" x14ac:dyDescent="0.35">
      <c r="A11" s="230">
        <v>6</v>
      </c>
      <c r="B11" s="238" t="s">
        <v>259</v>
      </c>
      <c r="C11" s="238">
        <f>data!C61</f>
        <v>0</v>
      </c>
      <c r="D11" s="238">
        <f>data!D61</f>
        <v>0</v>
      </c>
      <c r="E11" s="238">
        <f>data!E61</f>
        <v>195102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49999999999999" customHeight="1" x14ac:dyDescent="0.35">
      <c r="A12" s="230">
        <v>7</v>
      </c>
      <c r="B12" s="238" t="s">
        <v>9</v>
      </c>
      <c r="C12" s="238">
        <f>data!C62</f>
        <v>0</v>
      </c>
      <c r="D12" s="238">
        <f>data!D62</f>
        <v>0</v>
      </c>
      <c r="E12" s="238">
        <f>data!E62</f>
        <v>44934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49999999999999" customHeight="1" x14ac:dyDescent="0.35">
      <c r="A13" s="230">
        <v>8</v>
      </c>
      <c r="B13" s="238" t="s">
        <v>260</v>
      </c>
      <c r="C13" s="238">
        <f>data!C63</f>
        <v>0</v>
      </c>
      <c r="D13" s="238">
        <f>data!D63</f>
        <v>0</v>
      </c>
      <c r="E13" s="238">
        <f>data!E63</f>
        <v>3462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49999999999999" customHeight="1" x14ac:dyDescent="0.35">
      <c r="A14" s="230">
        <v>9</v>
      </c>
      <c r="B14" s="238" t="s">
        <v>261</v>
      </c>
      <c r="C14" s="238">
        <f>data!C64</f>
        <v>0</v>
      </c>
      <c r="D14" s="238">
        <f>data!D64</f>
        <v>0</v>
      </c>
      <c r="E14" s="238">
        <f>data!E64</f>
        <v>17694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49999999999999" customHeight="1" x14ac:dyDescent="0.35">
      <c r="A15" s="230">
        <v>10</v>
      </c>
      <c r="B15" s="238" t="s">
        <v>507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49999999999999" customHeight="1" x14ac:dyDescent="0.35">
      <c r="A16" s="230">
        <v>11</v>
      </c>
      <c r="B16" s="238" t="s">
        <v>508</v>
      </c>
      <c r="C16" s="238">
        <f>data!C66</f>
        <v>0</v>
      </c>
      <c r="D16" s="238">
        <f>data!D66</f>
        <v>0</v>
      </c>
      <c r="E16" s="238">
        <f>data!E66</f>
        <v>23045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49999999999999" customHeight="1" x14ac:dyDescent="0.35">
      <c r="A17" s="230">
        <v>12</v>
      </c>
      <c r="B17" s="238" t="s">
        <v>14</v>
      </c>
      <c r="C17" s="238">
        <f>data!C67</f>
        <v>0</v>
      </c>
      <c r="D17" s="238">
        <f>data!D67</f>
        <v>0</v>
      </c>
      <c r="E17" s="238">
        <f>data!E67</f>
        <v>16062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49999999999999" customHeight="1" x14ac:dyDescent="0.35">
      <c r="A18" s="230">
        <v>13</v>
      </c>
      <c r="B18" s="238" t="s">
        <v>988</v>
      </c>
      <c r="C18" s="238">
        <f>data!C68</f>
        <v>0</v>
      </c>
      <c r="D18" s="238">
        <f>data!D68</f>
        <v>0</v>
      </c>
      <c r="E18" s="238">
        <f>data!E68</f>
        <v>-1500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49999999999999" customHeight="1" x14ac:dyDescent="0.35">
      <c r="A19" s="230">
        <v>14</v>
      </c>
      <c r="B19" s="238" t="s">
        <v>989</v>
      </c>
      <c r="C19" s="238">
        <f>data!C69</f>
        <v>0</v>
      </c>
      <c r="D19" s="238">
        <f>data!D69</f>
        <v>0</v>
      </c>
      <c r="E19" s="238">
        <f>data!E69</f>
        <v>2088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49999999999999" customHeight="1" x14ac:dyDescent="0.35">
      <c r="A20" s="230">
        <v>15</v>
      </c>
      <c r="B20" s="238" t="s">
        <v>280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49999999999999" customHeight="1" x14ac:dyDescent="0.35">
      <c r="A21" s="230">
        <v>16</v>
      </c>
      <c r="B21" s="246" t="s">
        <v>990</v>
      </c>
      <c r="C21" s="238">
        <f>data!C85</f>
        <v>0</v>
      </c>
      <c r="D21" s="238">
        <f>data!D85</f>
        <v>0</v>
      </c>
      <c r="E21" s="238">
        <f>data!E85</f>
        <v>300887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49999999999999" customHeight="1" x14ac:dyDescent="0.35">
      <c r="A22" s="230">
        <v>17</v>
      </c>
      <c r="B22" s="238" t="s">
        <v>282</v>
      </c>
      <c r="C22" s="247"/>
      <c r="D22" s="248"/>
      <c r="E22" s="248"/>
      <c r="F22" s="248"/>
      <c r="G22" s="248"/>
      <c r="H22" s="248"/>
      <c r="I22" s="248"/>
    </row>
    <row r="23" spans="1:9" ht="20.149999999999999" customHeight="1" x14ac:dyDescent="0.35">
      <c r="A23" s="230">
        <v>18</v>
      </c>
      <c r="B23" s="238" t="s">
        <v>991</v>
      </c>
      <c r="C23" s="246">
        <f>+data!M668</f>
        <v>0</v>
      </c>
      <c r="D23" s="246">
        <f>+data!M669</f>
        <v>0</v>
      </c>
      <c r="E23" s="246">
        <f>+data!M670</f>
        <v>254416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49999999999999" customHeight="1" x14ac:dyDescent="0.35">
      <c r="A24" s="230">
        <v>19</v>
      </c>
      <c r="B24" s="246" t="s">
        <v>992</v>
      </c>
      <c r="C24" s="238">
        <f>data!C87</f>
        <v>0</v>
      </c>
      <c r="D24" s="238">
        <f>data!D87</f>
        <v>0</v>
      </c>
      <c r="E24" s="238">
        <f>data!E87</f>
        <v>1043916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49999999999999" customHeight="1" x14ac:dyDescent="0.35">
      <c r="A25" s="230">
        <v>20</v>
      </c>
      <c r="B25" s="246" t="s">
        <v>993</v>
      </c>
      <c r="C25" s="238">
        <f>data!C88</f>
        <v>0</v>
      </c>
      <c r="D25" s="238">
        <f>data!D88</f>
        <v>0</v>
      </c>
      <c r="E25" s="238">
        <f>data!E88</f>
        <v>38185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35">
      <c r="A26" s="230">
        <v>21</v>
      </c>
      <c r="B26" s="246" t="s">
        <v>994</v>
      </c>
      <c r="C26" s="238">
        <f>data!C89</f>
        <v>0</v>
      </c>
      <c r="D26" s="238">
        <f>data!D89</f>
        <v>0</v>
      </c>
      <c r="E26" s="238">
        <f>data!E89</f>
        <v>1082101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49999999999999" customHeight="1" x14ac:dyDescent="0.35">
      <c r="A27" s="230" t="s">
        <v>995</v>
      </c>
      <c r="B27" s="238"/>
      <c r="C27" s="248"/>
      <c r="D27" s="248"/>
      <c r="E27" s="248"/>
      <c r="F27" s="248"/>
      <c r="G27" s="248"/>
      <c r="H27" s="248"/>
      <c r="I27" s="248"/>
    </row>
    <row r="28" spans="1:9" ht="20.149999999999999" customHeight="1" x14ac:dyDescent="0.35">
      <c r="A28" s="230">
        <v>22</v>
      </c>
      <c r="B28" s="238" t="s">
        <v>996</v>
      </c>
      <c r="C28" s="238">
        <f>data!C90</f>
        <v>0</v>
      </c>
      <c r="D28" s="238">
        <f>data!D90</f>
        <v>0</v>
      </c>
      <c r="E28" s="238">
        <f>data!E90</f>
        <v>523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49999999999999" customHeight="1" x14ac:dyDescent="0.35">
      <c r="A29" s="230">
        <v>23</v>
      </c>
      <c r="B29" s="238" t="s">
        <v>997</v>
      </c>
      <c r="C29" s="238">
        <f>data!C91</f>
        <v>0</v>
      </c>
      <c r="D29" s="238">
        <f>data!D91</f>
        <v>0</v>
      </c>
      <c r="E29" s="238">
        <f>data!E91</f>
        <v>1087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49999999999999" customHeight="1" x14ac:dyDescent="0.35">
      <c r="A30" s="230">
        <v>24</v>
      </c>
      <c r="B30" s="238" t="s">
        <v>998</v>
      </c>
      <c r="C30" s="238">
        <f>data!C92</f>
        <v>0</v>
      </c>
      <c r="D30" s="238">
        <f>data!D92</f>
        <v>0</v>
      </c>
      <c r="E30" s="238">
        <f>data!E92</f>
        <v>215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49999999999999" customHeight="1" x14ac:dyDescent="0.35">
      <c r="A31" s="230">
        <v>25</v>
      </c>
      <c r="B31" s="238" t="s">
        <v>999</v>
      </c>
      <c r="C31" s="238">
        <f>data!C93</f>
        <v>0</v>
      </c>
      <c r="D31" s="238">
        <f>data!D93</f>
        <v>0</v>
      </c>
      <c r="E31" s="238">
        <f>data!E93</f>
        <v>2486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49999999999999" customHeight="1" x14ac:dyDescent="0.35">
      <c r="A32" s="230">
        <v>26</v>
      </c>
      <c r="B32" s="238" t="s">
        <v>290</v>
      </c>
      <c r="C32" s="245">
        <f>data!C94</f>
        <v>0</v>
      </c>
      <c r="D32" s="245">
        <f>data!D94</f>
        <v>0</v>
      </c>
      <c r="E32" s="245">
        <f>data!E94</f>
        <v>2.63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49999999999999" customHeight="1" x14ac:dyDescent="0.35">
      <c r="A33" s="231" t="s">
        <v>981</v>
      </c>
      <c r="B33" s="232"/>
      <c r="C33" s="232"/>
      <c r="D33" s="232"/>
      <c r="E33" s="232"/>
      <c r="F33" s="232"/>
      <c r="G33" s="232"/>
      <c r="H33" s="232"/>
      <c r="I33" s="231"/>
    </row>
    <row r="34" spans="1:9" ht="20.149999999999999" customHeight="1" x14ac:dyDescent="0.35">
      <c r="A34" s="234"/>
      <c r="I34" s="235" t="s">
        <v>1000</v>
      </c>
    </row>
    <row r="35" spans="1:9" ht="20.149999999999999" customHeight="1" x14ac:dyDescent="0.35">
      <c r="A35" s="234"/>
      <c r="I35" s="234"/>
    </row>
    <row r="36" spans="1:9" ht="20.149999999999999" customHeight="1" x14ac:dyDescent="0.35">
      <c r="A36" s="236" t="str">
        <f>"Hospital: "&amp;data!C98</f>
        <v>Hospital: Ferry County Public Hospital District No. 1</v>
      </c>
      <c r="G36" s="237"/>
      <c r="H36" s="236" t="str">
        <f>"FYE: "&amp;data!C96</f>
        <v>FYE: 12/31/2022</v>
      </c>
    </row>
    <row r="37" spans="1:9" ht="20.149999999999999" customHeight="1" x14ac:dyDescent="0.35">
      <c r="A37" s="230">
        <v>1</v>
      </c>
      <c r="B37" s="238" t="s">
        <v>232</v>
      </c>
      <c r="C37" s="240" t="s">
        <v>39</v>
      </c>
      <c r="D37" s="240" t="s">
        <v>40</v>
      </c>
      <c r="E37" s="240" t="s">
        <v>41</v>
      </c>
      <c r="F37" s="240" t="s">
        <v>42</v>
      </c>
      <c r="G37" s="240" t="s">
        <v>43</v>
      </c>
      <c r="H37" s="240" t="s">
        <v>44</v>
      </c>
      <c r="I37" s="240" t="s">
        <v>45</v>
      </c>
    </row>
    <row r="38" spans="1:9" ht="20.149999999999999" customHeight="1" x14ac:dyDescent="0.35">
      <c r="A38" s="241">
        <v>2</v>
      </c>
      <c r="B38" s="242" t="s">
        <v>983</v>
      </c>
      <c r="C38" s="244"/>
      <c r="D38" s="244" t="s">
        <v>122</v>
      </c>
      <c r="E38" s="244" t="s">
        <v>123</v>
      </c>
      <c r="F38" s="244" t="s">
        <v>1001</v>
      </c>
      <c r="G38" s="244" t="s">
        <v>125</v>
      </c>
      <c r="H38" s="244" t="s">
        <v>1002</v>
      </c>
      <c r="I38" s="244" t="s">
        <v>127</v>
      </c>
    </row>
    <row r="39" spans="1:9" ht="20.149999999999999" customHeight="1" x14ac:dyDescent="0.35">
      <c r="A39" s="241"/>
      <c r="B39" s="242"/>
      <c r="C39" s="244" t="s">
        <v>121</v>
      </c>
      <c r="D39" s="244" t="s">
        <v>180</v>
      </c>
      <c r="E39" s="243" t="s">
        <v>190</v>
      </c>
      <c r="F39" s="244" t="s">
        <v>191</v>
      </c>
      <c r="G39" s="244" t="s">
        <v>192</v>
      </c>
      <c r="H39" s="244" t="s">
        <v>193</v>
      </c>
      <c r="I39" s="244" t="s">
        <v>192</v>
      </c>
    </row>
    <row r="40" spans="1:9" ht="20.149999999999999" customHeight="1" x14ac:dyDescent="0.35">
      <c r="A40" s="230">
        <v>3</v>
      </c>
      <c r="B40" s="238" t="s">
        <v>987</v>
      </c>
      <c r="C40" s="240" t="s">
        <v>239</v>
      </c>
      <c r="D40" s="240" t="s">
        <v>238</v>
      </c>
      <c r="E40" s="240" t="s">
        <v>238</v>
      </c>
      <c r="F40" s="240" t="s">
        <v>238</v>
      </c>
      <c r="G40" s="240" t="s">
        <v>238</v>
      </c>
      <c r="H40" s="240" t="s">
        <v>240</v>
      </c>
      <c r="I40" s="239" t="s">
        <v>241</v>
      </c>
    </row>
    <row r="41" spans="1:9" ht="20.149999999999999" customHeight="1" x14ac:dyDescent="0.35">
      <c r="A41" s="230">
        <v>4</v>
      </c>
      <c r="B41" s="238" t="s">
        <v>257</v>
      </c>
      <c r="C41" s="238">
        <f>data!J59</f>
        <v>0</v>
      </c>
      <c r="D41" s="238">
        <f>data!K59</f>
        <v>0</v>
      </c>
      <c r="E41" s="238">
        <f>data!L59</f>
        <v>4052</v>
      </c>
      <c r="F41" s="238">
        <f>data!M59</f>
        <v>0</v>
      </c>
      <c r="G41" s="238">
        <f>data!N59</f>
        <v>5443</v>
      </c>
      <c r="H41" s="238">
        <f>data!O59</f>
        <v>0</v>
      </c>
      <c r="I41" s="238">
        <f>data!P59</f>
        <v>0</v>
      </c>
    </row>
    <row r="42" spans="1:9" ht="20.149999999999999" customHeight="1" x14ac:dyDescent="0.35">
      <c r="A42" s="230">
        <v>5</v>
      </c>
      <c r="B42" s="238" t="s">
        <v>258</v>
      </c>
      <c r="C42" s="245">
        <f>data!J60</f>
        <v>0</v>
      </c>
      <c r="D42" s="245">
        <f>data!K60</f>
        <v>0</v>
      </c>
      <c r="E42" s="245">
        <f>data!L60</f>
        <v>30.1</v>
      </c>
      <c r="F42" s="245">
        <f>data!M60</f>
        <v>0</v>
      </c>
      <c r="G42" s="245">
        <f>data!N60</f>
        <v>15.47</v>
      </c>
      <c r="H42" s="245">
        <f>data!O60</f>
        <v>0</v>
      </c>
      <c r="I42" s="245">
        <f>data!P60</f>
        <v>0</v>
      </c>
    </row>
    <row r="43" spans="1:9" ht="20.149999999999999" customHeight="1" x14ac:dyDescent="0.35">
      <c r="A43" s="230">
        <v>6</v>
      </c>
      <c r="B43" s="238" t="s">
        <v>259</v>
      </c>
      <c r="C43" s="238">
        <f>data!J61</f>
        <v>0</v>
      </c>
      <c r="D43" s="238">
        <f>data!K61</f>
        <v>0</v>
      </c>
      <c r="E43" s="238">
        <f>data!L61</f>
        <v>2233201</v>
      </c>
      <c r="F43" s="238">
        <f>data!M61</f>
        <v>0</v>
      </c>
      <c r="G43" s="238">
        <f>data!N61</f>
        <v>799917</v>
      </c>
      <c r="H43" s="238">
        <f>data!O61</f>
        <v>0</v>
      </c>
      <c r="I43" s="238">
        <f>data!P61</f>
        <v>0</v>
      </c>
    </row>
    <row r="44" spans="1:9" ht="20.149999999999999" customHeight="1" x14ac:dyDescent="0.35">
      <c r="A44" s="230">
        <v>7</v>
      </c>
      <c r="B44" s="238" t="s">
        <v>9</v>
      </c>
      <c r="C44" s="238">
        <f>data!J62</f>
        <v>0</v>
      </c>
      <c r="D44" s="238">
        <f>data!K62</f>
        <v>0</v>
      </c>
      <c r="E44" s="238">
        <f>data!L62</f>
        <v>514332</v>
      </c>
      <c r="F44" s="238">
        <f>data!M62</f>
        <v>0</v>
      </c>
      <c r="G44" s="238">
        <f>data!N62</f>
        <v>184230</v>
      </c>
      <c r="H44" s="238">
        <f>data!O62</f>
        <v>0</v>
      </c>
      <c r="I44" s="238">
        <f>data!P62</f>
        <v>0</v>
      </c>
    </row>
    <row r="45" spans="1:9" ht="20.149999999999999" customHeight="1" x14ac:dyDescent="0.35">
      <c r="A45" s="230">
        <v>8</v>
      </c>
      <c r="B45" s="238" t="s">
        <v>260</v>
      </c>
      <c r="C45" s="238">
        <f>data!J63</f>
        <v>0</v>
      </c>
      <c r="D45" s="238">
        <f>data!K63</f>
        <v>0</v>
      </c>
      <c r="E45" s="238">
        <f>data!L63</f>
        <v>39627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49999999999999" customHeight="1" x14ac:dyDescent="0.35">
      <c r="A46" s="230">
        <v>9</v>
      </c>
      <c r="B46" s="238" t="s">
        <v>261</v>
      </c>
      <c r="C46" s="238">
        <f>data!J64</f>
        <v>0</v>
      </c>
      <c r="D46" s="238">
        <f>data!K64</f>
        <v>0</v>
      </c>
      <c r="E46" s="238">
        <f>data!L64</f>
        <v>202541</v>
      </c>
      <c r="F46" s="238">
        <f>data!M64</f>
        <v>0</v>
      </c>
      <c r="G46" s="238">
        <f>data!N64</f>
        <v>25937</v>
      </c>
      <c r="H46" s="238">
        <f>data!O64</f>
        <v>0</v>
      </c>
      <c r="I46" s="238">
        <f>data!P64</f>
        <v>0</v>
      </c>
    </row>
    <row r="47" spans="1:9" ht="20.149999999999999" customHeight="1" x14ac:dyDescent="0.35">
      <c r="A47" s="230">
        <v>10</v>
      </c>
      <c r="B47" s="238" t="s">
        <v>507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32900</v>
      </c>
      <c r="H47" s="238">
        <f>data!O65</f>
        <v>0</v>
      </c>
      <c r="I47" s="238">
        <f>data!P65</f>
        <v>0</v>
      </c>
    </row>
    <row r="48" spans="1:9" ht="20.149999999999999" customHeight="1" x14ac:dyDescent="0.35">
      <c r="A48" s="230">
        <v>11</v>
      </c>
      <c r="B48" s="238" t="s">
        <v>508</v>
      </c>
      <c r="C48" s="238">
        <f>data!J66</f>
        <v>0</v>
      </c>
      <c r="D48" s="238">
        <f>data!K66</f>
        <v>0</v>
      </c>
      <c r="E48" s="238">
        <f>data!L66</f>
        <v>263780</v>
      </c>
      <c r="F48" s="238">
        <f>data!M66</f>
        <v>0</v>
      </c>
      <c r="G48" s="238">
        <f>data!N66</f>
        <v>95024</v>
      </c>
      <c r="H48" s="238">
        <f>data!O66</f>
        <v>0</v>
      </c>
      <c r="I48" s="238">
        <f>data!P66</f>
        <v>0</v>
      </c>
    </row>
    <row r="49" spans="1:11" ht="20.149999999999999" customHeight="1" x14ac:dyDescent="0.35">
      <c r="A49" s="230">
        <v>12</v>
      </c>
      <c r="B49" s="238" t="s">
        <v>14</v>
      </c>
      <c r="C49" s="238">
        <f>data!J67</f>
        <v>0</v>
      </c>
      <c r="D49" s="238">
        <f>data!K67</f>
        <v>0</v>
      </c>
      <c r="E49" s="238">
        <f>data!L67</f>
        <v>184019</v>
      </c>
      <c r="F49" s="238">
        <f>data!M67</f>
        <v>0</v>
      </c>
      <c r="G49" s="238">
        <f>data!N67</f>
        <v>318993</v>
      </c>
      <c r="H49" s="238">
        <f>data!O67</f>
        <v>0</v>
      </c>
      <c r="I49" s="238">
        <f>data!P67</f>
        <v>0</v>
      </c>
    </row>
    <row r="50" spans="1:11" ht="20.149999999999999" customHeight="1" x14ac:dyDescent="0.35">
      <c r="A50" s="230">
        <v>13</v>
      </c>
      <c r="B50" s="238" t="s">
        <v>988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206995</v>
      </c>
      <c r="H50" s="238">
        <f>data!O68</f>
        <v>0</v>
      </c>
      <c r="I50" s="238">
        <f>data!P68</f>
        <v>0</v>
      </c>
    </row>
    <row r="51" spans="1:11" ht="20.149999999999999" customHeight="1" x14ac:dyDescent="0.35">
      <c r="A51" s="230">
        <v>14</v>
      </c>
      <c r="B51" s="238" t="s">
        <v>989</v>
      </c>
      <c r="C51" s="238">
        <f>data!J69</f>
        <v>0</v>
      </c>
      <c r="D51" s="238">
        <f>data!K69</f>
        <v>0</v>
      </c>
      <c r="E51" s="238">
        <f>data!L69</f>
        <v>23894</v>
      </c>
      <c r="F51" s="238">
        <f>data!M69</f>
        <v>0</v>
      </c>
      <c r="G51" s="238">
        <f>data!N69</f>
        <v>35508</v>
      </c>
      <c r="H51" s="238">
        <f>data!O69</f>
        <v>0</v>
      </c>
      <c r="I51" s="238">
        <f>data!P69</f>
        <v>0</v>
      </c>
    </row>
    <row r="52" spans="1:11" ht="20.149999999999999" customHeight="1" x14ac:dyDescent="0.35">
      <c r="A52" s="230">
        <v>15</v>
      </c>
      <c r="B52" s="238" t="s">
        <v>280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49999999999999" customHeight="1" x14ac:dyDescent="0.35">
      <c r="A53" s="230">
        <v>16</v>
      </c>
      <c r="B53" s="246" t="s">
        <v>990</v>
      </c>
      <c r="C53" s="238">
        <f>data!J85</f>
        <v>0</v>
      </c>
      <c r="D53" s="238">
        <f>data!K85</f>
        <v>0</v>
      </c>
      <c r="E53" s="238">
        <f>data!L85</f>
        <v>3461394</v>
      </c>
      <c r="F53" s="238">
        <f>data!M85</f>
        <v>0</v>
      </c>
      <c r="G53" s="238">
        <f>data!N85</f>
        <v>1699504</v>
      </c>
      <c r="H53" s="238">
        <f>data!O85</f>
        <v>0</v>
      </c>
      <c r="I53" s="238">
        <f>data!P85</f>
        <v>0</v>
      </c>
    </row>
    <row r="54" spans="1:11" ht="20.149999999999999" customHeight="1" x14ac:dyDescent="0.35">
      <c r="A54" s="230">
        <v>17</v>
      </c>
      <c r="B54" s="238" t="s">
        <v>282</v>
      </c>
      <c r="C54" s="248"/>
      <c r="D54" s="248"/>
      <c r="E54" s="248"/>
      <c r="F54" s="248"/>
      <c r="G54" s="248"/>
      <c r="H54" s="248"/>
      <c r="I54" s="248"/>
    </row>
    <row r="55" spans="1:11" ht="20.149999999999999" customHeight="1" x14ac:dyDescent="0.35">
      <c r="A55" s="230">
        <v>18</v>
      </c>
      <c r="B55" s="238" t="s">
        <v>991</v>
      </c>
      <c r="C55" s="246">
        <f>+data!M675</f>
        <v>0</v>
      </c>
      <c r="D55" s="246">
        <f>+data!M676</f>
        <v>0</v>
      </c>
      <c r="E55" s="246">
        <f>+data!M677</f>
        <v>871534</v>
      </c>
      <c r="F55" s="246">
        <f>+data!M692</f>
        <v>0</v>
      </c>
      <c r="G55" s="246">
        <f>+data!M693</f>
        <v>249801</v>
      </c>
      <c r="H55" s="246">
        <f>+data!M680</f>
        <v>0</v>
      </c>
      <c r="I55" s="246">
        <f>+data!M681</f>
        <v>0</v>
      </c>
    </row>
    <row r="56" spans="1:11" ht="20.149999999999999" customHeight="1" x14ac:dyDescent="0.35">
      <c r="A56" s="230">
        <v>19</v>
      </c>
      <c r="B56" s="246" t="s">
        <v>992</v>
      </c>
      <c r="C56" s="238">
        <f>data!J87</f>
        <v>0</v>
      </c>
      <c r="D56" s="238">
        <f>data!K87</f>
        <v>0</v>
      </c>
      <c r="E56" s="238">
        <f>data!L87</f>
        <v>1894205</v>
      </c>
      <c r="F56" s="238">
        <f>data!M87</f>
        <v>0</v>
      </c>
      <c r="G56" s="238">
        <f>data!N87</f>
        <v>1248</v>
      </c>
      <c r="H56" s="238">
        <f>data!O87</f>
        <v>0</v>
      </c>
      <c r="I56" s="238">
        <f>data!P87</f>
        <v>0</v>
      </c>
    </row>
    <row r="57" spans="1:11" ht="20.149999999999999" customHeight="1" x14ac:dyDescent="0.35">
      <c r="A57" s="230">
        <v>20</v>
      </c>
      <c r="B57" s="246" t="s">
        <v>993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220047</v>
      </c>
      <c r="H57" s="238">
        <f>data!O88</f>
        <v>0</v>
      </c>
      <c r="I57" s="238">
        <f>data!P88</f>
        <v>0</v>
      </c>
    </row>
    <row r="58" spans="1:11" ht="20.149999999999999" customHeight="1" x14ac:dyDescent="0.35">
      <c r="A58" s="230">
        <v>21</v>
      </c>
      <c r="B58" s="246" t="s">
        <v>994</v>
      </c>
      <c r="C58" s="238">
        <f>data!J89</f>
        <v>0</v>
      </c>
      <c r="D58" s="238">
        <f>data!K89</f>
        <v>0</v>
      </c>
      <c r="E58" s="238">
        <f>data!L89</f>
        <v>1894205</v>
      </c>
      <c r="F58" s="238">
        <f>data!M89</f>
        <v>0</v>
      </c>
      <c r="G58" s="238">
        <f>data!N89</f>
        <v>221295</v>
      </c>
      <c r="H58" s="238">
        <f>data!O89</f>
        <v>0</v>
      </c>
      <c r="I58" s="238">
        <f>data!P89</f>
        <v>0</v>
      </c>
    </row>
    <row r="59" spans="1:11" ht="20.149999999999999" customHeight="1" x14ac:dyDescent="0.35">
      <c r="A59" s="230" t="s">
        <v>995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49999999999999" customHeight="1" x14ac:dyDescent="0.35">
      <c r="A60" s="230">
        <v>22</v>
      </c>
      <c r="B60" s="238" t="s">
        <v>996</v>
      </c>
      <c r="C60" s="238">
        <f>data!J90</f>
        <v>0</v>
      </c>
      <c r="D60" s="238">
        <f>data!K90</f>
        <v>0</v>
      </c>
      <c r="E60" s="238">
        <f>data!L90</f>
        <v>5992</v>
      </c>
      <c r="F60" s="238">
        <f>data!M90</f>
        <v>0</v>
      </c>
      <c r="G60" s="238">
        <f>data!N90</f>
        <v>10387</v>
      </c>
      <c r="H60" s="238">
        <f>data!O90</f>
        <v>0</v>
      </c>
      <c r="I60" s="238">
        <f>data!P90</f>
        <v>0</v>
      </c>
      <c r="K60" s="249"/>
    </row>
    <row r="61" spans="1:11" ht="20.149999999999999" customHeight="1" x14ac:dyDescent="0.35">
      <c r="A61" s="230">
        <v>23</v>
      </c>
      <c r="B61" s="238" t="s">
        <v>997</v>
      </c>
      <c r="C61" s="238">
        <f>data!J91</f>
        <v>0</v>
      </c>
      <c r="D61" s="238">
        <f>data!K91</f>
        <v>0</v>
      </c>
      <c r="E61" s="238">
        <f>data!L91</f>
        <v>12444</v>
      </c>
      <c r="F61" s="238">
        <f>data!M91</f>
        <v>0</v>
      </c>
      <c r="G61" s="238">
        <f>data!N91</f>
        <v>11070</v>
      </c>
      <c r="H61" s="238">
        <f>data!O91</f>
        <v>0</v>
      </c>
      <c r="I61" s="238">
        <f>data!P91</f>
        <v>0</v>
      </c>
    </row>
    <row r="62" spans="1:11" ht="20.149999999999999" customHeight="1" x14ac:dyDescent="0.35">
      <c r="A62" s="230">
        <v>24</v>
      </c>
      <c r="B62" s="238" t="s">
        <v>998</v>
      </c>
      <c r="C62" s="238">
        <f>data!J92</f>
        <v>0</v>
      </c>
      <c r="D62" s="238">
        <f>data!K92</f>
        <v>0</v>
      </c>
      <c r="E62" s="238">
        <f>data!L92</f>
        <v>2456</v>
      </c>
      <c r="F62" s="238">
        <f>data!M92</f>
        <v>0</v>
      </c>
      <c r="G62" s="238">
        <f>data!N92</f>
        <v>4258</v>
      </c>
      <c r="H62" s="238">
        <f>data!O92</f>
        <v>0</v>
      </c>
      <c r="I62" s="238">
        <f>data!P92</f>
        <v>0</v>
      </c>
    </row>
    <row r="63" spans="1:11" ht="20.149999999999999" customHeight="1" x14ac:dyDescent="0.35">
      <c r="A63" s="230">
        <v>25</v>
      </c>
      <c r="B63" s="238" t="s">
        <v>999</v>
      </c>
      <c r="C63" s="238">
        <f>data!J93</f>
        <v>0</v>
      </c>
      <c r="D63" s="238">
        <f>data!K93</f>
        <v>0</v>
      </c>
      <c r="E63" s="238">
        <f>data!L93</f>
        <v>28450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49999999999999" customHeight="1" x14ac:dyDescent="0.35">
      <c r="A64" s="230">
        <v>26</v>
      </c>
      <c r="B64" s="238" t="s">
        <v>290</v>
      </c>
      <c r="C64" s="245">
        <f>data!J94</f>
        <v>0</v>
      </c>
      <c r="D64" s="245">
        <f>data!K94</f>
        <v>0</v>
      </c>
      <c r="E64" s="245">
        <f>data!L94</f>
        <v>30.1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49999999999999" customHeight="1" x14ac:dyDescent="0.35">
      <c r="A65" s="231" t="s">
        <v>981</v>
      </c>
      <c r="B65" s="232"/>
      <c r="C65" s="232"/>
      <c r="D65" s="232"/>
      <c r="E65" s="232"/>
      <c r="F65" s="232"/>
      <c r="G65" s="232"/>
      <c r="H65" s="232"/>
      <c r="I65" s="231"/>
    </row>
    <row r="66" spans="1:9" ht="20.149999999999999" customHeight="1" x14ac:dyDescent="0.35">
      <c r="D66" s="234"/>
      <c r="I66" s="235" t="s">
        <v>1003</v>
      </c>
    </row>
    <row r="67" spans="1:9" ht="20.149999999999999" customHeight="1" x14ac:dyDescent="0.35">
      <c r="A67" s="234"/>
    </row>
    <row r="68" spans="1:9" ht="20.149999999999999" customHeight="1" x14ac:dyDescent="0.35">
      <c r="A68" s="236" t="str">
        <f>"Hospital: "&amp;data!C98</f>
        <v>Hospital: Ferry County Public Hospital District No. 1</v>
      </c>
      <c r="G68" s="237"/>
      <c r="H68" s="236" t="str">
        <f>"FYE: "&amp;data!C96</f>
        <v>FYE: 12/31/2022</v>
      </c>
    </row>
    <row r="69" spans="1:9" ht="20.149999999999999" customHeight="1" x14ac:dyDescent="0.35">
      <c r="A69" s="230">
        <v>1</v>
      </c>
      <c r="B69" s="238" t="s">
        <v>232</v>
      </c>
      <c r="C69" s="240" t="s">
        <v>46</v>
      </c>
      <c r="D69" s="240" t="s">
        <v>47</v>
      </c>
      <c r="E69" s="240" t="s">
        <v>48</v>
      </c>
      <c r="F69" s="240" t="s">
        <v>49</v>
      </c>
      <c r="G69" s="240" t="s">
        <v>50</v>
      </c>
      <c r="H69" s="240" t="s">
        <v>51</v>
      </c>
      <c r="I69" s="240" t="s">
        <v>52</v>
      </c>
    </row>
    <row r="70" spans="1:9" ht="20.149999999999999" customHeight="1" x14ac:dyDescent="0.35">
      <c r="A70" s="241">
        <v>2</v>
      </c>
      <c r="B70" s="242" t="s">
        <v>983</v>
      </c>
      <c r="C70" s="244" t="s">
        <v>128</v>
      </c>
      <c r="D70" s="244"/>
      <c r="E70" s="244" t="s">
        <v>130</v>
      </c>
      <c r="F70" s="244" t="s">
        <v>131</v>
      </c>
      <c r="G70" s="244"/>
      <c r="H70" s="244" t="s">
        <v>133</v>
      </c>
      <c r="I70" s="244" t="s">
        <v>134</v>
      </c>
    </row>
    <row r="71" spans="1:9" ht="20.149999999999999" customHeight="1" x14ac:dyDescent="0.35">
      <c r="A71" s="241"/>
      <c r="B71" s="242"/>
      <c r="C71" s="244" t="s">
        <v>194</v>
      </c>
      <c r="D71" s="244" t="s">
        <v>1004</v>
      </c>
      <c r="E71" s="244" t="s">
        <v>192</v>
      </c>
      <c r="F71" s="244" t="s">
        <v>195</v>
      </c>
      <c r="G71" s="244" t="s">
        <v>132</v>
      </c>
      <c r="H71" s="244" t="s">
        <v>196</v>
      </c>
      <c r="I71" s="244" t="s">
        <v>197</v>
      </c>
    </row>
    <row r="72" spans="1:9" ht="20.149999999999999" customHeight="1" x14ac:dyDescent="0.35">
      <c r="A72" s="230">
        <v>3</v>
      </c>
      <c r="B72" s="238" t="s">
        <v>987</v>
      </c>
      <c r="C72" s="240" t="s">
        <v>1005</v>
      </c>
      <c r="D72" s="239" t="s">
        <v>1006</v>
      </c>
      <c r="E72" s="250"/>
      <c r="F72" s="250"/>
      <c r="G72" s="239" t="s">
        <v>1007</v>
      </c>
      <c r="H72" s="239" t="s">
        <v>1007</v>
      </c>
      <c r="I72" s="240" t="s">
        <v>246</v>
      </c>
    </row>
    <row r="73" spans="1:9" ht="20.149999999999999" customHeight="1" x14ac:dyDescent="0.35">
      <c r="A73" s="230">
        <v>4</v>
      </c>
      <c r="B73" s="238" t="s">
        <v>257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33500</v>
      </c>
      <c r="H73" s="238">
        <f>data!V59</f>
        <v>0</v>
      </c>
      <c r="I73" s="238">
        <f>data!W59</f>
        <v>290</v>
      </c>
    </row>
    <row r="74" spans="1:9" ht="20.149999999999999" customHeight="1" x14ac:dyDescent="0.35">
      <c r="A74" s="230">
        <v>5</v>
      </c>
      <c r="B74" s="238" t="s">
        <v>258</v>
      </c>
      <c r="C74" s="245">
        <f>data!Q60</f>
        <v>0</v>
      </c>
      <c r="D74" s="245">
        <f>data!R60</f>
        <v>0</v>
      </c>
      <c r="E74" s="245">
        <f>data!S60</f>
        <v>1.92</v>
      </c>
      <c r="F74" s="245">
        <f>data!T60</f>
        <v>0</v>
      </c>
      <c r="G74" s="245">
        <f>data!U60</f>
        <v>7.19</v>
      </c>
      <c r="H74" s="245">
        <f>data!V60</f>
        <v>0</v>
      </c>
      <c r="I74" s="245">
        <f>data!W60</f>
        <v>0.34</v>
      </c>
    </row>
    <row r="75" spans="1:9" ht="20.149999999999999" customHeight="1" x14ac:dyDescent="0.35">
      <c r="A75" s="230">
        <v>6</v>
      </c>
      <c r="B75" s="238" t="s">
        <v>259</v>
      </c>
      <c r="C75" s="238">
        <f>data!Q61</f>
        <v>0</v>
      </c>
      <c r="D75" s="238">
        <f>data!R61</f>
        <v>0</v>
      </c>
      <c r="E75" s="238">
        <f>data!S61</f>
        <v>112994</v>
      </c>
      <c r="F75" s="238">
        <f>data!T61</f>
        <v>0</v>
      </c>
      <c r="G75" s="238">
        <f>data!U61</f>
        <v>423966</v>
      </c>
      <c r="H75" s="238">
        <f>data!V61</f>
        <v>0</v>
      </c>
      <c r="I75" s="238">
        <f>data!W61</f>
        <v>31389</v>
      </c>
    </row>
    <row r="76" spans="1:9" ht="20.149999999999999" customHeight="1" x14ac:dyDescent="0.35">
      <c r="A76" s="230">
        <v>7</v>
      </c>
      <c r="B76" s="238" t="s">
        <v>9</v>
      </c>
      <c r="C76" s="238">
        <f>data!Q62</f>
        <v>0</v>
      </c>
      <c r="D76" s="238">
        <f>data!R62</f>
        <v>0</v>
      </c>
      <c r="E76" s="238">
        <f>data!S62</f>
        <v>26024</v>
      </c>
      <c r="F76" s="238">
        <f>data!T62</f>
        <v>0</v>
      </c>
      <c r="G76" s="238">
        <f>data!U62</f>
        <v>97644</v>
      </c>
      <c r="H76" s="238">
        <f>data!V62</f>
        <v>0</v>
      </c>
      <c r="I76" s="238">
        <f>data!W62</f>
        <v>7229</v>
      </c>
    </row>
    <row r="77" spans="1:9" ht="20.149999999999999" customHeight="1" x14ac:dyDescent="0.35">
      <c r="A77" s="230">
        <v>8</v>
      </c>
      <c r="B77" s="238" t="s">
        <v>260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3126</v>
      </c>
    </row>
    <row r="78" spans="1:9" ht="20.149999999999999" customHeight="1" x14ac:dyDescent="0.35">
      <c r="A78" s="230">
        <v>9</v>
      </c>
      <c r="B78" s="238" t="s">
        <v>261</v>
      </c>
      <c r="C78" s="238">
        <f>data!Q64</f>
        <v>0</v>
      </c>
      <c r="D78" s="238">
        <f>data!R64</f>
        <v>0</v>
      </c>
      <c r="E78" s="238">
        <f>data!S64</f>
        <v>24710</v>
      </c>
      <c r="F78" s="238">
        <f>data!T64</f>
        <v>0</v>
      </c>
      <c r="G78" s="238">
        <f>data!U64</f>
        <v>526193</v>
      </c>
      <c r="H78" s="238">
        <f>data!V64</f>
        <v>0</v>
      </c>
      <c r="I78" s="238">
        <f>data!W64</f>
        <v>1279</v>
      </c>
    </row>
    <row r="79" spans="1:9" ht="20.149999999999999" customHeight="1" x14ac:dyDescent="0.35">
      <c r="A79" s="230">
        <v>10</v>
      </c>
      <c r="B79" s="238" t="s">
        <v>507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1712</v>
      </c>
    </row>
    <row r="80" spans="1:9" ht="20.149999999999999" customHeight="1" x14ac:dyDescent="0.35">
      <c r="A80" s="230">
        <v>11</v>
      </c>
      <c r="B80" s="238" t="s">
        <v>508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200879</v>
      </c>
      <c r="H80" s="238">
        <f>data!V66</f>
        <v>0</v>
      </c>
      <c r="I80" s="238">
        <f>data!W66</f>
        <v>197</v>
      </c>
    </row>
    <row r="81" spans="1:9" ht="20.149999999999999" customHeight="1" x14ac:dyDescent="0.35">
      <c r="A81" s="230">
        <v>12</v>
      </c>
      <c r="B81" s="238" t="s">
        <v>14</v>
      </c>
      <c r="C81" s="238">
        <f>data!Q67</f>
        <v>0</v>
      </c>
      <c r="D81" s="238">
        <f>data!R67</f>
        <v>0</v>
      </c>
      <c r="E81" s="238">
        <f>data!S67</f>
        <v>24753</v>
      </c>
      <c r="F81" s="238">
        <f>data!T67</f>
        <v>0</v>
      </c>
      <c r="G81" s="238">
        <f>data!U67</f>
        <v>28622</v>
      </c>
      <c r="H81" s="238">
        <f>data!V67</f>
        <v>0</v>
      </c>
      <c r="I81" s="238">
        <f>data!W67</f>
        <v>1751</v>
      </c>
    </row>
    <row r="82" spans="1:9" ht="20.149999999999999" customHeight="1" x14ac:dyDescent="0.35">
      <c r="A82" s="230">
        <v>13</v>
      </c>
      <c r="B82" s="238" t="s">
        <v>988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49999999999999" customHeight="1" x14ac:dyDescent="0.35">
      <c r="A83" s="230">
        <v>14</v>
      </c>
      <c r="B83" s="238" t="s">
        <v>989</v>
      </c>
      <c r="C83" s="238">
        <f>data!Q69</f>
        <v>0</v>
      </c>
      <c r="D83" s="238">
        <f>data!R69</f>
        <v>0</v>
      </c>
      <c r="E83" s="238">
        <f>data!S69</f>
        <v>2390</v>
      </c>
      <c r="F83" s="238">
        <f>data!T69</f>
        <v>0</v>
      </c>
      <c r="G83" s="238">
        <f>data!U69</f>
        <v>2850</v>
      </c>
      <c r="H83" s="238">
        <f>data!V69</f>
        <v>0</v>
      </c>
      <c r="I83" s="238">
        <f>data!W69</f>
        <v>94385</v>
      </c>
    </row>
    <row r="84" spans="1:9" ht="20.149999999999999" customHeight="1" x14ac:dyDescent="0.35">
      <c r="A84" s="230">
        <v>15</v>
      </c>
      <c r="B84" s="238" t="s">
        <v>280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49999999999999" customHeight="1" x14ac:dyDescent="0.35">
      <c r="A85" s="230">
        <v>16</v>
      </c>
      <c r="B85" s="246" t="s">
        <v>990</v>
      </c>
      <c r="C85" s="238">
        <f>data!Q85</f>
        <v>0</v>
      </c>
      <c r="D85" s="238">
        <f>data!R85</f>
        <v>0</v>
      </c>
      <c r="E85" s="238">
        <f>data!S85</f>
        <v>190871</v>
      </c>
      <c r="F85" s="238">
        <f>data!T85</f>
        <v>0</v>
      </c>
      <c r="G85" s="238">
        <f>data!U85</f>
        <v>1280154</v>
      </c>
      <c r="H85" s="238">
        <f>data!V85</f>
        <v>0</v>
      </c>
      <c r="I85" s="238">
        <f>data!W85</f>
        <v>141068</v>
      </c>
    </row>
    <row r="86" spans="1:9" ht="20.149999999999999" customHeight="1" x14ac:dyDescent="0.35">
      <c r="A86" s="230">
        <v>17</v>
      </c>
      <c r="B86" s="238" t="s">
        <v>282</v>
      </c>
      <c r="C86" s="248"/>
      <c r="D86" s="248"/>
      <c r="E86" s="248"/>
      <c r="F86" s="248"/>
      <c r="G86" s="248"/>
      <c r="H86" s="248"/>
      <c r="I86" s="248"/>
    </row>
    <row r="87" spans="1:9" ht="20.149999999999999" customHeight="1" x14ac:dyDescent="0.35">
      <c r="A87" s="230">
        <v>18</v>
      </c>
      <c r="B87" s="238" t="s">
        <v>991</v>
      </c>
      <c r="C87" s="246">
        <f>+data!M682</f>
        <v>0</v>
      </c>
      <c r="D87" s="246">
        <f>+data!M683</f>
        <v>0</v>
      </c>
      <c r="E87" s="246">
        <f>+data!M684</f>
        <v>49493</v>
      </c>
      <c r="F87" s="246">
        <f>+data!M685</f>
        <v>0</v>
      </c>
      <c r="G87" s="246">
        <f>+data!M686</f>
        <v>852964</v>
      </c>
      <c r="H87" s="246">
        <f>+data!M687</f>
        <v>0</v>
      </c>
      <c r="I87" s="246">
        <f>+data!M688</f>
        <v>79893</v>
      </c>
    </row>
    <row r="88" spans="1:9" ht="20.149999999999999" customHeight="1" x14ac:dyDescent="0.35">
      <c r="A88" s="230">
        <v>19</v>
      </c>
      <c r="B88" s="246" t="s">
        <v>992</v>
      </c>
      <c r="C88" s="238">
        <f>data!Q87</f>
        <v>0</v>
      </c>
      <c r="D88" s="238">
        <f>data!R87</f>
        <v>0</v>
      </c>
      <c r="E88" s="238">
        <f>data!S87</f>
        <v>203267</v>
      </c>
      <c r="F88" s="238">
        <f>data!T87</f>
        <v>0</v>
      </c>
      <c r="G88" s="238">
        <f>data!U87</f>
        <v>303017</v>
      </c>
      <c r="H88" s="238">
        <f>data!V87</f>
        <v>0</v>
      </c>
      <c r="I88" s="238">
        <f>data!W87</f>
        <v>13794</v>
      </c>
    </row>
    <row r="89" spans="1:9" ht="20.149999999999999" customHeight="1" x14ac:dyDescent="0.35">
      <c r="A89" s="230">
        <v>20</v>
      </c>
      <c r="B89" s="246" t="s">
        <v>993</v>
      </c>
      <c r="C89" s="238">
        <f>data!Q88</f>
        <v>0</v>
      </c>
      <c r="D89" s="238">
        <f>data!R88</f>
        <v>0</v>
      </c>
      <c r="E89" s="238">
        <f>data!S88</f>
        <v>94606</v>
      </c>
      <c r="F89" s="238">
        <f>data!T88</f>
        <v>0</v>
      </c>
      <c r="G89" s="238">
        <f>data!U88</f>
        <v>3937759</v>
      </c>
      <c r="H89" s="238">
        <f>data!V88</f>
        <v>0</v>
      </c>
      <c r="I89" s="238">
        <f>data!W88</f>
        <v>371730</v>
      </c>
    </row>
    <row r="90" spans="1:9" ht="20.149999999999999" customHeight="1" x14ac:dyDescent="0.35">
      <c r="A90" s="230">
        <v>21</v>
      </c>
      <c r="B90" s="246" t="s">
        <v>994</v>
      </c>
      <c r="C90" s="238">
        <f>data!Q89</f>
        <v>0</v>
      </c>
      <c r="D90" s="238">
        <f>data!R89</f>
        <v>0</v>
      </c>
      <c r="E90" s="238">
        <f>data!S89</f>
        <v>297873</v>
      </c>
      <c r="F90" s="238">
        <f>data!T89</f>
        <v>0</v>
      </c>
      <c r="G90" s="238">
        <f>data!U89</f>
        <v>4240776</v>
      </c>
      <c r="H90" s="238">
        <f>data!V89</f>
        <v>0</v>
      </c>
      <c r="I90" s="238">
        <f>data!W89</f>
        <v>385524</v>
      </c>
    </row>
    <row r="91" spans="1:9" ht="20.149999999999999" customHeight="1" x14ac:dyDescent="0.35">
      <c r="A91" s="230" t="s">
        <v>995</v>
      </c>
      <c r="B91" s="238"/>
      <c r="C91" s="248"/>
      <c r="D91" s="248"/>
      <c r="E91" s="248"/>
      <c r="F91" s="248"/>
      <c r="G91" s="248"/>
      <c r="H91" s="248"/>
      <c r="I91" s="248"/>
    </row>
    <row r="92" spans="1:9" ht="20.149999999999999" customHeight="1" x14ac:dyDescent="0.35">
      <c r="A92" s="230">
        <v>22</v>
      </c>
      <c r="B92" s="238" t="s">
        <v>996</v>
      </c>
      <c r="C92" s="238">
        <f>data!Q90</f>
        <v>0</v>
      </c>
      <c r="D92" s="238">
        <f>data!R90</f>
        <v>0</v>
      </c>
      <c r="E92" s="238">
        <f>data!S90</f>
        <v>806</v>
      </c>
      <c r="F92" s="238">
        <f>data!T90</f>
        <v>0</v>
      </c>
      <c r="G92" s="238">
        <f>data!U90</f>
        <v>932</v>
      </c>
      <c r="H92" s="238">
        <f>data!V90</f>
        <v>0</v>
      </c>
      <c r="I92" s="238">
        <f>data!W90</f>
        <v>57</v>
      </c>
    </row>
    <row r="93" spans="1:9" ht="20.149999999999999" customHeight="1" x14ac:dyDescent="0.35">
      <c r="A93" s="230">
        <v>23</v>
      </c>
      <c r="B93" s="238" t="s">
        <v>997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49999999999999" customHeight="1" x14ac:dyDescent="0.35">
      <c r="A94" s="230">
        <v>24</v>
      </c>
      <c r="B94" s="238" t="s">
        <v>998</v>
      </c>
      <c r="C94" s="238">
        <f>data!Q92</f>
        <v>0</v>
      </c>
      <c r="D94" s="238">
        <f>data!R92</f>
        <v>0</v>
      </c>
      <c r="E94" s="238">
        <f>data!S92</f>
        <v>330</v>
      </c>
      <c r="F94" s="238">
        <f>data!T92</f>
        <v>0</v>
      </c>
      <c r="G94" s="238">
        <f>data!U92</f>
        <v>382</v>
      </c>
      <c r="H94" s="238">
        <f>data!V92</f>
        <v>0</v>
      </c>
      <c r="I94" s="238">
        <f>data!W92</f>
        <v>23</v>
      </c>
    </row>
    <row r="95" spans="1:9" ht="20.149999999999999" customHeight="1" x14ac:dyDescent="0.35">
      <c r="A95" s="230">
        <v>25</v>
      </c>
      <c r="B95" s="238" t="s">
        <v>999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355</v>
      </c>
    </row>
    <row r="96" spans="1:9" ht="20.149999999999999" customHeight="1" x14ac:dyDescent="0.35">
      <c r="A96" s="230">
        <v>26</v>
      </c>
      <c r="B96" s="238" t="s">
        <v>290</v>
      </c>
      <c r="C96" s="245">
        <f>data!Q94</f>
        <v>0</v>
      </c>
      <c r="D96" s="245">
        <f>data!R94</f>
        <v>0</v>
      </c>
      <c r="E96" s="245">
        <f>data!S94</f>
        <v>1.92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49999999999999" customHeight="1" x14ac:dyDescent="0.35">
      <c r="A97" s="231" t="s">
        <v>981</v>
      </c>
      <c r="B97" s="232"/>
      <c r="C97" s="232"/>
      <c r="D97" s="232"/>
      <c r="E97" s="232"/>
      <c r="F97" s="232"/>
      <c r="G97" s="232"/>
      <c r="H97" s="232"/>
      <c r="I97" s="231"/>
    </row>
    <row r="98" spans="1:9" ht="20.149999999999999" customHeight="1" x14ac:dyDescent="0.35">
      <c r="D98" s="234"/>
      <c r="I98" s="235" t="s">
        <v>1008</v>
      </c>
    </row>
    <row r="99" spans="1:9" ht="20.149999999999999" customHeight="1" x14ac:dyDescent="0.35">
      <c r="A99" s="234"/>
    </row>
    <row r="100" spans="1:9" ht="20.149999999999999" customHeight="1" x14ac:dyDescent="0.35">
      <c r="A100" s="236" t="str">
        <f>"Hospital: "&amp;data!C98</f>
        <v>Hospital: Ferry County Public Hospital District No. 1</v>
      </c>
      <c r="G100" s="237"/>
      <c r="H100" s="236" t="str">
        <f>"FYE: "&amp;data!C96</f>
        <v>FYE: 12/31/2022</v>
      </c>
    </row>
    <row r="101" spans="1:9" ht="20.149999999999999" customHeight="1" x14ac:dyDescent="0.35">
      <c r="A101" s="230">
        <v>1</v>
      </c>
      <c r="B101" s="238" t="s">
        <v>232</v>
      </c>
      <c r="C101" s="240" t="s">
        <v>53</v>
      </c>
      <c r="D101" s="240" t="s">
        <v>54</v>
      </c>
      <c r="E101" s="240" t="s">
        <v>55</v>
      </c>
      <c r="F101" s="240" t="s">
        <v>56</v>
      </c>
      <c r="G101" s="240" t="s">
        <v>57</v>
      </c>
      <c r="H101" s="240" t="s">
        <v>58</v>
      </c>
      <c r="I101" s="240" t="s">
        <v>59</v>
      </c>
    </row>
    <row r="102" spans="1:9" ht="20.149999999999999" customHeight="1" x14ac:dyDescent="0.35">
      <c r="A102" s="241">
        <v>2</v>
      </c>
      <c r="B102" s="242" t="s">
        <v>983</v>
      </c>
      <c r="C102" s="244" t="s">
        <v>1009</v>
      </c>
      <c r="D102" s="244" t="s">
        <v>1010</v>
      </c>
      <c r="E102" s="244" t="s">
        <v>1010</v>
      </c>
      <c r="F102" s="244" t="s">
        <v>137</v>
      </c>
      <c r="G102" s="244"/>
      <c r="H102" s="244" t="s">
        <v>139</v>
      </c>
      <c r="I102" s="244"/>
    </row>
    <row r="103" spans="1:9" ht="20.149999999999999" customHeight="1" x14ac:dyDescent="0.35">
      <c r="A103" s="241"/>
      <c r="B103" s="242"/>
      <c r="C103" s="244" t="s">
        <v>198</v>
      </c>
      <c r="D103" s="244" t="s">
        <v>199</v>
      </c>
      <c r="E103" s="244" t="s">
        <v>200</v>
      </c>
      <c r="F103" s="244" t="s">
        <v>201</v>
      </c>
      <c r="G103" s="244" t="s">
        <v>138</v>
      </c>
      <c r="H103" s="244" t="s">
        <v>195</v>
      </c>
      <c r="I103" s="244" t="s">
        <v>140</v>
      </c>
    </row>
    <row r="104" spans="1:9" ht="20.149999999999999" customHeight="1" x14ac:dyDescent="0.35">
      <c r="A104" s="230">
        <v>3</v>
      </c>
      <c r="B104" s="238" t="s">
        <v>987</v>
      </c>
      <c r="C104" s="239" t="s">
        <v>247</v>
      </c>
      <c r="D104" s="240" t="s">
        <v>1011</v>
      </c>
      <c r="E104" s="240" t="s">
        <v>1011</v>
      </c>
      <c r="F104" s="240" t="s">
        <v>1011</v>
      </c>
      <c r="G104" s="250"/>
      <c r="H104" s="240" t="s">
        <v>249</v>
      </c>
      <c r="I104" s="240" t="s">
        <v>250</v>
      </c>
    </row>
    <row r="105" spans="1:9" ht="20.149999999999999" customHeight="1" x14ac:dyDescent="0.35">
      <c r="A105" s="230">
        <v>4</v>
      </c>
      <c r="B105" s="238" t="s">
        <v>257</v>
      </c>
      <c r="C105" s="238">
        <f>data!X59</f>
        <v>1322</v>
      </c>
      <c r="D105" s="238">
        <f>data!Y59</f>
        <v>2887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49999999999999" customHeight="1" x14ac:dyDescent="0.35">
      <c r="A106" s="230">
        <v>5</v>
      </c>
      <c r="B106" s="238" t="s">
        <v>258</v>
      </c>
      <c r="C106" s="245">
        <f>data!X60</f>
        <v>1.56</v>
      </c>
      <c r="D106" s="245">
        <f>data!Y60</f>
        <v>3.41</v>
      </c>
      <c r="E106" s="245">
        <f>data!Z60</f>
        <v>0</v>
      </c>
      <c r="F106" s="245">
        <f>data!AA60</f>
        <v>0</v>
      </c>
      <c r="G106" s="245">
        <f>data!AB60</f>
        <v>0</v>
      </c>
      <c r="H106" s="245">
        <f>data!AC60</f>
        <v>0</v>
      </c>
      <c r="I106" s="245">
        <f>data!AD60</f>
        <v>0</v>
      </c>
    </row>
    <row r="107" spans="1:9" ht="20.149999999999999" customHeight="1" x14ac:dyDescent="0.35">
      <c r="A107" s="230">
        <v>6</v>
      </c>
      <c r="B107" s="238" t="s">
        <v>259</v>
      </c>
      <c r="C107" s="238">
        <f>data!X61</f>
        <v>143090</v>
      </c>
      <c r="D107" s="238">
        <f>data!Y61</f>
        <v>312482</v>
      </c>
      <c r="E107" s="238">
        <f>data!Z61</f>
        <v>0</v>
      </c>
      <c r="F107" s="238">
        <f>data!AA61</f>
        <v>0</v>
      </c>
      <c r="G107" s="238">
        <f>data!AB61</f>
        <v>0</v>
      </c>
      <c r="H107" s="238">
        <f>data!AC61</f>
        <v>0</v>
      </c>
      <c r="I107" s="238">
        <f>data!AD61</f>
        <v>0</v>
      </c>
    </row>
    <row r="108" spans="1:9" ht="20.149999999999999" customHeight="1" x14ac:dyDescent="0.35">
      <c r="A108" s="230">
        <v>7</v>
      </c>
      <c r="B108" s="238" t="s">
        <v>9</v>
      </c>
      <c r="C108" s="238">
        <f>data!X62</f>
        <v>32955</v>
      </c>
      <c r="D108" s="238">
        <f>data!Y62</f>
        <v>71968</v>
      </c>
      <c r="E108" s="238">
        <f>data!Z62</f>
        <v>0</v>
      </c>
      <c r="F108" s="238">
        <f>data!AA62</f>
        <v>0</v>
      </c>
      <c r="G108" s="238">
        <f>data!AB62</f>
        <v>0</v>
      </c>
      <c r="H108" s="238">
        <f>data!AC62</f>
        <v>0</v>
      </c>
      <c r="I108" s="238">
        <f>data!AD62</f>
        <v>0</v>
      </c>
    </row>
    <row r="109" spans="1:9" ht="20.149999999999999" customHeight="1" x14ac:dyDescent="0.35">
      <c r="A109" s="230">
        <v>8</v>
      </c>
      <c r="B109" s="238" t="s">
        <v>260</v>
      </c>
      <c r="C109" s="238">
        <f>data!X63</f>
        <v>14251</v>
      </c>
      <c r="D109" s="238">
        <f>data!Y63</f>
        <v>31120</v>
      </c>
      <c r="E109" s="238">
        <f>data!Z63</f>
        <v>0</v>
      </c>
      <c r="F109" s="238">
        <f>data!AA63</f>
        <v>0</v>
      </c>
      <c r="G109" s="238">
        <f>data!AB63</f>
        <v>226489</v>
      </c>
      <c r="H109" s="238">
        <f>data!AC63</f>
        <v>0</v>
      </c>
      <c r="I109" s="238">
        <f>data!AD63</f>
        <v>0</v>
      </c>
    </row>
    <row r="110" spans="1:9" ht="20.149999999999999" customHeight="1" x14ac:dyDescent="0.35">
      <c r="A110" s="230">
        <v>9</v>
      </c>
      <c r="B110" s="238" t="s">
        <v>261</v>
      </c>
      <c r="C110" s="238">
        <f>data!X64</f>
        <v>5830</v>
      </c>
      <c r="D110" s="238">
        <f>data!Y64</f>
        <v>12732</v>
      </c>
      <c r="E110" s="238">
        <f>data!Z64</f>
        <v>0</v>
      </c>
      <c r="F110" s="238">
        <f>data!AA64</f>
        <v>0</v>
      </c>
      <c r="G110" s="238">
        <f>data!AB64</f>
        <v>2365523</v>
      </c>
      <c r="H110" s="238">
        <f>data!AC64</f>
        <v>0</v>
      </c>
      <c r="I110" s="238">
        <f>data!AD64</f>
        <v>0</v>
      </c>
    </row>
    <row r="111" spans="1:9" ht="20.149999999999999" customHeight="1" x14ac:dyDescent="0.35">
      <c r="A111" s="230">
        <v>10</v>
      </c>
      <c r="B111" s="238" t="s">
        <v>507</v>
      </c>
      <c r="C111" s="238">
        <f>data!X65</f>
        <v>7806</v>
      </c>
      <c r="D111" s="238">
        <f>data!Y65</f>
        <v>17045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49999999999999" customHeight="1" x14ac:dyDescent="0.35">
      <c r="A112" s="230">
        <v>11</v>
      </c>
      <c r="B112" s="238" t="s">
        <v>508</v>
      </c>
      <c r="C112" s="238">
        <f>data!X66</f>
        <v>896</v>
      </c>
      <c r="D112" s="238">
        <f>data!Y66</f>
        <v>1957</v>
      </c>
      <c r="E112" s="238">
        <f>data!Z66</f>
        <v>0</v>
      </c>
      <c r="F112" s="238">
        <f>data!AA66</f>
        <v>0</v>
      </c>
      <c r="G112" s="238">
        <f>data!AB66</f>
        <v>120566</v>
      </c>
      <c r="H112" s="238">
        <f>data!AC66</f>
        <v>0</v>
      </c>
      <c r="I112" s="238">
        <f>data!AD66</f>
        <v>0</v>
      </c>
    </row>
    <row r="113" spans="1:9" ht="20.149999999999999" customHeight="1" x14ac:dyDescent="0.35">
      <c r="A113" s="230">
        <v>12</v>
      </c>
      <c r="B113" s="238" t="s">
        <v>14</v>
      </c>
      <c r="C113" s="238">
        <f>data!X67</f>
        <v>7985</v>
      </c>
      <c r="D113" s="238">
        <f>data!Y67</f>
        <v>17413</v>
      </c>
      <c r="E113" s="238">
        <f>data!Z67</f>
        <v>0</v>
      </c>
      <c r="F113" s="238">
        <f>data!AA67</f>
        <v>0</v>
      </c>
      <c r="G113" s="238">
        <f>data!AB67</f>
        <v>3071</v>
      </c>
      <c r="H113" s="238">
        <f>data!AC67</f>
        <v>0</v>
      </c>
      <c r="I113" s="238">
        <f>data!AD67</f>
        <v>0</v>
      </c>
    </row>
    <row r="114" spans="1:9" ht="20.149999999999999" customHeight="1" x14ac:dyDescent="0.35">
      <c r="A114" s="230">
        <v>13</v>
      </c>
      <c r="B114" s="238" t="s">
        <v>988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49999999999999" customHeight="1" x14ac:dyDescent="0.35">
      <c r="A115" s="230">
        <v>14</v>
      </c>
      <c r="B115" s="238" t="s">
        <v>989</v>
      </c>
      <c r="C115" s="238">
        <f>data!X69</f>
        <v>1474</v>
      </c>
      <c r="D115" s="238">
        <f>data!Y69</f>
        <v>41946</v>
      </c>
      <c r="E115" s="238">
        <f>data!Z69</f>
        <v>0</v>
      </c>
      <c r="F115" s="238">
        <f>data!AA69</f>
        <v>0</v>
      </c>
      <c r="G115" s="238">
        <f>data!AB69</f>
        <v>0</v>
      </c>
      <c r="H115" s="238">
        <f>data!AC69</f>
        <v>0</v>
      </c>
      <c r="I115" s="238">
        <f>data!AD69</f>
        <v>0</v>
      </c>
    </row>
    <row r="116" spans="1:9" ht="20.149999999999999" customHeight="1" x14ac:dyDescent="0.35">
      <c r="A116" s="230">
        <v>15</v>
      </c>
      <c r="B116" s="238" t="s">
        <v>280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49999999999999" customHeight="1" x14ac:dyDescent="0.35">
      <c r="A117" s="230">
        <v>16</v>
      </c>
      <c r="B117" s="246" t="s">
        <v>990</v>
      </c>
      <c r="C117" s="238">
        <f>data!X85</f>
        <v>214287</v>
      </c>
      <c r="D117" s="238">
        <f>data!Y85</f>
        <v>506663</v>
      </c>
      <c r="E117" s="238">
        <f>data!Z85</f>
        <v>0</v>
      </c>
      <c r="F117" s="238">
        <f>data!AA85</f>
        <v>0</v>
      </c>
      <c r="G117" s="238">
        <f>data!AB85</f>
        <v>2715649</v>
      </c>
      <c r="H117" s="238">
        <f>data!AC85</f>
        <v>0</v>
      </c>
      <c r="I117" s="238">
        <f>data!AD85</f>
        <v>0</v>
      </c>
    </row>
    <row r="118" spans="1:9" ht="20.149999999999999" customHeight="1" x14ac:dyDescent="0.35">
      <c r="A118" s="230">
        <v>17</v>
      </c>
      <c r="B118" s="238" t="s">
        <v>282</v>
      </c>
      <c r="C118" s="248"/>
      <c r="D118" s="248"/>
      <c r="E118" s="248"/>
      <c r="F118" s="248"/>
      <c r="G118" s="248"/>
      <c r="H118" s="248"/>
      <c r="I118" s="248"/>
    </row>
    <row r="119" spans="1:9" ht="20.149999999999999" customHeight="1" x14ac:dyDescent="0.35">
      <c r="A119" s="230">
        <v>18</v>
      </c>
      <c r="B119" s="238" t="s">
        <v>991</v>
      </c>
      <c r="C119" s="246">
        <f>+data!M689</f>
        <v>346366</v>
      </c>
      <c r="D119" s="246">
        <f>+data!M690</f>
        <v>758111</v>
      </c>
      <c r="E119" s="246">
        <f>+data!M691</f>
        <v>0</v>
      </c>
      <c r="F119" s="246">
        <f>+data!M692</f>
        <v>0</v>
      </c>
      <c r="G119" s="246">
        <f>+data!M693</f>
        <v>249801</v>
      </c>
      <c r="H119" s="246">
        <f>+data!M694</f>
        <v>0</v>
      </c>
      <c r="I119" s="246">
        <f>+data!M695</f>
        <v>0</v>
      </c>
    </row>
    <row r="120" spans="1:9" ht="20.149999999999999" customHeight="1" x14ac:dyDescent="0.35">
      <c r="A120" s="230">
        <v>19</v>
      </c>
      <c r="B120" s="246" t="s">
        <v>992</v>
      </c>
      <c r="C120" s="238">
        <f>data!X87</f>
        <v>62880</v>
      </c>
      <c r="D120" s="238">
        <f>data!Y87</f>
        <v>137318</v>
      </c>
      <c r="E120" s="238">
        <f>data!Z87</f>
        <v>0</v>
      </c>
      <c r="F120" s="238">
        <f>data!AA87</f>
        <v>0</v>
      </c>
      <c r="G120" s="238">
        <f>data!AB87</f>
        <v>198712</v>
      </c>
      <c r="H120" s="238">
        <f>data!AC87</f>
        <v>0</v>
      </c>
      <c r="I120" s="238">
        <f>data!AD87</f>
        <v>0</v>
      </c>
    </row>
    <row r="121" spans="1:9" ht="20.149999999999999" customHeight="1" x14ac:dyDescent="0.35">
      <c r="A121" s="230">
        <v>20</v>
      </c>
      <c r="B121" s="246" t="s">
        <v>993</v>
      </c>
      <c r="C121" s="238">
        <f>data!X88</f>
        <v>1694577</v>
      </c>
      <c r="D121" s="238">
        <f>data!Y88</f>
        <v>3700639</v>
      </c>
      <c r="E121" s="238">
        <f>data!Z88</f>
        <v>0</v>
      </c>
      <c r="F121" s="238">
        <f>data!AA88</f>
        <v>0</v>
      </c>
      <c r="G121" s="238">
        <f>data!AB88</f>
        <v>528161</v>
      </c>
      <c r="H121" s="238">
        <f>data!AC88</f>
        <v>0</v>
      </c>
      <c r="I121" s="238">
        <f>data!AD88</f>
        <v>0</v>
      </c>
    </row>
    <row r="122" spans="1:9" ht="20.149999999999999" customHeight="1" x14ac:dyDescent="0.35">
      <c r="A122" s="230">
        <v>21</v>
      </c>
      <c r="B122" s="246" t="s">
        <v>994</v>
      </c>
      <c r="C122" s="238">
        <f>data!X89</f>
        <v>1757457</v>
      </c>
      <c r="D122" s="238">
        <f>data!Y89</f>
        <v>3837957</v>
      </c>
      <c r="E122" s="238">
        <f>data!Z89</f>
        <v>0</v>
      </c>
      <c r="F122" s="238">
        <f>data!AA89</f>
        <v>0</v>
      </c>
      <c r="G122" s="238">
        <f>data!AB89</f>
        <v>726873</v>
      </c>
      <c r="H122" s="238">
        <f>data!AC89</f>
        <v>0</v>
      </c>
      <c r="I122" s="238">
        <f>data!AD89</f>
        <v>0</v>
      </c>
    </row>
    <row r="123" spans="1:9" ht="20.149999999999999" customHeight="1" x14ac:dyDescent="0.35">
      <c r="A123" s="230" t="s">
        <v>995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49999999999999" customHeight="1" x14ac:dyDescent="0.35">
      <c r="A124" s="230">
        <v>22</v>
      </c>
      <c r="B124" s="238" t="s">
        <v>996</v>
      </c>
      <c r="C124" s="238">
        <f>data!X90</f>
        <v>260</v>
      </c>
      <c r="D124" s="238">
        <f>data!Y90</f>
        <v>567</v>
      </c>
      <c r="E124" s="238">
        <f>data!Z90</f>
        <v>0</v>
      </c>
      <c r="F124" s="238">
        <f>data!AA90</f>
        <v>0</v>
      </c>
      <c r="G124" s="238">
        <f>data!AB90</f>
        <v>100</v>
      </c>
      <c r="H124" s="238">
        <f>data!AC90</f>
        <v>0</v>
      </c>
      <c r="I124" s="238">
        <f>data!AD90</f>
        <v>0</v>
      </c>
    </row>
    <row r="125" spans="1:9" ht="20.149999999999999" customHeight="1" x14ac:dyDescent="0.35">
      <c r="A125" s="230">
        <v>23</v>
      </c>
      <c r="B125" s="238" t="s">
        <v>997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49999999999999" customHeight="1" x14ac:dyDescent="0.35">
      <c r="A126" s="230">
        <v>24</v>
      </c>
      <c r="B126" s="238" t="s">
        <v>998</v>
      </c>
      <c r="C126" s="238">
        <f>data!X92</f>
        <v>106</v>
      </c>
      <c r="D126" s="238">
        <f>data!Y92</f>
        <v>233</v>
      </c>
      <c r="E126" s="238">
        <f>data!Z92</f>
        <v>0</v>
      </c>
      <c r="F126" s="238">
        <f>data!AA92</f>
        <v>0</v>
      </c>
      <c r="G126" s="238">
        <f>data!AB92</f>
        <v>41</v>
      </c>
      <c r="H126" s="238">
        <f>data!AC92</f>
        <v>0</v>
      </c>
      <c r="I126" s="238">
        <f>data!AD92</f>
        <v>0</v>
      </c>
    </row>
    <row r="127" spans="1:9" ht="20.149999999999999" customHeight="1" x14ac:dyDescent="0.35">
      <c r="A127" s="230">
        <v>25</v>
      </c>
      <c r="B127" s="238" t="s">
        <v>999</v>
      </c>
      <c r="C127" s="238">
        <f>data!X93</f>
        <v>1621</v>
      </c>
      <c r="D127" s="238">
        <f>data!Y93</f>
        <v>3539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49999999999999" customHeight="1" x14ac:dyDescent="0.35">
      <c r="A128" s="230">
        <v>26</v>
      </c>
      <c r="B128" s="238" t="s">
        <v>290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49999999999999" customHeight="1" x14ac:dyDescent="0.35">
      <c r="A129" s="231" t="s">
        <v>981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49999999999999" customHeight="1" x14ac:dyDescent="0.35">
      <c r="D130" s="234"/>
      <c r="I130" s="235" t="s">
        <v>1012</v>
      </c>
    </row>
    <row r="131" spans="1:14" ht="20.149999999999999" customHeight="1" x14ac:dyDescent="0.35">
      <c r="A131" s="234"/>
    </row>
    <row r="132" spans="1:14" ht="20.149999999999999" customHeight="1" x14ac:dyDescent="0.35">
      <c r="A132" s="236" t="str">
        <f>"Hospital: "&amp;data!C98</f>
        <v>Hospital: Ferry County Public Hospital District No. 1</v>
      </c>
      <c r="G132" s="237"/>
      <c r="H132" s="236" t="str">
        <f>"FYE: "&amp;data!C96</f>
        <v>FYE: 12/31/2022</v>
      </c>
    </row>
    <row r="133" spans="1:14" ht="20.149999999999999" customHeight="1" x14ac:dyDescent="0.35">
      <c r="A133" s="230">
        <v>1</v>
      </c>
      <c r="B133" s="238" t="s">
        <v>232</v>
      </c>
      <c r="C133" s="240" t="s">
        <v>60</v>
      </c>
      <c r="D133" s="240" t="s">
        <v>61</v>
      </c>
      <c r="E133" s="240" t="s">
        <v>62</v>
      </c>
      <c r="F133" s="240" t="s">
        <v>63</v>
      </c>
      <c r="G133" s="240" t="s">
        <v>64</v>
      </c>
      <c r="H133" s="240" t="s">
        <v>65</v>
      </c>
      <c r="I133" s="240" t="s">
        <v>66</v>
      </c>
    </row>
    <row r="134" spans="1:14" ht="20.149999999999999" customHeight="1" x14ac:dyDescent="0.35">
      <c r="A134" s="241">
        <v>2</v>
      </c>
      <c r="B134" s="242" t="s">
        <v>983</v>
      </c>
      <c r="C134" s="244" t="s">
        <v>118</v>
      </c>
      <c r="D134" s="244" t="s">
        <v>119</v>
      </c>
      <c r="E134" s="244" t="s">
        <v>141</v>
      </c>
      <c r="F134" s="244"/>
      <c r="G134" s="244" t="s">
        <v>1013</v>
      </c>
      <c r="H134" s="244"/>
      <c r="I134" s="244" t="s">
        <v>145</v>
      </c>
    </row>
    <row r="135" spans="1:14" ht="20.149999999999999" customHeight="1" x14ac:dyDescent="0.35">
      <c r="A135" s="241"/>
      <c r="B135" s="242"/>
      <c r="C135" s="244" t="s">
        <v>195</v>
      </c>
      <c r="D135" s="244" t="s">
        <v>202</v>
      </c>
      <c r="E135" s="244" t="s">
        <v>194</v>
      </c>
      <c r="F135" s="244" t="s">
        <v>142</v>
      </c>
      <c r="G135" s="244" t="s">
        <v>203</v>
      </c>
      <c r="H135" s="244" t="s">
        <v>144</v>
      </c>
      <c r="I135" s="244" t="s">
        <v>195</v>
      </c>
    </row>
    <row r="136" spans="1:14" ht="20.149999999999999" customHeight="1" x14ac:dyDescent="0.35">
      <c r="A136" s="230">
        <v>3</v>
      </c>
      <c r="B136" s="238" t="s">
        <v>987</v>
      </c>
      <c r="C136" s="240" t="s">
        <v>249</v>
      </c>
      <c r="D136" s="240" t="s">
        <v>251</v>
      </c>
      <c r="E136" s="240" t="s">
        <v>251</v>
      </c>
      <c r="F136" s="240" t="s">
        <v>252</v>
      </c>
      <c r="G136" s="239" t="s">
        <v>1014</v>
      </c>
      <c r="H136" s="240" t="s">
        <v>251</v>
      </c>
      <c r="I136" s="240" t="s">
        <v>249</v>
      </c>
    </row>
    <row r="137" spans="1:14" ht="20.149999999999999" customHeight="1" x14ac:dyDescent="0.35">
      <c r="A137" s="230">
        <v>4</v>
      </c>
      <c r="B137" s="238" t="s">
        <v>257</v>
      </c>
      <c r="C137" s="238">
        <f>data!AE59</f>
        <v>10294</v>
      </c>
      <c r="D137" s="238">
        <f>data!AF59</f>
        <v>0</v>
      </c>
      <c r="E137" s="238">
        <f>data!AG59</f>
        <v>2719</v>
      </c>
      <c r="F137" s="238">
        <f>data!AH59</f>
        <v>0</v>
      </c>
      <c r="G137" s="238">
        <f>data!AI59</f>
        <v>295</v>
      </c>
      <c r="H137" s="238">
        <f>data!AJ59</f>
        <v>9029</v>
      </c>
      <c r="I137" s="238">
        <f>data!AK59</f>
        <v>1532</v>
      </c>
      <c r="K137" s="249"/>
      <c r="L137" s="251"/>
      <c r="M137" s="251"/>
      <c r="N137" s="251"/>
    </row>
    <row r="138" spans="1:14" ht="20.149999999999999" customHeight="1" x14ac:dyDescent="0.35">
      <c r="A138" s="230">
        <v>5</v>
      </c>
      <c r="B138" s="238" t="s">
        <v>258</v>
      </c>
      <c r="C138" s="245">
        <f>data!AE60</f>
        <v>6.22</v>
      </c>
      <c r="D138" s="245">
        <f>data!AF60</f>
        <v>0</v>
      </c>
      <c r="E138" s="245">
        <f>data!AG60</f>
        <v>2.71</v>
      </c>
      <c r="F138" s="245">
        <f>data!AH60</f>
        <v>0</v>
      </c>
      <c r="G138" s="245">
        <f>data!AI60</f>
        <v>0.21</v>
      </c>
      <c r="H138" s="245">
        <f>data!AJ60</f>
        <v>12.26</v>
      </c>
      <c r="I138" s="245">
        <f>data!AK60</f>
        <v>0.06</v>
      </c>
    </row>
    <row r="139" spans="1:14" ht="20.149999999999999" customHeight="1" x14ac:dyDescent="0.35">
      <c r="A139" s="230">
        <v>6</v>
      </c>
      <c r="B139" s="238" t="s">
        <v>259</v>
      </c>
      <c r="C139" s="238">
        <f>data!AE61</f>
        <v>440466</v>
      </c>
      <c r="D139" s="238">
        <f>data!AF61</f>
        <v>0</v>
      </c>
      <c r="E139" s="238">
        <f>data!AG61</f>
        <v>303725</v>
      </c>
      <c r="F139" s="238">
        <f>data!AH61</f>
        <v>0</v>
      </c>
      <c r="G139" s="238">
        <f>data!AI61</f>
        <v>17706</v>
      </c>
      <c r="H139" s="238">
        <f>data!AJ61</f>
        <v>707188</v>
      </c>
      <c r="I139" s="238">
        <f>data!AK61</f>
        <v>2827</v>
      </c>
    </row>
    <row r="140" spans="1:14" ht="20.149999999999999" customHeight="1" x14ac:dyDescent="0.35">
      <c r="A140" s="230">
        <v>7</v>
      </c>
      <c r="B140" s="238" t="s">
        <v>9</v>
      </c>
      <c r="C140" s="238">
        <f>data!AE62</f>
        <v>101444</v>
      </c>
      <c r="D140" s="238">
        <f>data!AF62</f>
        <v>0</v>
      </c>
      <c r="E140" s="238">
        <f>data!AG62</f>
        <v>69951</v>
      </c>
      <c r="F140" s="238">
        <f>data!AH62</f>
        <v>0</v>
      </c>
      <c r="G140" s="238">
        <f>data!AI62</f>
        <v>4078</v>
      </c>
      <c r="H140" s="238">
        <f>data!AJ62</f>
        <v>162874</v>
      </c>
      <c r="I140" s="238">
        <f>data!AK62</f>
        <v>651</v>
      </c>
    </row>
    <row r="141" spans="1:14" ht="20.149999999999999" customHeight="1" x14ac:dyDescent="0.35">
      <c r="A141" s="230">
        <v>8</v>
      </c>
      <c r="B141" s="238" t="s">
        <v>260</v>
      </c>
      <c r="C141" s="238">
        <f>data!AE63</f>
        <v>0</v>
      </c>
      <c r="D141" s="238">
        <f>data!AF63</f>
        <v>0</v>
      </c>
      <c r="E141" s="238">
        <f>data!AG63</f>
        <v>0</v>
      </c>
      <c r="F141" s="238">
        <f>data!AH63</f>
        <v>0</v>
      </c>
      <c r="G141" s="238">
        <f>data!AI63</f>
        <v>0</v>
      </c>
      <c r="H141" s="238">
        <f>data!AJ63</f>
        <v>129833</v>
      </c>
      <c r="I141" s="238">
        <f>data!AK63</f>
        <v>0</v>
      </c>
    </row>
    <row r="142" spans="1:14" ht="20.149999999999999" customHeight="1" x14ac:dyDescent="0.35">
      <c r="A142" s="230">
        <v>9</v>
      </c>
      <c r="B142" s="238" t="s">
        <v>261</v>
      </c>
      <c r="C142" s="238">
        <f>data!AE64</f>
        <v>12506</v>
      </c>
      <c r="D142" s="238">
        <f>data!AF64</f>
        <v>0</v>
      </c>
      <c r="E142" s="238">
        <f>data!AG64</f>
        <v>49105</v>
      </c>
      <c r="F142" s="238">
        <f>data!AH64</f>
        <v>0</v>
      </c>
      <c r="G142" s="238">
        <f>data!AI64</f>
        <v>8946</v>
      </c>
      <c r="H142" s="238">
        <f>data!AJ64</f>
        <v>27870</v>
      </c>
      <c r="I142" s="238">
        <f>data!AK64</f>
        <v>723</v>
      </c>
    </row>
    <row r="143" spans="1:14" ht="20.149999999999999" customHeight="1" x14ac:dyDescent="0.35">
      <c r="A143" s="230">
        <v>10</v>
      </c>
      <c r="B143" s="238" t="s">
        <v>507</v>
      </c>
      <c r="C143" s="238">
        <f>data!AE65</f>
        <v>211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3892</v>
      </c>
      <c r="I143" s="238">
        <f>data!AK65</f>
        <v>0</v>
      </c>
    </row>
    <row r="144" spans="1:14" ht="20.149999999999999" customHeight="1" x14ac:dyDescent="0.35">
      <c r="A144" s="230">
        <v>11</v>
      </c>
      <c r="B144" s="238" t="s">
        <v>508</v>
      </c>
      <c r="C144" s="238">
        <f>data!AE66</f>
        <v>171525</v>
      </c>
      <c r="D144" s="238">
        <f>data!AF66</f>
        <v>0</v>
      </c>
      <c r="E144" s="238">
        <f>data!AG66</f>
        <v>10835</v>
      </c>
      <c r="F144" s="238">
        <f>data!AH66</f>
        <v>0</v>
      </c>
      <c r="G144" s="238">
        <f>data!AI66</f>
        <v>10829</v>
      </c>
      <c r="H144" s="238">
        <f>data!AJ66</f>
        <v>7797</v>
      </c>
      <c r="I144" s="238">
        <f>data!AK66</f>
        <v>64954</v>
      </c>
    </row>
    <row r="145" spans="1:9" ht="20.149999999999999" customHeight="1" x14ac:dyDescent="0.35">
      <c r="A145" s="230">
        <v>12</v>
      </c>
      <c r="B145" s="238" t="s">
        <v>14</v>
      </c>
      <c r="C145" s="238">
        <f>data!AE67</f>
        <v>57982</v>
      </c>
      <c r="D145" s="238">
        <f>data!AF67</f>
        <v>0</v>
      </c>
      <c r="E145" s="238">
        <f>data!AG67</f>
        <v>30619</v>
      </c>
      <c r="F145" s="238">
        <f>data!AH67</f>
        <v>0</v>
      </c>
      <c r="G145" s="238">
        <f>data!AI67</f>
        <v>11639</v>
      </c>
      <c r="H145" s="238">
        <f>data!AJ67</f>
        <v>58289</v>
      </c>
      <c r="I145" s="238">
        <f>data!AK67</f>
        <v>0</v>
      </c>
    </row>
    <row r="146" spans="1:9" ht="20.149999999999999" customHeight="1" x14ac:dyDescent="0.35">
      <c r="A146" s="230">
        <v>13</v>
      </c>
      <c r="B146" s="238" t="s">
        <v>988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15189</v>
      </c>
      <c r="I146" s="238">
        <f>data!AK68</f>
        <v>0</v>
      </c>
    </row>
    <row r="147" spans="1:9" ht="20.149999999999999" customHeight="1" x14ac:dyDescent="0.35">
      <c r="A147" s="230">
        <v>14</v>
      </c>
      <c r="B147" s="238" t="s">
        <v>989</v>
      </c>
      <c r="C147" s="238">
        <f>data!AE69</f>
        <v>2156</v>
      </c>
      <c r="D147" s="238">
        <f>data!AF69</f>
        <v>0</v>
      </c>
      <c r="E147" s="238">
        <f>data!AG69</f>
        <v>0</v>
      </c>
      <c r="F147" s="238">
        <f>data!AH69</f>
        <v>0</v>
      </c>
      <c r="G147" s="238">
        <f>data!AI69</f>
        <v>36</v>
      </c>
      <c r="H147" s="238">
        <f>data!AJ69</f>
        <v>1706</v>
      </c>
      <c r="I147" s="238">
        <f>data!AK69</f>
        <v>0</v>
      </c>
    </row>
    <row r="148" spans="1:9" ht="20.149999999999999" customHeight="1" x14ac:dyDescent="0.35">
      <c r="A148" s="230">
        <v>15</v>
      </c>
      <c r="B148" s="238" t="s">
        <v>280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49999999999999" customHeight="1" x14ac:dyDescent="0.35">
      <c r="A149" s="230">
        <v>16</v>
      </c>
      <c r="B149" s="246" t="s">
        <v>990</v>
      </c>
      <c r="C149" s="238">
        <f>data!AE85</f>
        <v>786290</v>
      </c>
      <c r="D149" s="238">
        <f>data!AF85</f>
        <v>0</v>
      </c>
      <c r="E149" s="238">
        <f>data!AG85</f>
        <v>464235</v>
      </c>
      <c r="F149" s="238">
        <f>data!AH85</f>
        <v>0</v>
      </c>
      <c r="G149" s="238">
        <f>data!AI85</f>
        <v>53234</v>
      </c>
      <c r="H149" s="238">
        <f>data!AJ85</f>
        <v>1114638</v>
      </c>
      <c r="I149" s="238">
        <f>data!AK85</f>
        <v>69155</v>
      </c>
    </row>
    <row r="150" spans="1:9" ht="20.149999999999999" customHeight="1" x14ac:dyDescent="0.35">
      <c r="A150" s="230">
        <v>17</v>
      </c>
      <c r="B150" s="238" t="s">
        <v>282</v>
      </c>
      <c r="C150" s="248"/>
      <c r="D150" s="248"/>
      <c r="E150" s="248"/>
      <c r="F150" s="248"/>
      <c r="G150" s="248"/>
      <c r="H150" s="248"/>
      <c r="I150" s="248"/>
    </row>
    <row r="151" spans="1:9" ht="20.149999999999999" customHeight="1" x14ac:dyDescent="0.35">
      <c r="A151" s="230">
        <v>18</v>
      </c>
      <c r="B151" s="238" t="s">
        <v>991</v>
      </c>
      <c r="C151" s="246">
        <f>+data!M696</f>
        <v>246808</v>
      </c>
      <c r="D151" s="246">
        <f>+data!M697</f>
        <v>0</v>
      </c>
      <c r="E151" s="246">
        <f>+data!M698</f>
        <v>1233694</v>
      </c>
      <c r="F151" s="246">
        <f>+data!M699</f>
        <v>0</v>
      </c>
      <c r="G151" s="246">
        <f>+data!M700</f>
        <v>222761</v>
      </c>
      <c r="H151" s="246">
        <f>+data!M701</f>
        <v>468332</v>
      </c>
      <c r="I151" s="246">
        <f>+data!M702</f>
        <v>46482</v>
      </c>
    </row>
    <row r="152" spans="1:9" ht="20.149999999999999" customHeight="1" x14ac:dyDescent="0.35">
      <c r="A152" s="230">
        <v>19</v>
      </c>
      <c r="B152" s="246" t="s">
        <v>992</v>
      </c>
      <c r="C152" s="238">
        <f>data!AE87</f>
        <v>146594</v>
      </c>
      <c r="D152" s="238">
        <f>data!AF87</f>
        <v>0</v>
      </c>
      <c r="E152" s="238">
        <f>data!AG87</f>
        <v>15725</v>
      </c>
      <c r="F152" s="238">
        <f>data!AH87</f>
        <v>0</v>
      </c>
      <c r="G152" s="238">
        <f>data!AI87</f>
        <v>6340</v>
      </c>
      <c r="H152" s="238">
        <f>data!AJ87</f>
        <v>119285</v>
      </c>
      <c r="I152" s="238">
        <f>data!AK87</f>
        <v>71168</v>
      </c>
    </row>
    <row r="153" spans="1:9" ht="20.149999999999999" customHeight="1" x14ac:dyDescent="0.35">
      <c r="A153" s="230">
        <v>20</v>
      </c>
      <c r="B153" s="246" t="s">
        <v>993</v>
      </c>
      <c r="C153" s="238">
        <f>data!AE88</f>
        <v>1317065</v>
      </c>
      <c r="D153" s="238">
        <f>data!AF88</f>
        <v>0</v>
      </c>
      <c r="E153" s="238">
        <f>data!AG88</f>
        <v>6147274</v>
      </c>
      <c r="F153" s="238">
        <f>data!AH88</f>
        <v>0</v>
      </c>
      <c r="G153" s="238">
        <f>data!AI88</f>
        <v>1201026</v>
      </c>
      <c r="H153" s="238">
        <f>data!AJ88</f>
        <v>2348633</v>
      </c>
      <c r="I153" s="238">
        <f>data!AK88</f>
        <v>152089</v>
      </c>
    </row>
    <row r="154" spans="1:9" ht="20.149999999999999" customHeight="1" x14ac:dyDescent="0.35">
      <c r="A154" s="230">
        <v>21</v>
      </c>
      <c r="B154" s="246" t="s">
        <v>994</v>
      </c>
      <c r="C154" s="238">
        <f>data!AE89</f>
        <v>1463659</v>
      </c>
      <c r="D154" s="238">
        <f>data!AF89</f>
        <v>0</v>
      </c>
      <c r="E154" s="238">
        <f>data!AG89</f>
        <v>6162999</v>
      </c>
      <c r="F154" s="238">
        <f>data!AH89</f>
        <v>0</v>
      </c>
      <c r="G154" s="238">
        <f>data!AI89</f>
        <v>1207366</v>
      </c>
      <c r="H154" s="238">
        <f>data!AJ89</f>
        <v>2467918</v>
      </c>
      <c r="I154" s="238">
        <f>data!AK89</f>
        <v>223257</v>
      </c>
    </row>
    <row r="155" spans="1:9" ht="20.149999999999999" customHeight="1" x14ac:dyDescent="0.35">
      <c r="A155" s="230" t="s">
        <v>995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49999999999999" customHeight="1" x14ac:dyDescent="0.35">
      <c r="A156" s="230">
        <v>22</v>
      </c>
      <c r="B156" s="238" t="s">
        <v>996</v>
      </c>
      <c r="C156" s="238">
        <f>data!AE90</f>
        <v>1888</v>
      </c>
      <c r="D156" s="238">
        <f>data!AF90</f>
        <v>0</v>
      </c>
      <c r="E156" s="238">
        <f>data!AG90</f>
        <v>997</v>
      </c>
      <c r="F156" s="238">
        <f>data!AH90</f>
        <v>0</v>
      </c>
      <c r="G156" s="238">
        <f>data!AI90</f>
        <v>379</v>
      </c>
      <c r="H156" s="238">
        <f>data!AJ90</f>
        <v>1898</v>
      </c>
      <c r="I156" s="238">
        <f>data!AK90</f>
        <v>0</v>
      </c>
    </row>
    <row r="157" spans="1:9" ht="20.149999999999999" customHeight="1" x14ac:dyDescent="0.35">
      <c r="A157" s="230">
        <v>23</v>
      </c>
      <c r="B157" s="238" t="s">
        <v>997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49999999999999" customHeight="1" x14ac:dyDescent="0.35">
      <c r="A158" s="230">
        <v>24</v>
      </c>
      <c r="B158" s="238" t="s">
        <v>998</v>
      </c>
      <c r="C158" s="238">
        <f>data!AE92</f>
        <v>774</v>
      </c>
      <c r="D158" s="238">
        <f>data!AF92</f>
        <v>0</v>
      </c>
      <c r="E158" s="238">
        <f>data!AG92</f>
        <v>409</v>
      </c>
      <c r="F158" s="238">
        <f>data!AH92</f>
        <v>0</v>
      </c>
      <c r="G158" s="238">
        <f>data!AI92</f>
        <v>155</v>
      </c>
      <c r="H158" s="238">
        <f>data!AJ92</f>
        <v>778</v>
      </c>
      <c r="I158" s="238">
        <f>data!AK92</f>
        <v>0</v>
      </c>
    </row>
    <row r="159" spans="1:9" ht="20.149999999999999" customHeight="1" x14ac:dyDescent="0.35">
      <c r="A159" s="230">
        <v>25</v>
      </c>
      <c r="B159" s="238" t="s">
        <v>999</v>
      </c>
      <c r="C159" s="238">
        <f>data!AE93</f>
        <v>1749</v>
      </c>
      <c r="D159" s="238">
        <f>data!AF93</f>
        <v>0</v>
      </c>
      <c r="E159" s="238">
        <f>data!AG93</f>
        <v>13137</v>
      </c>
      <c r="F159" s="238">
        <f>data!AH93</f>
        <v>0</v>
      </c>
      <c r="G159" s="238">
        <f>data!AI93</f>
        <v>723</v>
      </c>
      <c r="H159" s="238">
        <f>data!AJ93</f>
        <v>50</v>
      </c>
      <c r="I159" s="238">
        <f>data!AK93</f>
        <v>0</v>
      </c>
    </row>
    <row r="160" spans="1:9" ht="20.149999999999999" customHeight="1" x14ac:dyDescent="0.35">
      <c r="A160" s="230">
        <v>26</v>
      </c>
      <c r="B160" s="238" t="s">
        <v>290</v>
      </c>
      <c r="C160" s="245">
        <f>data!AE94</f>
        <v>0</v>
      </c>
      <c r="D160" s="245">
        <f>data!AF94</f>
        <v>0</v>
      </c>
      <c r="E160" s="245">
        <f>data!AG94</f>
        <v>2.71</v>
      </c>
      <c r="F160" s="245">
        <f>data!AH94</f>
        <v>0</v>
      </c>
      <c r="G160" s="245">
        <f>data!AI94</f>
        <v>0.21</v>
      </c>
      <c r="H160" s="245">
        <f>data!AJ94</f>
        <v>0</v>
      </c>
      <c r="I160" s="245">
        <f>data!AK94</f>
        <v>0</v>
      </c>
    </row>
    <row r="161" spans="1:9" ht="20.149999999999999" customHeight="1" x14ac:dyDescent="0.35">
      <c r="A161" s="231" t="s">
        <v>981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49999999999999" customHeight="1" x14ac:dyDescent="0.35">
      <c r="D162" s="234"/>
      <c r="I162" s="235" t="s">
        <v>1015</v>
      </c>
    </row>
    <row r="163" spans="1:9" ht="20.149999999999999" customHeight="1" x14ac:dyDescent="0.35">
      <c r="A163" s="234"/>
    </row>
    <row r="164" spans="1:9" ht="20.149999999999999" customHeight="1" x14ac:dyDescent="0.35">
      <c r="A164" s="236" t="str">
        <f>"Hospital: "&amp;data!C98</f>
        <v>Hospital: Ferry County Public Hospital District No. 1</v>
      </c>
      <c r="G164" s="237"/>
      <c r="H164" s="236" t="str">
        <f>"FYE: "&amp;data!C96</f>
        <v>FYE: 12/31/2022</v>
      </c>
    </row>
    <row r="165" spans="1:9" ht="20.149999999999999" customHeight="1" x14ac:dyDescent="0.35">
      <c r="A165" s="230">
        <v>1</v>
      </c>
      <c r="B165" s="238" t="s">
        <v>232</v>
      </c>
      <c r="C165" s="240" t="s">
        <v>67</v>
      </c>
      <c r="D165" s="240" t="s">
        <v>68</v>
      </c>
      <c r="E165" s="240" t="s">
        <v>69</v>
      </c>
      <c r="F165" s="240" t="s">
        <v>70</v>
      </c>
      <c r="G165" s="240" t="s">
        <v>71</v>
      </c>
      <c r="H165" s="240" t="s">
        <v>72</v>
      </c>
      <c r="I165" s="240" t="s">
        <v>73</v>
      </c>
    </row>
    <row r="166" spans="1:9" ht="20.149999999999999" customHeight="1" x14ac:dyDescent="0.35">
      <c r="A166" s="241">
        <v>2</v>
      </c>
      <c r="B166" s="242" t="s">
        <v>983</v>
      </c>
      <c r="C166" s="244" t="s">
        <v>146</v>
      </c>
      <c r="D166" s="244" t="s">
        <v>147</v>
      </c>
      <c r="E166" s="244" t="s">
        <v>133</v>
      </c>
      <c r="F166" s="244" t="s">
        <v>148</v>
      </c>
      <c r="G166" s="244" t="s">
        <v>1016</v>
      </c>
      <c r="H166" s="244" t="s">
        <v>150</v>
      </c>
      <c r="I166" s="244" t="s">
        <v>151</v>
      </c>
    </row>
    <row r="167" spans="1:9" ht="20.149999999999999" customHeight="1" x14ac:dyDescent="0.35">
      <c r="A167" s="241"/>
      <c r="B167" s="242"/>
      <c r="C167" s="244" t="s">
        <v>195</v>
      </c>
      <c r="D167" s="244" t="s">
        <v>195</v>
      </c>
      <c r="E167" s="244" t="s">
        <v>1017</v>
      </c>
      <c r="F167" s="244" t="s">
        <v>205</v>
      </c>
      <c r="G167" s="244" t="s">
        <v>144</v>
      </c>
      <c r="H167" s="243" t="s">
        <v>1018</v>
      </c>
      <c r="I167" s="244" t="s">
        <v>192</v>
      </c>
    </row>
    <row r="168" spans="1:9" ht="20.149999999999999" customHeight="1" x14ac:dyDescent="0.35">
      <c r="A168" s="230">
        <v>3</v>
      </c>
      <c r="B168" s="238" t="s">
        <v>987</v>
      </c>
      <c r="C168" s="240" t="s">
        <v>249</v>
      </c>
      <c r="D168" s="240" t="s">
        <v>249</v>
      </c>
      <c r="E168" s="240" t="s">
        <v>240</v>
      </c>
      <c r="F168" s="240" t="s">
        <v>250</v>
      </c>
      <c r="G168" s="240" t="s">
        <v>251</v>
      </c>
      <c r="H168" s="240" t="s">
        <v>252</v>
      </c>
      <c r="I168" s="240" t="s">
        <v>251</v>
      </c>
    </row>
    <row r="169" spans="1:9" ht="20.149999999999999" customHeight="1" x14ac:dyDescent="0.35">
      <c r="A169" s="230">
        <v>4</v>
      </c>
      <c r="B169" s="238" t="s">
        <v>257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2232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49999999999999" customHeight="1" x14ac:dyDescent="0.35">
      <c r="A170" s="230">
        <v>5</v>
      </c>
      <c r="B170" s="238" t="s">
        <v>258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0.69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49999999999999" customHeight="1" x14ac:dyDescent="0.35">
      <c r="A171" s="230">
        <v>6</v>
      </c>
      <c r="B171" s="238" t="s">
        <v>259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51256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49999999999999" customHeight="1" x14ac:dyDescent="0.35">
      <c r="A172" s="230">
        <v>7</v>
      </c>
      <c r="B172" s="238" t="s">
        <v>9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11805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49999999999999" customHeight="1" x14ac:dyDescent="0.35">
      <c r="A173" s="230">
        <v>8</v>
      </c>
      <c r="B173" s="238" t="s">
        <v>260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909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49999999999999" customHeight="1" x14ac:dyDescent="0.35">
      <c r="A174" s="230">
        <v>9</v>
      </c>
      <c r="B174" s="238" t="s">
        <v>261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4649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49999999999999" customHeight="1" x14ac:dyDescent="0.35">
      <c r="A175" s="230">
        <v>10</v>
      </c>
      <c r="B175" s="238" t="s">
        <v>507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49999999999999" customHeight="1" x14ac:dyDescent="0.35">
      <c r="A176" s="230">
        <v>11</v>
      </c>
      <c r="B176" s="238" t="s">
        <v>508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6054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49999999999999" customHeight="1" x14ac:dyDescent="0.35">
      <c r="A177" s="230">
        <v>12</v>
      </c>
      <c r="B177" s="238" t="s">
        <v>14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4238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49999999999999" customHeight="1" x14ac:dyDescent="0.35">
      <c r="A178" s="230">
        <v>13</v>
      </c>
      <c r="B178" s="238" t="s">
        <v>988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49999999999999" customHeight="1" x14ac:dyDescent="0.35">
      <c r="A179" s="230">
        <v>14</v>
      </c>
      <c r="B179" s="238" t="s">
        <v>989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548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49999999999999" customHeight="1" x14ac:dyDescent="0.35">
      <c r="A180" s="230">
        <v>15</v>
      </c>
      <c r="B180" s="238" t="s">
        <v>280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49999999999999" customHeight="1" x14ac:dyDescent="0.35">
      <c r="A181" s="230">
        <v>16</v>
      </c>
      <c r="B181" s="246" t="s">
        <v>990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79459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49999999999999" customHeight="1" x14ac:dyDescent="0.35">
      <c r="A182" s="230">
        <v>17</v>
      </c>
      <c r="B182" s="238" t="s">
        <v>282</v>
      </c>
      <c r="C182" s="248"/>
      <c r="D182" s="248"/>
      <c r="E182" s="248"/>
      <c r="F182" s="248"/>
      <c r="G182" s="248"/>
      <c r="H182" s="248"/>
      <c r="I182" s="248"/>
    </row>
    <row r="183" spans="1:9" ht="20.149999999999999" customHeight="1" x14ac:dyDescent="0.35">
      <c r="A183" s="230">
        <v>18</v>
      </c>
      <c r="B183" s="238" t="s">
        <v>991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90279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49999999999999" customHeight="1" x14ac:dyDescent="0.35">
      <c r="A184" s="230">
        <v>19</v>
      </c>
      <c r="B184" s="246" t="s">
        <v>992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49999999999999" customHeight="1" x14ac:dyDescent="0.35">
      <c r="A185" s="230">
        <v>20</v>
      </c>
      <c r="B185" s="246" t="s">
        <v>993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404980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49999999999999" customHeight="1" x14ac:dyDescent="0.35">
      <c r="A186" s="230">
        <v>21</v>
      </c>
      <c r="B186" s="246" t="s">
        <v>994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404980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49999999999999" customHeight="1" x14ac:dyDescent="0.35">
      <c r="A187" s="230" t="s">
        <v>995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49999999999999" customHeight="1" x14ac:dyDescent="0.35">
      <c r="A188" s="230">
        <v>22</v>
      </c>
      <c r="B188" s="238" t="s">
        <v>996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138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49999999999999" customHeight="1" x14ac:dyDescent="0.35">
      <c r="A189" s="230">
        <v>23</v>
      </c>
      <c r="B189" s="238" t="s">
        <v>997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286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49999999999999" customHeight="1" x14ac:dyDescent="0.35">
      <c r="A190" s="230">
        <v>24</v>
      </c>
      <c r="B190" s="238" t="s">
        <v>998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56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49999999999999" customHeight="1" x14ac:dyDescent="0.35">
      <c r="A191" s="230">
        <v>25</v>
      </c>
      <c r="B191" s="238" t="s">
        <v>999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653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49999999999999" customHeight="1" x14ac:dyDescent="0.35">
      <c r="A192" s="230">
        <v>26</v>
      </c>
      <c r="B192" s="238" t="s">
        <v>290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0.69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49999999999999" customHeight="1" x14ac:dyDescent="0.35">
      <c r="A193" s="231" t="s">
        <v>981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49999999999999" customHeight="1" x14ac:dyDescent="0.35">
      <c r="D194" s="234"/>
      <c r="I194" s="235" t="s">
        <v>1019</v>
      </c>
    </row>
    <row r="195" spans="1:9" ht="20.149999999999999" customHeight="1" x14ac:dyDescent="0.35">
      <c r="A195" s="234"/>
    </row>
    <row r="196" spans="1:9" ht="20.149999999999999" customHeight="1" x14ac:dyDescent="0.35">
      <c r="A196" s="236" t="str">
        <f>"Hospital: "&amp;data!C98</f>
        <v>Hospital: Ferry County Public Hospital District No. 1</v>
      </c>
      <c r="G196" s="237"/>
      <c r="H196" s="236" t="str">
        <f>"FYE: "&amp;data!C96</f>
        <v>FYE: 12/31/2022</v>
      </c>
    </row>
    <row r="197" spans="1:9" ht="20.149999999999999" customHeight="1" x14ac:dyDescent="0.35">
      <c r="A197" s="230">
        <v>1</v>
      </c>
      <c r="B197" s="238" t="s">
        <v>232</v>
      </c>
      <c r="C197" s="240" t="s">
        <v>74</v>
      </c>
      <c r="D197" s="240" t="s">
        <v>75</v>
      </c>
      <c r="E197" s="240" t="s">
        <v>76</v>
      </c>
      <c r="F197" s="240" t="s">
        <v>77</v>
      </c>
      <c r="G197" s="240" t="s">
        <v>78</v>
      </c>
      <c r="H197" s="240" t="s">
        <v>79</v>
      </c>
      <c r="I197" s="240" t="s">
        <v>80</v>
      </c>
    </row>
    <row r="198" spans="1:9" ht="20.149999999999999" customHeight="1" x14ac:dyDescent="0.35">
      <c r="A198" s="241">
        <v>2</v>
      </c>
      <c r="B198" s="242" t="s">
        <v>983</v>
      </c>
      <c r="C198" s="244"/>
      <c r="D198" s="244" t="s">
        <v>153</v>
      </c>
      <c r="E198" s="244" t="s">
        <v>154</v>
      </c>
      <c r="F198" s="244" t="s">
        <v>155</v>
      </c>
      <c r="G198" s="244" t="s">
        <v>1020</v>
      </c>
      <c r="H198" s="244" t="s">
        <v>157</v>
      </c>
      <c r="I198" s="244"/>
    </row>
    <row r="199" spans="1:9" ht="20.149999999999999" customHeight="1" x14ac:dyDescent="0.35">
      <c r="A199" s="241"/>
      <c r="B199" s="242"/>
      <c r="C199" s="244" t="s">
        <v>152</v>
      </c>
      <c r="D199" s="244" t="s">
        <v>254</v>
      </c>
      <c r="E199" s="244" t="s">
        <v>1021</v>
      </c>
      <c r="F199" s="244" t="s">
        <v>209</v>
      </c>
      <c r="G199" s="244" t="s">
        <v>224</v>
      </c>
      <c r="H199" s="244" t="s">
        <v>211</v>
      </c>
      <c r="I199" s="244" t="s">
        <v>158</v>
      </c>
    </row>
    <row r="200" spans="1:9" ht="20.149999999999999" customHeight="1" x14ac:dyDescent="0.35">
      <c r="A200" s="230">
        <v>3</v>
      </c>
      <c r="B200" s="238" t="s">
        <v>987</v>
      </c>
      <c r="C200" s="240" t="s">
        <v>249</v>
      </c>
      <c r="D200" s="240" t="s">
        <v>254</v>
      </c>
      <c r="E200" s="240" t="s">
        <v>251</v>
      </c>
      <c r="F200" s="250"/>
      <c r="G200" s="250"/>
      <c r="H200" s="250"/>
      <c r="I200" s="240" t="s">
        <v>255</v>
      </c>
    </row>
    <row r="201" spans="1:9" ht="20.149999999999999" customHeight="1" x14ac:dyDescent="0.35">
      <c r="A201" s="230">
        <v>4</v>
      </c>
      <c r="B201" s="238" t="s">
        <v>257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24887</v>
      </c>
    </row>
    <row r="202" spans="1:9" ht="20.149999999999999" customHeight="1" x14ac:dyDescent="0.35">
      <c r="A202" s="230">
        <v>5</v>
      </c>
      <c r="B202" s="238" t="s">
        <v>258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6.11</v>
      </c>
    </row>
    <row r="203" spans="1:9" ht="20.149999999999999" customHeight="1" x14ac:dyDescent="0.35">
      <c r="A203" s="230">
        <v>6</v>
      </c>
      <c r="B203" s="238" t="s">
        <v>259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260385</v>
      </c>
    </row>
    <row r="204" spans="1:9" ht="20.149999999999999" customHeight="1" x14ac:dyDescent="0.35">
      <c r="A204" s="230">
        <v>7</v>
      </c>
      <c r="B204" s="238" t="s">
        <v>9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59970</v>
      </c>
    </row>
    <row r="205" spans="1:9" ht="20.149999999999999" customHeight="1" x14ac:dyDescent="0.35">
      <c r="A205" s="230">
        <v>8</v>
      </c>
      <c r="B205" s="238" t="s">
        <v>260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49999999999999" customHeight="1" x14ac:dyDescent="0.35">
      <c r="A206" s="230">
        <v>9</v>
      </c>
      <c r="B206" s="238" t="s">
        <v>261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144262</v>
      </c>
    </row>
    <row r="207" spans="1:9" ht="20.149999999999999" customHeight="1" x14ac:dyDescent="0.35">
      <c r="A207" s="230">
        <v>10</v>
      </c>
      <c r="B207" s="238" t="s">
        <v>507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49999999999999" customHeight="1" x14ac:dyDescent="0.35">
      <c r="A208" s="230">
        <v>11</v>
      </c>
      <c r="B208" s="238" t="s">
        <v>508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150</v>
      </c>
    </row>
    <row r="209" spans="1:9" ht="20.149999999999999" customHeight="1" x14ac:dyDescent="0.35">
      <c r="A209" s="230">
        <v>12</v>
      </c>
      <c r="B209" s="238" t="s">
        <v>14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29114</v>
      </c>
    </row>
    <row r="210" spans="1:9" ht="20.149999999999999" customHeight="1" x14ac:dyDescent="0.35">
      <c r="A210" s="230">
        <v>13</v>
      </c>
      <c r="B210" s="238" t="s">
        <v>988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49999999999999" customHeight="1" x14ac:dyDescent="0.35">
      <c r="A211" s="230">
        <v>14</v>
      </c>
      <c r="B211" s="238" t="s">
        <v>989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1074</v>
      </c>
    </row>
    <row r="212" spans="1:9" ht="20.149999999999999" customHeight="1" x14ac:dyDescent="0.35">
      <c r="A212" s="230">
        <v>15</v>
      </c>
      <c r="B212" s="238" t="s">
        <v>280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-14984</v>
      </c>
    </row>
    <row r="213" spans="1:9" ht="20.149999999999999" customHeight="1" x14ac:dyDescent="0.35">
      <c r="A213" s="230">
        <v>16</v>
      </c>
      <c r="B213" s="246" t="s">
        <v>990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479971</v>
      </c>
    </row>
    <row r="214" spans="1:9" ht="20.149999999999999" customHeight="1" x14ac:dyDescent="0.35">
      <c r="A214" s="230">
        <v>17</v>
      </c>
      <c r="B214" s="238" t="s">
        <v>282</v>
      </c>
      <c r="C214" s="248"/>
      <c r="D214" s="248"/>
      <c r="E214" s="248"/>
      <c r="F214" s="248"/>
      <c r="G214" s="248"/>
      <c r="H214" s="248"/>
      <c r="I214" s="248"/>
    </row>
    <row r="215" spans="1:9" ht="20.149999999999999" customHeight="1" x14ac:dyDescent="0.35">
      <c r="A215" s="230">
        <v>18</v>
      </c>
      <c r="B215" s="238" t="s">
        <v>991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0</v>
      </c>
      <c r="G215" s="252"/>
      <c r="H215" s="238"/>
      <c r="I215" s="238"/>
    </row>
    <row r="216" spans="1:9" ht="20.149999999999999" customHeight="1" x14ac:dyDescent="0.35">
      <c r="A216" s="230">
        <v>19</v>
      </c>
      <c r="B216" s="246" t="s">
        <v>992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49999999999999" customHeight="1" x14ac:dyDescent="0.35">
      <c r="A217" s="230">
        <v>20</v>
      </c>
      <c r="B217" s="246" t="s">
        <v>993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49999999999999" customHeight="1" x14ac:dyDescent="0.35">
      <c r="A218" s="230">
        <v>21</v>
      </c>
      <c r="B218" s="246" t="s">
        <v>994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49999999999999" customHeight="1" x14ac:dyDescent="0.35">
      <c r="A219" s="230" t="s">
        <v>995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49999999999999" customHeight="1" x14ac:dyDescent="0.35">
      <c r="A220" s="230">
        <v>22</v>
      </c>
      <c r="B220" s="238" t="s">
        <v>996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948</v>
      </c>
    </row>
    <row r="221" spans="1:9" ht="20.149999999999999" customHeight="1" x14ac:dyDescent="0.35">
      <c r="A221" s="230">
        <v>23</v>
      </c>
      <c r="B221" s="238" t="s">
        <v>997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49999999999999" customHeight="1" x14ac:dyDescent="0.35">
      <c r="A222" s="230">
        <v>24</v>
      </c>
      <c r="B222" s="238" t="s">
        <v>998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49999999999999" customHeight="1" x14ac:dyDescent="0.35">
      <c r="A223" s="230">
        <v>25</v>
      </c>
      <c r="B223" s="238" t="s">
        <v>999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49999999999999" customHeight="1" x14ac:dyDescent="0.35">
      <c r="A224" s="230">
        <v>26</v>
      </c>
      <c r="B224" s="238" t="s">
        <v>290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49999999999999" customHeight="1" x14ac:dyDescent="0.35">
      <c r="A225" s="231" t="s">
        <v>981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49999999999999" customHeight="1" x14ac:dyDescent="0.35">
      <c r="D226" s="234"/>
      <c r="I226" s="235" t="s">
        <v>1022</v>
      </c>
    </row>
    <row r="227" spans="1:9" ht="20.149999999999999" customHeight="1" x14ac:dyDescent="0.35">
      <c r="A227" s="234"/>
    </row>
    <row r="228" spans="1:9" ht="20.149999999999999" customHeight="1" x14ac:dyDescent="0.35">
      <c r="A228" s="236" t="str">
        <f>"Hospital: "&amp;data!C98</f>
        <v>Hospital: Ferry County Public Hospital District No. 1</v>
      </c>
      <c r="G228" s="237"/>
      <c r="H228" s="236" t="str">
        <f>"FYE: "&amp;data!C96</f>
        <v>FYE: 12/31/2022</v>
      </c>
    </row>
    <row r="229" spans="1:9" ht="20.149999999999999" customHeight="1" x14ac:dyDescent="0.35">
      <c r="A229" s="230">
        <v>1</v>
      </c>
      <c r="B229" s="238" t="s">
        <v>232</v>
      </c>
      <c r="C229" s="240" t="s">
        <v>81</v>
      </c>
      <c r="D229" s="240" t="s">
        <v>82</v>
      </c>
      <c r="E229" s="240" t="s">
        <v>83</v>
      </c>
      <c r="F229" s="240" t="s">
        <v>84</v>
      </c>
      <c r="G229" s="240" t="s">
        <v>85</v>
      </c>
      <c r="H229" s="240" t="s">
        <v>86</v>
      </c>
      <c r="I229" s="240" t="s">
        <v>87</v>
      </c>
    </row>
    <row r="230" spans="1:9" ht="20.149999999999999" customHeight="1" x14ac:dyDescent="0.35">
      <c r="A230" s="241">
        <v>2</v>
      </c>
      <c r="B230" s="242" t="s">
        <v>983</v>
      </c>
      <c r="C230" s="244"/>
      <c r="D230" s="244" t="s">
        <v>160</v>
      </c>
      <c r="E230" s="244" t="s">
        <v>161</v>
      </c>
      <c r="F230" s="244" t="s">
        <v>130</v>
      </c>
      <c r="G230" s="244"/>
      <c r="H230" s="244"/>
      <c r="I230" s="244"/>
    </row>
    <row r="231" spans="1:9" ht="20.149999999999999" customHeight="1" x14ac:dyDescent="0.35">
      <c r="A231" s="241"/>
      <c r="B231" s="242"/>
      <c r="C231" s="244" t="s">
        <v>159</v>
      </c>
      <c r="D231" s="244" t="s">
        <v>212</v>
      </c>
      <c r="E231" s="244" t="s">
        <v>1023</v>
      </c>
      <c r="F231" s="244" t="s">
        <v>1024</v>
      </c>
      <c r="G231" s="244" t="s">
        <v>162</v>
      </c>
      <c r="H231" s="244" t="s">
        <v>163</v>
      </c>
      <c r="I231" s="244" t="s">
        <v>164</v>
      </c>
    </row>
    <row r="232" spans="1:9" ht="20.149999999999999" customHeight="1" x14ac:dyDescent="0.35">
      <c r="A232" s="230">
        <v>3</v>
      </c>
      <c r="B232" s="238" t="s">
        <v>987</v>
      </c>
      <c r="C232" s="240" t="s">
        <v>1025</v>
      </c>
      <c r="D232" s="240" t="s">
        <v>1026</v>
      </c>
      <c r="E232" s="250"/>
      <c r="F232" s="250"/>
      <c r="G232" s="250"/>
      <c r="H232" s="240" t="s">
        <v>256</v>
      </c>
      <c r="I232" s="250"/>
    </row>
    <row r="233" spans="1:9" ht="20.149999999999999" customHeight="1" x14ac:dyDescent="0.35">
      <c r="A233" s="230">
        <v>4</v>
      </c>
      <c r="B233" s="238" t="s">
        <v>257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31509</v>
      </c>
      <c r="I233" s="250"/>
    </row>
    <row r="234" spans="1:9" ht="20.149999999999999" customHeight="1" x14ac:dyDescent="0.35">
      <c r="A234" s="230">
        <v>5</v>
      </c>
      <c r="B234" s="238" t="s">
        <v>258</v>
      </c>
      <c r="C234" s="245">
        <f>data!AZ60</f>
        <v>0</v>
      </c>
      <c r="D234" s="245">
        <f>data!BA60</f>
        <v>1.06</v>
      </c>
      <c r="E234" s="245">
        <f>data!BB60</f>
        <v>0</v>
      </c>
      <c r="F234" s="245">
        <f>data!BC60</f>
        <v>0</v>
      </c>
      <c r="G234" s="245">
        <f>data!BD60</f>
        <v>0</v>
      </c>
      <c r="H234" s="245">
        <f>data!BE60</f>
        <v>4.4400000000000004</v>
      </c>
      <c r="I234" s="245">
        <f>data!BF60</f>
        <v>5.31</v>
      </c>
    </row>
    <row r="235" spans="1:9" ht="20.149999999999999" customHeight="1" x14ac:dyDescent="0.35">
      <c r="A235" s="230">
        <v>6</v>
      </c>
      <c r="B235" s="238" t="s">
        <v>259</v>
      </c>
      <c r="C235" s="238">
        <f>data!AZ61</f>
        <v>0</v>
      </c>
      <c r="D235" s="238">
        <f>data!BA61</f>
        <v>64255</v>
      </c>
      <c r="E235" s="238">
        <f>data!BB61</f>
        <v>0</v>
      </c>
      <c r="F235" s="238">
        <f>data!BC61</f>
        <v>0</v>
      </c>
      <c r="G235" s="238">
        <f>data!BD61</f>
        <v>0</v>
      </c>
      <c r="H235" s="238">
        <f>data!BE61</f>
        <v>260617</v>
      </c>
      <c r="I235" s="238">
        <f>data!BF61</f>
        <v>211257</v>
      </c>
    </row>
    <row r="236" spans="1:9" ht="20.149999999999999" customHeight="1" x14ac:dyDescent="0.35">
      <c r="A236" s="230">
        <v>7</v>
      </c>
      <c r="B236" s="238" t="s">
        <v>9</v>
      </c>
      <c r="C236" s="238">
        <f>data!AZ62</f>
        <v>0</v>
      </c>
      <c r="D236" s="238">
        <f>data!BA62</f>
        <v>14799</v>
      </c>
      <c r="E236" s="238">
        <f>data!BB62</f>
        <v>0</v>
      </c>
      <c r="F236" s="238">
        <f>data!BC62</f>
        <v>0</v>
      </c>
      <c r="G236" s="238">
        <f>data!BD62</f>
        <v>0</v>
      </c>
      <c r="H236" s="238">
        <f>data!BE62</f>
        <v>60023</v>
      </c>
      <c r="I236" s="238">
        <f>data!BF62</f>
        <v>48655</v>
      </c>
    </row>
    <row r="237" spans="1:9" ht="20.149999999999999" customHeight="1" x14ac:dyDescent="0.35">
      <c r="A237" s="230">
        <v>8</v>
      </c>
      <c r="B237" s="238" t="s">
        <v>260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49999999999999" customHeight="1" x14ac:dyDescent="0.35">
      <c r="A238" s="230">
        <v>9</v>
      </c>
      <c r="B238" s="238" t="s">
        <v>261</v>
      </c>
      <c r="C238" s="238">
        <f>data!AZ64</f>
        <v>0</v>
      </c>
      <c r="D238" s="238">
        <f>data!BA64</f>
        <v>8203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47517</v>
      </c>
      <c r="I238" s="238">
        <f>data!BF64</f>
        <v>29981</v>
      </c>
    </row>
    <row r="239" spans="1:9" ht="20.149999999999999" customHeight="1" x14ac:dyDescent="0.35">
      <c r="A239" s="230">
        <v>10</v>
      </c>
      <c r="B239" s="238" t="s">
        <v>507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200226</v>
      </c>
      <c r="I239" s="238">
        <f>data!BF65</f>
        <v>0</v>
      </c>
    </row>
    <row r="240" spans="1:9" ht="20.149999999999999" customHeight="1" x14ac:dyDescent="0.35">
      <c r="A240" s="230">
        <v>11</v>
      </c>
      <c r="B240" s="238" t="s">
        <v>508</v>
      </c>
      <c r="C240" s="238">
        <f>data!AZ66</f>
        <v>0</v>
      </c>
      <c r="D240" s="238">
        <f>data!BA66</f>
        <v>32412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32205</v>
      </c>
      <c r="I240" s="238">
        <f>data!BF66</f>
        <v>2309</v>
      </c>
    </row>
    <row r="241" spans="1:9" ht="20.149999999999999" customHeight="1" x14ac:dyDescent="0.35">
      <c r="A241" s="230">
        <v>12</v>
      </c>
      <c r="B241" s="238" t="s">
        <v>14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33106</v>
      </c>
      <c r="I241" s="238">
        <f>data!BF67</f>
        <v>22480</v>
      </c>
    </row>
    <row r="242" spans="1:9" ht="20.149999999999999" customHeight="1" x14ac:dyDescent="0.35">
      <c r="A242" s="230">
        <v>13</v>
      </c>
      <c r="B242" s="238" t="s">
        <v>988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2408</v>
      </c>
      <c r="I242" s="238">
        <f>data!BF68</f>
        <v>0</v>
      </c>
    </row>
    <row r="243" spans="1:9" ht="20.149999999999999" customHeight="1" x14ac:dyDescent="0.35">
      <c r="A243" s="230">
        <v>14</v>
      </c>
      <c r="B243" s="238" t="s">
        <v>989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123348</v>
      </c>
      <c r="I243" s="238">
        <f>data!BF69</f>
        <v>160</v>
      </c>
    </row>
    <row r="244" spans="1:9" ht="20.149999999999999" customHeight="1" x14ac:dyDescent="0.35">
      <c r="A244" s="230">
        <v>15</v>
      </c>
      <c r="B244" s="238" t="s">
        <v>280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-500</v>
      </c>
      <c r="I244" s="238">
        <f>-data!BF84</f>
        <v>0</v>
      </c>
    </row>
    <row r="245" spans="1:9" ht="20.149999999999999" customHeight="1" x14ac:dyDescent="0.35">
      <c r="A245" s="230">
        <v>16</v>
      </c>
      <c r="B245" s="246" t="s">
        <v>990</v>
      </c>
      <c r="C245" s="238">
        <f>data!AZ85</f>
        <v>0</v>
      </c>
      <c r="D245" s="238">
        <f>data!BA85</f>
        <v>119669</v>
      </c>
      <c r="E245" s="238">
        <f>data!BB85</f>
        <v>0</v>
      </c>
      <c r="F245" s="238">
        <f>data!BC85</f>
        <v>0</v>
      </c>
      <c r="G245" s="238">
        <f>data!BD85</f>
        <v>0</v>
      </c>
      <c r="H245" s="238">
        <f>data!BE85</f>
        <v>758950</v>
      </c>
      <c r="I245" s="238">
        <f>data!BF85</f>
        <v>314842</v>
      </c>
    </row>
    <row r="246" spans="1:9" ht="20.149999999999999" customHeight="1" x14ac:dyDescent="0.35">
      <c r="A246" s="230">
        <v>17</v>
      </c>
      <c r="B246" s="238" t="s">
        <v>282</v>
      </c>
      <c r="C246" s="248"/>
      <c r="D246" s="248"/>
      <c r="E246" s="248"/>
      <c r="F246" s="248"/>
      <c r="G246" s="248"/>
      <c r="H246" s="248"/>
      <c r="I246" s="248"/>
    </row>
    <row r="247" spans="1:9" ht="20.149999999999999" customHeight="1" x14ac:dyDescent="0.35">
      <c r="A247" s="230">
        <v>18</v>
      </c>
      <c r="B247" s="238" t="s">
        <v>991</v>
      </c>
      <c r="C247" s="238"/>
      <c r="D247" s="238"/>
      <c r="E247" s="238"/>
      <c r="F247" s="238"/>
      <c r="G247" s="238"/>
      <c r="H247" s="238"/>
      <c r="I247" s="238"/>
    </row>
    <row r="248" spans="1:9" ht="20.149999999999999" customHeight="1" x14ac:dyDescent="0.35">
      <c r="A248" s="230">
        <v>19</v>
      </c>
      <c r="B248" s="246" t="s">
        <v>992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49999999999999" customHeight="1" x14ac:dyDescent="0.35">
      <c r="A249" s="230">
        <v>20</v>
      </c>
      <c r="B249" s="246" t="s">
        <v>993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49999999999999" customHeight="1" x14ac:dyDescent="0.35">
      <c r="A250" s="230">
        <v>21</v>
      </c>
      <c r="B250" s="246" t="s">
        <v>994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49999999999999" customHeight="1" x14ac:dyDescent="0.35">
      <c r="A251" s="230" t="s">
        <v>995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49999999999999" customHeight="1" x14ac:dyDescent="0.35">
      <c r="A252" s="230">
        <v>22</v>
      </c>
      <c r="B252" s="238" t="s">
        <v>996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1078</v>
      </c>
      <c r="I252" s="254">
        <f>data!BF90</f>
        <v>732</v>
      </c>
    </row>
    <row r="253" spans="1:9" ht="20.149999999999999" customHeight="1" x14ac:dyDescent="0.35">
      <c r="A253" s="230">
        <v>23</v>
      </c>
      <c r="B253" s="238" t="s">
        <v>997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49999999999999" customHeight="1" x14ac:dyDescent="0.35">
      <c r="A254" s="230">
        <v>24</v>
      </c>
      <c r="B254" s="238" t="s">
        <v>998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49999999999999" customHeight="1" x14ac:dyDescent="0.35">
      <c r="A255" s="230">
        <v>25</v>
      </c>
      <c r="B255" s="238" t="s">
        <v>999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49999999999999" customHeight="1" x14ac:dyDescent="0.35">
      <c r="A256" s="230">
        <v>26</v>
      </c>
      <c r="B256" s="238" t="s">
        <v>290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49999999999999" customHeight="1" x14ac:dyDescent="0.35">
      <c r="A257" s="231" t="s">
        <v>981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49999999999999" customHeight="1" x14ac:dyDescent="0.35">
      <c r="D258" s="234"/>
      <c r="I258" s="235" t="s">
        <v>1027</v>
      </c>
    </row>
    <row r="259" spans="1:9" ht="20.149999999999999" customHeight="1" x14ac:dyDescent="0.35">
      <c r="A259" s="234"/>
    </row>
    <row r="260" spans="1:9" ht="20.149999999999999" customHeight="1" x14ac:dyDescent="0.35">
      <c r="A260" s="236" t="str">
        <f>"Hospital: "&amp;data!C98</f>
        <v>Hospital: Ferry County Public Hospital District No. 1</v>
      </c>
      <c r="G260" s="237"/>
      <c r="H260" s="236" t="str">
        <f>"FYE: "&amp;data!C96</f>
        <v>FYE: 12/31/2022</v>
      </c>
    </row>
    <row r="261" spans="1:9" ht="20.149999999999999" customHeight="1" x14ac:dyDescent="0.35">
      <c r="A261" s="230">
        <v>1</v>
      </c>
      <c r="B261" s="238" t="s">
        <v>232</v>
      </c>
      <c r="C261" s="240" t="s">
        <v>88</v>
      </c>
      <c r="D261" s="240" t="s">
        <v>89</v>
      </c>
      <c r="E261" s="240" t="s">
        <v>90</v>
      </c>
      <c r="F261" s="240" t="s">
        <v>91</v>
      </c>
      <c r="G261" s="240" t="s">
        <v>92</v>
      </c>
      <c r="H261" s="240" t="s">
        <v>93</v>
      </c>
      <c r="I261" s="240" t="s">
        <v>94</v>
      </c>
    </row>
    <row r="262" spans="1:9" ht="20.149999999999999" customHeight="1" x14ac:dyDescent="0.35">
      <c r="A262" s="241">
        <v>2</v>
      </c>
      <c r="B262" s="242" t="s">
        <v>983</v>
      </c>
      <c r="C262" s="244" t="s">
        <v>1028</v>
      </c>
      <c r="D262" s="244" t="s">
        <v>166</v>
      </c>
      <c r="E262" s="244" t="s">
        <v>167</v>
      </c>
      <c r="F262" s="244"/>
      <c r="G262" s="244" t="s">
        <v>169</v>
      </c>
      <c r="H262" s="244"/>
      <c r="I262" s="244" t="s">
        <v>155</v>
      </c>
    </row>
    <row r="263" spans="1:9" ht="20.149999999999999" customHeight="1" x14ac:dyDescent="0.35">
      <c r="A263" s="241"/>
      <c r="B263" s="242"/>
      <c r="C263" s="244" t="s">
        <v>1029</v>
      </c>
      <c r="D263" s="244" t="s">
        <v>213</v>
      </c>
      <c r="E263" s="244" t="s">
        <v>192</v>
      </c>
      <c r="F263" s="244" t="s">
        <v>168</v>
      </c>
      <c r="G263" s="244" t="s">
        <v>214</v>
      </c>
      <c r="H263" s="244" t="s">
        <v>170</v>
      </c>
      <c r="I263" s="244" t="s">
        <v>1030</v>
      </c>
    </row>
    <row r="264" spans="1:9" ht="20.149999999999999" customHeight="1" x14ac:dyDescent="0.35">
      <c r="A264" s="230">
        <v>3</v>
      </c>
      <c r="B264" s="238" t="s">
        <v>987</v>
      </c>
      <c r="C264" s="250"/>
      <c r="D264" s="250"/>
      <c r="E264" s="250"/>
      <c r="F264" s="250"/>
      <c r="G264" s="250"/>
      <c r="H264" s="250"/>
      <c r="I264" s="250"/>
    </row>
    <row r="265" spans="1:9" ht="20.149999999999999" customHeight="1" x14ac:dyDescent="0.35">
      <c r="A265" s="230">
        <v>4</v>
      </c>
      <c r="B265" s="238" t="s">
        <v>257</v>
      </c>
      <c r="C265" s="250"/>
      <c r="D265" s="250"/>
      <c r="E265" s="250"/>
      <c r="F265" s="250"/>
      <c r="G265" s="250"/>
      <c r="H265" s="250"/>
      <c r="I265" s="250"/>
    </row>
    <row r="266" spans="1:9" ht="20.149999999999999" customHeight="1" x14ac:dyDescent="0.35">
      <c r="A266" s="230">
        <v>5</v>
      </c>
      <c r="B266" s="238" t="s">
        <v>258</v>
      </c>
      <c r="C266" s="245">
        <f>data!BG60</f>
        <v>0</v>
      </c>
      <c r="D266" s="245">
        <f>data!BH60</f>
        <v>2.9</v>
      </c>
      <c r="E266" s="245">
        <f>data!BI60</f>
        <v>0</v>
      </c>
      <c r="F266" s="245">
        <f>data!BJ60</f>
        <v>2.06</v>
      </c>
      <c r="G266" s="245">
        <f>data!BK60</f>
        <v>5.0199999999999996</v>
      </c>
      <c r="H266" s="245">
        <f>data!BL60</f>
        <v>0</v>
      </c>
      <c r="I266" s="245">
        <f>data!BM60</f>
        <v>0</v>
      </c>
    </row>
    <row r="267" spans="1:9" ht="20.149999999999999" customHeight="1" x14ac:dyDescent="0.35">
      <c r="A267" s="230">
        <v>6</v>
      </c>
      <c r="B267" s="238" t="s">
        <v>259</v>
      </c>
      <c r="C267" s="238">
        <f>data!BG61</f>
        <v>0</v>
      </c>
      <c r="D267" s="238">
        <f>data!BH61</f>
        <v>231718</v>
      </c>
      <c r="E267" s="238">
        <f>data!BI61</f>
        <v>0</v>
      </c>
      <c r="F267" s="238">
        <f>data!BJ61</f>
        <v>162540</v>
      </c>
      <c r="G267" s="238">
        <f>data!BK61</f>
        <v>219015</v>
      </c>
      <c r="H267" s="238">
        <f>data!BL61</f>
        <v>0</v>
      </c>
      <c r="I267" s="238">
        <f>data!BM61</f>
        <v>0</v>
      </c>
    </row>
    <row r="268" spans="1:9" ht="20.149999999999999" customHeight="1" x14ac:dyDescent="0.35">
      <c r="A268" s="230">
        <v>7</v>
      </c>
      <c r="B268" s="238" t="s">
        <v>9</v>
      </c>
      <c r="C268" s="238">
        <f>data!BG62</f>
        <v>0</v>
      </c>
      <c r="D268" s="238">
        <f>data!BH62</f>
        <v>53367</v>
      </c>
      <c r="E268" s="238">
        <f>data!BI62</f>
        <v>0</v>
      </c>
      <c r="F268" s="238">
        <f>data!BJ62</f>
        <v>37435</v>
      </c>
      <c r="G268" s="238">
        <f>data!BK62</f>
        <v>50442</v>
      </c>
      <c r="H268" s="238">
        <f>data!BL62</f>
        <v>0</v>
      </c>
      <c r="I268" s="238">
        <f>data!BM62</f>
        <v>0</v>
      </c>
    </row>
    <row r="269" spans="1:9" ht="20.149999999999999" customHeight="1" x14ac:dyDescent="0.35">
      <c r="A269" s="230">
        <v>8</v>
      </c>
      <c r="B269" s="238" t="s">
        <v>260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41154</v>
      </c>
      <c r="G269" s="238">
        <f>data!BK63</f>
        <v>363724</v>
      </c>
      <c r="H269" s="238">
        <f>data!BL63</f>
        <v>0</v>
      </c>
      <c r="I269" s="238">
        <f>data!BM63</f>
        <v>0</v>
      </c>
    </row>
    <row r="270" spans="1:9" ht="20.149999999999999" customHeight="1" x14ac:dyDescent="0.35">
      <c r="A270" s="230">
        <v>9</v>
      </c>
      <c r="B270" s="238" t="s">
        <v>261</v>
      </c>
      <c r="C270" s="238">
        <f>data!BG64</f>
        <v>0</v>
      </c>
      <c r="D270" s="238">
        <f>data!BH64</f>
        <v>29224</v>
      </c>
      <c r="E270" s="238">
        <f>data!BI64</f>
        <v>0</v>
      </c>
      <c r="F270" s="238">
        <f>data!BJ64</f>
        <v>1971</v>
      </c>
      <c r="G270" s="238">
        <f>data!BK64</f>
        <v>1052</v>
      </c>
      <c r="H270" s="238">
        <f>data!BL64</f>
        <v>0</v>
      </c>
      <c r="I270" s="238">
        <f>data!BM64</f>
        <v>0</v>
      </c>
    </row>
    <row r="271" spans="1:9" ht="20.149999999999999" customHeight="1" x14ac:dyDescent="0.35">
      <c r="A271" s="230">
        <v>10</v>
      </c>
      <c r="B271" s="238" t="s">
        <v>507</v>
      </c>
      <c r="C271" s="238">
        <f>data!BG65</f>
        <v>0</v>
      </c>
      <c r="D271" s="238">
        <f>data!BH65</f>
        <v>22996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49999999999999" customHeight="1" x14ac:dyDescent="0.35">
      <c r="A272" s="230">
        <v>11</v>
      </c>
      <c r="B272" s="238" t="s">
        <v>508</v>
      </c>
      <c r="C272" s="238">
        <f>data!BG66</f>
        <v>0</v>
      </c>
      <c r="D272" s="238">
        <f>data!BH66</f>
        <v>722442</v>
      </c>
      <c r="E272" s="238">
        <f>data!BI66</f>
        <v>0</v>
      </c>
      <c r="F272" s="238">
        <f>data!BJ66</f>
        <v>17728</v>
      </c>
      <c r="G272" s="238">
        <f>data!BK66</f>
        <v>288248</v>
      </c>
      <c r="H272" s="238">
        <f>data!BL66</f>
        <v>0</v>
      </c>
      <c r="I272" s="238">
        <f>data!BM66</f>
        <v>0</v>
      </c>
    </row>
    <row r="273" spans="1:9" ht="20.149999999999999" customHeight="1" x14ac:dyDescent="0.35">
      <c r="A273" s="230">
        <v>12</v>
      </c>
      <c r="B273" s="238" t="s">
        <v>14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49999999999999" customHeight="1" x14ac:dyDescent="0.35">
      <c r="A274" s="230">
        <v>13</v>
      </c>
      <c r="B274" s="238" t="s">
        <v>988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49999999999999" customHeight="1" x14ac:dyDescent="0.35">
      <c r="A275" s="230">
        <v>14</v>
      </c>
      <c r="B275" s="238" t="s">
        <v>989</v>
      </c>
      <c r="C275" s="238">
        <f>data!BG69</f>
        <v>0</v>
      </c>
      <c r="D275" s="238">
        <f>data!BH69</f>
        <v>64729</v>
      </c>
      <c r="E275" s="238">
        <f>data!BI69</f>
        <v>0</v>
      </c>
      <c r="F275" s="238">
        <f>data!BJ69</f>
        <v>9526</v>
      </c>
      <c r="G275" s="238">
        <f>data!BK69</f>
        <v>9520</v>
      </c>
      <c r="H275" s="238">
        <f>data!BL69</f>
        <v>0</v>
      </c>
      <c r="I275" s="238">
        <f>data!BM69</f>
        <v>0</v>
      </c>
    </row>
    <row r="276" spans="1:9" ht="20.149999999999999" customHeight="1" x14ac:dyDescent="0.35">
      <c r="A276" s="230">
        <v>15</v>
      </c>
      <c r="B276" s="238" t="s">
        <v>280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49999999999999" customHeight="1" x14ac:dyDescent="0.35">
      <c r="A277" s="230">
        <v>16</v>
      </c>
      <c r="B277" s="246" t="s">
        <v>990</v>
      </c>
      <c r="C277" s="238">
        <f>data!BG85</f>
        <v>0</v>
      </c>
      <c r="D277" s="238">
        <f>data!BH85</f>
        <v>1124476</v>
      </c>
      <c r="E277" s="238">
        <f>data!BI85</f>
        <v>0</v>
      </c>
      <c r="F277" s="238">
        <f>data!BJ85</f>
        <v>270354</v>
      </c>
      <c r="G277" s="238">
        <f>data!BK85</f>
        <v>932001</v>
      </c>
      <c r="H277" s="238">
        <f>data!BL85</f>
        <v>0</v>
      </c>
      <c r="I277" s="238">
        <f>data!BM85</f>
        <v>0</v>
      </c>
    </row>
    <row r="278" spans="1:9" ht="20.149999999999999" customHeight="1" x14ac:dyDescent="0.35">
      <c r="A278" s="230">
        <v>17</v>
      </c>
      <c r="B278" s="238" t="s">
        <v>282</v>
      </c>
      <c r="C278" s="248"/>
      <c r="D278" s="248"/>
      <c r="E278" s="248"/>
      <c r="F278" s="248"/>
      <c r="G278" s="248"/>
      <c r="H278" s="248"/>
      <c r="I278" s="248"/>
    </row>
    <row r="279" spans="1:9" ht="20.149999999999999" customHeight="1" x14ac:dyDescent="0.35">
      <c r="A279" s="230">
        <v>18</v>
      </c>
      <c r="B279" s="238" t="s">
        <v>991</v>
      </c>
      <c r="C279" s="238"/>
      <c r="D279" s="238"/>
      <c r="E279" s="238"/>
      <c r="F279" s="238"/>
      <c r="G279" s="238"/>
      <c r="H279" s="238"/>
      <c r="I279" s="238"/>
    </row>
    <row r="280" spans="1:9" ht="20.149999999999999" customHeight="1" x14ac:dyDescent="0.35">
      <c r="A280" s="230">
        <v>19</v>
      </c>
      <c r="B280" s="246" t="s">
        <v>992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49999999999999" customHeight="1" x14ac:dyDescent="0.35">
      <c r="A281" s="230">
        <v>20</v>
      </c>
      <c r="B281" s="246" t="s">
        <v>993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49999999999999" customHeight="1" x14ac:dyDescent="0.35">
      <c r="A282" s="230">
        <v>21</v>
      </c>
      <c r="B282" s="246" t="s">
        <v>994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49999999999999" customHeight="1" x14ac:dyDescent="0.35">
      <c r="A283" s="230" t="s">
        <v>995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49999999999999" customHeight="1" x14ac:dyDescent="0.35">
      <c r="A284" s="230">
        <v>22</v>
      </c>
      <c r="B284" s="238" t="s">
        <v>996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49999999999999" customHeight="1" x14ac:dyDescent="0.35">
      <c r="A285" s="230">
        <v>23</v>
      </c>
      <c r="B285" s="238" t="s">
        <v>997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49999999999999" customHeight="1" x14ac:dyDescent="0.35">
      <c r="A286" s="230">
        <v>24</v>
      </c>
      <c r="B286" s="238" t="s">
        <v>998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49999999999999" customHeight="1" x14ac:dyDescent="0.35">
      <c r="A287" s="230">
        <v>25</v>
      </c>
      <c r="B287" s="238" t="s">
        <v>999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49999999999999" customHeight="1" x14ac:dyDescent="0.35">
      <c r="A288" s="230">
        <v>26</v>
      </c>
      <c r="B288" s="238" t="s">
        <v>290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49999999999999" customHeight="1" x14ac:dyDescent="0.35">
      <c r="A289" s="231" t="s">
        <v>981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49999999999999" customHeight="1" x14ac:dyDescent="0.35">
      <c r="D290" s="234"/>
      <c r="I290" s="235" t="s">
        <v>1031</v>
      </c>
    </row>
    <row r="291" spans="1:9" ht="20.149999999999999" customHeight="1" x14ac:dyDescent="0.35">
      <c r="A291" s="234"/>
    </row>
    <row r="292" spans="1:9" ht="20.149999999999999" customHeight="1" x14ac:dyDescent="0.35">
      <c r="A292" s="236" t="str">
        <f>"Hospital: "&amp;data!C98</f>
        <v>Hospital: Ferry County Public Hospital District No. 1</v>
      </c>
      <c r="G292" s="237"/>
      <c r="H292" s="236" t="str">
        <f>"FYE: "&amp;data!C96</f>
        <v>FYE: 12/31/2022</v>
      </c>
    </row>
    <row r="293" spans="1:9" ht="20.149999999999999" customHeight="1" x14ac:dyDescent="0.35">
      <c r="A293" s="230">
        <v>1</v>
      </c>
      <c r="B293" s="238" t="s">
        <v>232</v>
      </c>
      <c r="C293" s="240" t="s">
        <v>95</v>
      </c>
      <c r="D293" s="240" t="s">
        <v>96</v>
      </c>
      <c r="E293" s="240" t="s">
        <v>97</v>
      </c>
      <c r="F293" s="240" t="s">
        <v>98</v>
      </c>
      <c r="G293" s="240" t="s">
        <v>99</v>
      </c>
      <c r="H293" s="240" t="s">
        <v>100</v>
      </c>
      <c r="I293" s="240" t="s">
        <v>101</v>
      </c>
    </row>
    <row r="294" spans="1:9" ht="20.149999999999999" customHeight="1" x14ac:dyDescent="0.35">
      <c r="A294" s="241">
        <v>2</v>
      </c>
      <c r="B294" s="242" t="s">
        <v>983</v>
      </c>
      <c r="C294" s="244" t="s">
        <v>171</v>
      </c>
      <c r="D294" s="244" t="s">
        <v>172</v>
      </c>
      <c r="E294" s="244" t="s">
        <v>173</v>
      </c>
      <c r="F294" s="244" t="s">
        <v>174</v>
      </c>
      <c r="G294" s="244"/>
      <c r="H294" s="244" t="s">
        <v>176</v>
      </c>
      <c r="I294" s="244" t="s">
        <v>177</v>
      </c>
    </row>
    <row r="295" spans="1:9" ht="20.149999999999999" customHeight="1" x14ac:dyDescent="0.35">
      <c r="A295" s="241"/>
      <c r="B295" s="242"/>
      <c r="C295" s="244" t="s">
        <v>1032</v>
      </c>
      <c r="D295" s="244" t="s">
        <v>217</v>
      </c>
      <c r="E295" s="244" t="s">
        <v>218</v>
      </c>
      <c r="F295" s="244" t="s">
        <v>219</v>
      </c>
      <c r="G295" s="244" t="s">
        <v>175</v>
      </c>
      <c r="H295" s="244" t="s">
        <v>220</v>
      </c>
      <c r="I295" s="244" t="s">
        <v>192</v>
      </c>
    </row>
    <row r="296" spans="1:9" ht="20.149999999999999" customHeight="1" x14ac:dyDescent="0.35">
      <c r="A296" s="230">
        <v>3</v>
      </c>
      <c r="B296" s="238" t="s">
        <v>987</v>
      </c>
      <c r="C296" s="250"/>
      <c r="D296" s="250"/>
      <c r="E296" s="250"/>
      <c r="F296" s="250"/>
      <c r="G296" s="250"/>
      <c r="H296" s="250"/>
      <c r="I296" s="250"/>
    </row>
    <row r="297" spans="1:9" ht="20.149999999999999" customHeight="1" x14ac:dyDescent="0.35">
      <c r="A297" s="230">
        <v>4</v>
      </c>
      <c r="B297" s="238" t="s">
        <v>257</v>
      </c>
      <c r="C297" s="250"/>
      <c r="D297" s="250"/>
      <c r="E297" s="250"/>
      <c r="F297" s="250"/>
      <c r="G297" s="250"/>
      <c r="H297" s="250"/>
      <c r="I297" s="250"/>
    </row>
    <row r="298" spans="1:9" ht="20.149999999999999" customHeight="1" x14ac:dyDescent="0.35">
      <c r="A298" s="230">
        <v>5</v>
      </c>
      <c r="B298" s="238" t="s">
        <v>258</v>
      </c>
      <c r="C298" s="245">
        <f>data!BN60</f>
        <v>1.85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2.04</v>
      </c>
      <c r="H298" s="245">
        <f>data!BS60</f>
        <v>0</v>
      </c>
      <c r="I298" s="245">
        <f>data!BT60</f>
        <v>0</v>
      </c>
    </row>
    <row r="299" spans="1:9" ht="20.149999999999999" customHeight="1" x14ac:dyDescent="0.35">
      <c r="A299" s="230">
        <v>6</v>
      </c>
      <c r="B299" s="238" t="s">
        <v>259</v>
      </c>
      <c r="C299" s="238">
        <f>data!BN61</f>
        <v>252439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129229</v>
      </c>
      <c r="H299" s="238">
        <f>data!BS61</f>
        <v>0</v>
      </c>
      <c r="I299" s="238">
        <f>data!BT61</f>
        <v>0</v>
      </c>
    </row>
    <row r="300" spans="1:9" ht="20.149999999999999" customHeight="1" x14ac:dyDescent="0.35">
      <c r="A300" s="230">
        <v>7</v>
      </c>
      <c r="B300" s="238" t="s">
        <v>9</v>
      </c>
      <c r="C300" s="238">
        <f>data!BN62</f>
        <v>58140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29763</v>
      </c>
      <c r="H300" s="238">
        <f>data!BS62</f>
        <v>0</v>
      </c>
      <c r="I300" s="238">
        <f>data!BT62</f>
        <v>0</v>
      </c>
    </row>
    <row r="301" spans="1:9" ht="20.149999999999999" customHeight="1" x14ac:dyDescent="0.35">
      <c r="A301" s="230">
        <v>8</v>
      </c>
      <c r="B301" s="238" t="s">
        <v>260</v>
      </c>
      <c r="C301" s="238">
        <f>data!BN63</f>
        <v>9449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5000</v>
      </c>
      <c r="H301" s="238">
        <f>data!BS63</f>
        <v>0</v>
      </c>
      <c r="I301" s="238">
        <f>data!BT63</f>
        <v>0</v>
      </c>
    </row>
    <row r="302" spans="1:9" ht="20.149999999999999" customHeight="1" x14ac:dyDescent="0.35">
      <c r="A302" s="230">
        <v>9</v>
      </c>
      <c r="B302" s="238" t="s">
        <v>261</v>
      </c>
      <c r="C302" s="238">
        <f>data!BN64</f>
        <v>2776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8360</v>
      </c>
      <c r="H302" s="238">
        <f>data!BS64</f>
        <v>0</v>
      </c>
      <c r="I302" s="238">
        <f>data!BT64</f>
        <v>0</v>
      </c>
    </row>
    <row r="303" spans="1:9" ht="20.149999999999999" customHeight="1" x14ac:dyDescent="0.35">
      <c r="A303" s="230">
        <v>10</v>
      </c>
      <c r="B303" s="238" t="s">
        <v>507</v>
      </c>
      <c r="C303" s="238">
        <f>data!BN65</f>
        <v>320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7601</v>
      </c>
      <c r="H303" s="238">
        <f>data!BS65</f>
        <v>0</v>
      </c>
      <c r="I303" s="238">
        <f>data!BT65</f>
        <v>0</v>
      </c>
    </row>
    <row r="304" spans="1:9" ht="20.149999999999999" customHeight="1" x14ac:dyDescent="0.35">
      <c r="A304" s="230">
        <v>11</v>
      </c>
      <c r="B304" s="238" t="s">
        <v>508</v>
      </c>
      <c r="C304" s="238">
        <f>data!BN66</f>
        <v>14440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22514</v>
      </c>
      <c r="H304" s="238">
        <f>data!BS66</f>
        <v>0</v>
      </c>
      <c r="I304" s="238">
        <f>data!BT66</f>
        <v>0</v>
      </c>
    </row>
    <row r="305" spans="1:9" ht="20.149999999999999" customHeight="1" x14ac:dyDescent="0.35">
      <c r="A305" s="230">
        <v>12</v>
      </c>
      <c r="B305" s="238" t="s">
        <v>14</v>
      </c>
      <c r="C305" s="238">
        <f>data!BN67</f>
        <v>72109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12407</v>
      </c>
      <c r="H305" s="238">
        <f>data!BS67</f>
        <v>0</v>
      </c>
      <c r="I305" s="238">
        <f>data!BT67</f>
        <v>0</v>
      </c>
    </row>
    <row r="306" spans="1:9" ht="20.149999999999999" customHeight="1" x14ac:dyDescent="0.35">
      <c r="A306" s="230">
        <v>13</v>
      </c>
      <c r="B306" s="238" t="s">
        <v>988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29610</v>
      </c>
      <c r="H306" s="238">
        <f>data!BS68</f>
        <v>0</v>
      </c>
      <c r="I306" s="238">
        <f>data!BT68</f>
        <v>0</v>
      </c>
    </row>
    <row r="307" spans="1:9" ht="20.149999999999999" customHeight="1" x14ac:dyDescent="0.35">
      <c r="A307" s="230">
        <v>14</v>
      </c>
      <c r="B307" s="238" t="s">
        <v>989</v>
      </c>
      <c r="C307" s="238">
        <f>data!BN69</f>
        <v>86471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79273</v>
      </c>
      <c r="H307" s="238">
        <f>data!BS69</f>
        <v>0</v>
      </c>
      <c r="I307" s="238">
        <f>data!BT69</f>
        <v>0</v>
      </c>
    </row>
    <row r="308" spans="1:9" ht="20.149999999999999" customHeight="1" x14ac:dyDescent="0.35">
      <c r="A308" s="230">
        <v>15</v>
      </c>
      <c r="B308" s="238" t="s">
        <v>280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49999999999999" customHeight="1" x14ac:dyDescent="0.35">
      <c r="A309" s="230">
        <v>16</v>
      </c>
      <c r="B309" s="246" t="s">
        <v>990</v>
      </c>
      <c r="C309" s="238">
        <f>data!BN85</f>
        <v>496144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323757</v>
      </c>
      <c r="H309" s="238">
        <f>data!BS85</f>
        <v>0</v>
      </c>
      <c r="I309" s="238">
        <f>data!BT85</f>
        <v>0</v>
      </c>
    </row>
    <row r="310" spans="1:9" ht="20.149999999999999" customHeight="1" x14ac:dyDescent="0.35">
      <c r="A310" s="230">
        <v>17</v>
      </c>
      <c r="B310" s="238" t="s">
        <v>282</v>
      </c>
      <c r="C310" s="248"/>
      <c r="D310" s="248"/>
      <c r="E310" s="248"/>
      <c r="F310" s="248"/>
      <c r="G310" s="248"/>
      <c r="H310" s="248"/>
      <c r="I310" s="248"/>
    </row>
    <row r="311" spans="1:9" ht="20.149999999999999" customHeight="1" x14ac:dyDescent="0.35">
      <c r="A311" s="230">
        <v>18</v>
      </c>
      <c r="B311" s="238" t="s">
        <v>991</v>
      </c>
      <c r="C311" s="238"/>
      <c r="D311" s="238"/>
      <c r="E311" s="238"/>
      <c r="F311" s="238"/>
      <c r="G311" s="238"/>
      <c r="H311" s="238"/>
      <c r="I311" s="238"/>
    </row>
    <row r="312" spans="1:9" ht="20.149999999999999" customHeight="1" x14ac:dyDescent="0.35">
      <c r="A312" s="230">
        <v>19</v>
      </c>
      <c r="B312" s="246" t="s">
        <v>992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49999999999999" customHeight="1" x14ac:dyDescent="0.35">
      <c r="A313" s="230">
        <v>20</v>
      </c>
      <c r="B313" s="246" t="s">
        <v>993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49999999999999" customHeight="1" x14ac:dyDescent="0.35">
      <c r="A314" s="230">
        <v>21</v>
      </c>
      <c r="B314" s="246" t="s">
        <v>994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49999999999999" customHeight="1" x14ac:dyDescent="0.35">
      <c r="A315" s="230" t="s">
        <v>995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49999999999999" customHeight="1" x14ac:dyDescent="0.35">
      <c r="A316" s="230">
        <v>22</v>
      </c>
      <c r="B316" s="238" t="s">
        <v>996</v>
      </c>
      <c r="C316" s="254">
        <f>data!BN90</f>
        <v>2348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404</v>
      </c>
      <c r="H316" s="254">
        <f>data!BS90</f>
        <v>0</v>
      </c>
      <c r="I316" s="254">
        <f>data!BT90</f>
        <v>0</v>
      </c>
    </row>
    <row r="317" spans="1:9" ht="20.149999999999999" customHeight="1" x14ac:dyDescent="0.35">
      <c r="A317" s="230">
        <v>23</v>
      </c>
      <c r="B317" s="238" t="s">
        <v>997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49999999999999" customHeight="1" x14ac:dyDescent="0.35">
      <c r="A318" s="230">
        <v>24</v>
      </c>
      <c r="B318" s="238" t="s">
        <v>998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49999999999999" customHeight="1" x14ac:dyDescent="0.35">
      <c r="A319" s="230">
        <v>25</v>
      </c>
      <c r="B319" s="238" t="s">
        <v>999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49999999999999" customHeight="1" x14ac:dyDescent="0.35">
      <c r="A320" s="230">
        <v>26</v>
      </c>
      <c r="B320" s="238" t="s">
        <v>290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49999999999999" customHeight="1" x14ac:dyDescent="0.35">
      <c r="A321" s="231" t="s">
        <v>981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49999999999999" customHeight="1" x14ac:dyDescent="0.35">
      <c r="D322" s="234"/>
      <c r="I322" s="235" t="s">
        <v>1033</v>
      </c>
    </row>
    <row r="323" spans="1:9" ht="20.149999999999999" customHeight="1" x14ac:dyDescent="0.35">
      <c r="A323" s="234"/>
    </row>
    <row r="324" spans="1:9" ht="20.149999999999999" customHeight="1" x14ac:dyDescent="0.35">
      <c r="A324" s="236" t="str">
        <f>"Hospital: "&amp;data!C98</f>
        <v>Hospital: Ferry County Public Hospital District No. 1</v>
      </c>
      <c r="G324" s="237"/>
      <c r="H324" s="236" t="str">
        <f>"FYE: "&amp;data!C96</f>
        <v>FYE: 12/31/2022</v>
      </c>
    </row>
    <row r="325" spans="1:9" ht="20.149999999999999" customHeight="1" x14ac:dyDescent="0.35">
      <c r="A325" s="230">
        <v>1</v>
      </c>
      <c r="B325" s="238" t="s">
        <v>232</v>
      </c>
      <c r="C325" s="240" t="s">
        <v>102</v>
      </c>
      <c r="D325" s="240" t="s">
        <v>103</v>
      </c>
      <c r="E325" s="240" t="s">
        <v>104</v>
      </c>
      <c r="F325" s="240" t="s">
        <v>105</v>
      </c>
      <c r="G325" s="240" t="s">
        <v>106</v>
      </c>
      <c r="H325" s="240" t="s">
        <v>107</v>
      </c>
      <c r="I325" s="240" t="s">
        <v>108</v>
      </c>
    </row>
    <row r="326" spans="1:9" ht="20.149999999999999" customHeight="1" x14ac:dyDescent="0.35">
      <c r="A326" s="241">
        <v>2</v>
      </c>
      <c r="B326" s="242" t="s">
        <v>983</v>
      </c>
      <c r="C326" s="244" t="s">
        <v>178</v>
      </c>
      <c r="D326" s="244" t="s">
        <v>178</v>
      </c>
      <c r="E326" s="244" t="s">
        <v>178</v>
      </c>
      <c r="F326" s="244" t="s">
        <v>179</v>
      </c>
      <c r="G326" s="244" t="s">
        <v>180</v>
      </c>
      <c r="H326" s="244" t="s">
        <v>181</v>
      </c>
      <c r="I326" s="244" t="s">
        <v>182</v>
      </c>
    </row>
    <row r="327" spans="1:9" ht="20.149999999999999" customHeight="1" x14ac:dyDescent="0.35">
      <c r="A327" s="241"/>
      <c r="B327" s="242"/>
      <c r="C327" s="244" t="s">
        <v>221</v>
      </c>
      <c r="D327" s="244" t="s">
        <v>222</v>
      </c>
      <c r="E327" s="244" t="s">
        <v>223</v>
      </c>
      <c r="F327" s="244" t="s">
        <v>174</v>
      </c>
      <c r="G327" s="244" t="s">
        <v>1032</v>
      </c>
      <c r="H327" s="244" t="s">
        <v>175</v>
      </c>
      <c r="I327" s="244" t="s">
        <v>224</v>
      </c>
    </row>
    <row r="328" spans="1:9" ht="20.149999999999999" customHeight="1" x14ac:dyDescent="0.35">
      <c r="A328" s="230">
        <v>3</v>
      </c>
      <c r="B328" s="238" t="s">
        <v>987</v>
      </c>
      <c r="C328" s="250"/>
      <c r="D328" s="250"/>
      <c r="E328" s="250"/>
      <c r="F328" s="250"/>
      <c r="G328" s="250"/>
      <c r="H328" s="250"/>
      <c r="I328" s="250"/>
    </row>
    <row r="329" spans="1:9" ht="20.149999999999999" customHeight="1" x14ac:dyDescent="0.35">
      <c r="A329" s="230">
        <v>4</v>
      </c>
      <c r="B329" s="238" t="s">
        <v>257</v>
      </c>
      <c r="C329" s="250"/>
      <c r="D329" s="250"/>
      <c r="E329" s="250"/>
      <c r="F329" s="250"/>
      <c r="G329" s="250"/>
      <c r="H329" s="250"/>
      <c r="I329" s="250"/>
    </row>
    <row r="330" spans="1:9" ht="20.149999999999999" customHeight="1" x14ac:dyDescent="0.35">
      <c r="A330" s="230">
        <v>5</v>
      </c>
      <c r="B330" s="238" t="s">
        <v>258</v>
      </c>
      <c r="C330" s="245">
        <f>data!BU60</f>
        <v>0</v>
      </c>
      <c r="D330" s="245">
        <f>data!BV60</f>
        <v>2.99</v>
      </c>
      <c r="E330" s="245">
        <f>data!BW60</f>
        <v>7.02</v>
      </c>
      <c r="F330" s="245">
        <f>data!BX60</f>
        <v>0</v>
      </c>
      <c r="G330" s="245">
        <f>data!BY60</f>
        <v>1.32</v>
      </c>
      <c r="H330" s="245">
        <f>data!BZ60</f>
        <v>0</v>
      </c>
      <c r="I330" s="245">
        <f>data!CA60</f>
        <v>0.2</v>
      </c>
    </row>
    <row r="331" spans="1:9" ht="20.149999999999999" customHeight="1" x14ac:dyDescent="0.35">
      <c r="A331" s="230">
        <v>6</v>
      </c>
      <c r="B331" s="238" t="s">
        <v>259</v>
      </c>
      <c r="C331" s="257">
        <f>data!BU61</f>
        <v>0</v>
      </c>
      <c r="D331" s="257">
        <f>data!BV61</f>
        <v>128572</v>
      </c>
      <c r="E331" s="257">
        <f>data!BW61</f>
        <v>1222310</v>
      </c>
      <c r="F331" s="257">
        <f>data!BX61</f>
        <v>4442</v>
      </c>
      <c r="G331" s="257">
        <f>data!BY61</f>
        <v>194399</v>
      </c>
      <c r="H331" s="257">
        <f>data!BZ61</f>
        <v>0</v>
      </c>
      <c r="I331" s="257">
        <f>data!CA61</f>
        <v>19086</v>
      </c>
    </row>
    <row r="332" spans="1:9" ht="20.149999999999999" customHeight="1" x14ac:dyDescent="0.35">
      <c r="A332" s="230">
        <v>7</v>
      </c>
      <c r="B332" s="238" t="s">
        <v>9</v>
      </c>
      <c r="C332" s="257">
        <f>data!BU62</f>
        <v>0</v>
      </c>
      <c r="D332" s="257">
        <f>data!BV62</f>
        <v>29612</v>
      </c>
      <c r="E332" s="257">
        <f>data!BW62</f>
        <v>281512</v>
      </c>
      <c r="F332" s="257">
        <f>data!BX62</f>
        <v>1023</v>
      </c>
      <c r="G332" s="257">
        <f>data!BY62</f>
        <v>44772</v>
      </c>
      <c r="H332" s="257">
        <f>data!BZ62</f>
        <v>0</v>
      </c>
      <c r="I332" s="257">
        <f>data!CA62</f>
        <v>4396</v>
      </c>
    </row>
    <row r="333" spans="1:9" ht="20.149999999999999" customHeight="1" x14ac:dyDescent="0.35">
      <c r="A333" s="230">
        <v>8</v>
      </c>
      <c r="B333" s="238" t="s">
        <v>260</v>
      </c>
      <c r="C333" s="257">
        <f>data!BU63</f>
        <v>0</v>
      </c>
      <c r="D333" s="257">
        <f>data!BV63</f>
        <v>142535</v>
      </c>
      <c r="E333" s="257">
        <f>data!BW63</f>
        <v>910531</v>
      </c>
      <c r="F333" s="257">
        <f>data!BX63</f>
        <v>5300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49999999999999" customHeight="1" x14ac:dyDescent="0.35">
      <c r="A334" s="230">
        <v>9</v>
      </c>
      <c r="B334" s="238" t="s">
        <v>261</v>
      </c>
      <c r="C334" s="257">
        <f>data!BU64</f>
        <v>0</v>
      </c>
      <c r="D334" s="257">
        <f>data!BV64</f>
        <v>242</v>
      </c>
      <c r="E334" s="257">
        <f>data!BW64</f>
        <v>996</v>
      </c>
      <c r="F334" s="257">
        <f>data!BX64</f>
        <v>0</v>
      </c>
      <c r="G334" s="257">
        <f>data!BY64</f>
        <v>60106</v>
      </c>
      <c r="H334" s="257">
        <f>data!BZ64</f>
        <v>0</v>
      </c>
      <c r="I334" s="257">
        <f>data!CA64</f>
        <v>174</v>
      </c>
    </row>
    <row r="335" spans="1:9" ht="20.149999999999999" customHeight="1" x14ac:dyDescent="0.35">
      <c r="A335" s="230">
        <v>10</v>
      </c>
      <c r="B335" s="238" t="s">
        <v>507</v>
      </c>
      <c r="C335" s="257">
        <f>data!BU65</f>
        <v>0</v>
      </c>
      <c r="D335" s="257">
        <f>data!BV65</f>
        <v>0</v>
      </c>
      <c r="E335" s="257">
        <f>data!BW65</f>
        <v>467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49999999999999" customHeight="1" x14ac:dyDescent="0.35">
      <c r="A336" s="230">
        <v>11</v>
      </c>
      <c r="B336" s="238" t="s">
        <v>508</v>
      </c>
      <c r="C336" s="257">
        <f>data!BU66</f>
        <v>0</v>
      </c>
      <c r="D336" s="257">
        <f>data!BV66</f>
        <v>32503</v>
      </c>
      <c r="E336" s="257">
        <f>data!BW66</f>
        <v>157</v>
      </c>
      <c r="F336" s="257">
        <f>data!BX66</f>
        <v>13808</v>
      </c>
      <c r="G336" s="257">
        <f>data!BY66</f>
        <v>9677</v>
      </c>
      <c r="H336" s="257">
        <f>data!BZ66</f>
        <v>0</v>
      </c>
      <c r="I336" s="257">
        <f>data!CA66</f>
        <v>2771</v>
      </c>
    </row>
    <row r="337" spans="1:9" ht="20.149999999999999" customHeight="1" x14ac:dyDescent="0.35">
      <c r="A337" s="230">
        <v>12</v>
      </c>
      <c r="B337" s="238" t="s">
        <v>14</v>
      </c>
      <c r="C337" s="257">
        <f>data!BU67</f>
        <v>0</v>
      </c>
      <c r="D337" s="257">
        <f>data!BV67</f>
        <v>23647</v>
      </c>
      <c r="E337" s="257">
        <f>data!BW67</f>
        <v>0</v>
      </c>
      <c r="F337" s="257">
        <f>data!BX67</f>
        <v>0</v>
      </c>
      <c r="G337" s="257">
        <f>data!BY67</f>
        <v>9367</v>
      </c>
      <c r="H337" s="257">
        <f>data!BZ67</f>
        <v>0</v>
      </c>
      <c r="I337" s="257">
        <f>data!CA67</f>
        <v>0</v>
      </c>
    </row>
    <row r="338" spans="1:9" ht="20.149999999999999" customHeight="1" x14ac:dyDescent="0.35">
      <c r="A338" s="230">
        <v>13</v>
      </c>
      <c r="B338" s="238" t="s">
        <v>988</v>
      </c>
      <c r="C338" s="257">
        <f>data!BU68</f>
        <v>0</v>
      </c>
      <c r="D338" s="257">
        <f>data!BV68</f>
        <v>0</v>
      </c>
      <c r="E338" s="257">
        <f>data!BW68</f>
        <v>116</v>
      </c>
      <c r="F338" s="257">
        <f>data!BX68</f>
        <v>0</v>
      </c>
      <c r="G338" s="257">
        <f>data!BY68</f>
        <v>2103</v>
      </c>
      <c r="H338" s="257">
        <f>data!BZ68</f>
        <v>0</v>
      </c>
      <c r="I338" s="257">
        <f>data!CA68</f>
        <v>0</v>
      </c>
    </row>
    <row r="339" spans="1:9" ht="20.149999999999999" customHeight="1" x14ac:dyDescent="0.35">
      <c r="A339" s="230">
        <v>14</v>
      </c>
      <c r="B339" s="238" t="s">
        <v>989</v>
      </c>
      <c r="C339" s="257">
        <f>data!BU69</f>
        <v>0</v>
      </c>
      <c r="D339" s="257">
        <f>data!BV69</f>
        <v>5228</v>
      </c>
      <c r="E339" s="257">
        <f>data!BW69</f>
        <v>41511</v>
      </c>
      <c r="F339" s="257">
        <f>data!BX69</f>
        <v>14045</v>
      </c>
      <c r="G339" s="257">
        <f>data!BY69</f>
        <v>271</v>
      </c>
      <c r="H339" s="257">
        <f>data!BZ69</f>
        <v>0</v>
      </c>
      <c r="I339" s="257">
        <f>data!CA69</f>
        <v>1112</v>
      </c>
    </row>
    <row r="340" spans="1:9" ht="20.149999999999999" customHeight="1" x14ac:dyDescent="0.35">
      <c r="A340" s="230">
        <v>15</v>
      </c>
      <c r="B340" s="238" t="s">
        <v>280</v>
      </c>
      <c r="C340" s="238">
        <f>-data!BU84</f>
        <v>0</v>
      </c>
      <c r="D340" s="238">
        <f>-data!BV84</f>
        <v>-2851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49999999999999" customHeight="1" x14ac:dyDescent="0.35">
      <c r="A341" s="230">
        <v>16</v>
      </c>
      <c r="B341" s="246" t="s">
        <v>990</v>
      </c>
      <c r="C341" s="238">
        <f>data!BU85</f>
        <v>0</v>
      </c>
      <c r="D341" s="238">
        <f>data!BV85</f>
        <v>359488</v>
      </c>
      <c r="E341" s="238">
        <f>data!BW85</f>
        <v>2457600</v>
      </c>
      <c r="F341" s="238">
        <f>data!BX85</f>
        <v>38618</v>
      </c>
      <c r="G341" s="238">
        <f>data!BY85</f>
        <v>320695</v>
      </c>
      <c r="H341" s="238">
        <f>data!BZ85</f>
        <v>0</v>
      </c>
      <c r="I341" s="238">
        <f>data!CA85</f>
        <v>27539</v>
      </c>
    </row>
    <row r="342" spans="1:9" ht="20.149999999999999" customHeight="1" x14ac:dyDescent="0.35">
      <c r="A342" s="230">
        <v>17</v>
      </c>
      <c r="B342" s="238" t="s">
        <v>282</v>
      </c>
      <c r="C342" s="248"/>
      <c r="D342" s="248"/>
      <c r="E342" s="248"/>
      <c r="F342" s="248"/>
      <c r="G342" s="248"/>
      <c r="H342" s="248"/>
      <c r="I342" s="248"/>
    </row>
    <row r="343" spans="1:9" ht="20.149999999999999" customHeight="1" x14ac:dyDescent="0.35">
      <c r="A343" s="230">
        <v>18</v>
      </c>
      <c r="B343" s="238" t="s">
        <v>991</v>
      </c>
      <c r="C343" s="238"/>
      <c r="D343" s="238"/>
      <c r="E343" s="238"/>
      <c r="F343" s="238"/>
      <c r="G343" s="238"/>
      <c r="H343" s="238"/>
      <c r="I343" s="238"/>
    </row>
    <row r="344" spans="1:9" ht="20.149999999999999" customHeight="1" x14ac:dyDescent="0.35">
      <c r="A344" s="230">
        <v>19</v>
      </c>
      <c r="B344" s="246" t="s">
        <v>992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49999999999999" customHeight="1" x14ac:dyDescent="0.35">
      <c r="A345" s="230">
        <v>20</v>
      </c>
      <c r="B345" s="246" t="s">
        <v>993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49999999999999" customHeight="1" x14ac:dyDescent="0.35">
      <c r="A346" s="230">
        <v>21</v>
      </c>
      <c r="B346" s="246" t="s">
        <v>994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49999999999999" customHeight="1" x14ac:dyDescent="0.35">
      <c r="A347" s="230" t="s">
        <v>995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49999999999999" customHeight="1" x14ac:dyDescent="0.35">
      <c r="A348" s="230">
        <v>22</v>
      </c>
      <c r="B348" s="238" t="s">
        <v>996</v>
      </c>
      <c r="C348" s="254">
        <f>data!BU90</f>
        <v>0</v>
      </c>
      <c r="D348" s="254">
        <f>data!BV90</f>
        <v>770</v>
      </c>
      <c r="E348" s="254">
        <f>data!BW90</f>
        <v>0</v>
      </c>
      <c r="F348" s="254">
        <f>data!BX90</f>
        <v>0</v>
      </c>
      <c r="G348" s="254">
        <f>data!BY90</f>
        <v>305</v>
      </c>
      <c r="H348" s="254">
        <f>data!BZ90</f>
        <v>0</v>
      </c>
      <c r="I348" s="254">
        <f>data!CA90</f>
        <v>0</v>
      </c>
    </row>
    <row r="349" spans="1:9" ht="20.149999999999999" customHeight="1" x14ac:dyDescent="0.35">
      <c r="A349" s="230">
        <v>23</v>
      </c>
      <c r="B349" s="238" t="s">
        <v>997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49999999999999" customHeight="1" x14ac:dyDescent="0.35">
      <c r="A350" s="230">
        <v>24</v>
      </c>
      <c r="B350" s="238" t="s">
        <v>998</v>
      </c>
      <c r="C350" s="254">
        <f>data!BU92</f>
        <v>0</v>
      </c>
      <c r="D350" s="254">
        <f>data!BV92</f>
        <v>316</v>
      </c>
      <c r="E350" s="254">
        <f>data!BW92</f>
        <v>0</v>
      </c>
      <c r="F350" s="254">
        <f>data!BX92</f>
        <v>0</v>
      </c>
      <c r="G350" s="254">
        <f>data!BY92</f>
        <v>125</v>
      </c>
      <c r="H350" s="254">
        <f>data!BZ92</f>
        <v>0</v>
      </c>
      <c r="I350" s="254">
        <f>data!CA92</f>
        <v>0</v>
      </c>
    </row>
    <row r="351" spans="1:9" ht="20.149999999999999" customHeight="1" x14ac:dyDescent="0.35">
      <c r="A351" s="230">
        <v>25</v>
      </c>
      <c r="B351" s="238" t="s">
        <v>999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49999999999999" customHeight="1" x14ac:dyDescent="0.35">
      <c r="A352" s="230">
        <v>26</v>
      </c>
      <c r="B352" s="238" t="s">
        <v>290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49999999999999" customHeight="1" x14ac:dyDescent="0.35">
      <c r="A353" s="231" t="s">
        <v>981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49999999999999" customHeight="1" x14ac:dyDescent="0.35">
      <c r="D354" s="234"/>
      <c r="I354" s="235" t="s">
        <v>1034</v>
      </c>
    </row>
    <row r="355" spans="1:9" ht="20.149999999999999" customHeight="1" x14ac:dyDescent="0.35">
      <c r="A355" s="234"/>
    </row>
    <row r="356" spans="1:9" ht="20.149999999999999" customHeight="1" x14ac:dyDescent="0.35">
      <c r="A356" s="236" t="str">
        <f>"Hospital: "&amp;data!C98</f>
        <v>Hospital: Ferry County Public Hospital District No. 1</v>
      </c>
      <c r="G356" s="237"/>
      <c r="H356" s="236" t="str">
        <f>"FYE: "&amp;data!C96</f>
        <v>FYE: 12/31/2022</v>
      </c>
    </row>
    <row r="357" spans="1:9" ht="20.149999999999999" customHeight="1" x14ac:dyDescent="0.35">
      <c r="A357" s="230">
        <v>1</v>
      </c>
      <c r="B357" s="238" t="s">
        <v>232</v>
      </c>
      <c r="C357" s="240">
        <v>8910</v>
      </c>
      <c r="D357" s="240">
        <v>8930</v>
      </c>
      <c r="E357" s="240" t="s">
        <v>111</v>
      </c>
      <c r="F357" s="258"/>
      <c r="G357" s="258"/>
      <c r="H357" s="258"/>
      <c r="I357" s="240"/>
    </row>
    <row r="358" spans="1:9" ht="20.149999999999999" customHeight="1" x14ac:dyDescent="0.35">
      <c r="A358" s="241">
        <v>2</v>
      </c>
      <c r="B358" s="242" t="s">
        <v>983</v>
      </c>
      <c r="C358" s="244" t="s">
        <v>183</v>
      </c>
      <c r="D358" s="244" t="s">
        <v>155</v>
      </c>
      <c r="E358" s="244" t="s">
        <v>234</v>
      </c>
      <c r="F358" s="259"/>
      <c r="G358" s="259"/>
      <c r="H358" s="259"/>
      <c r="I358" s="244" t="s">
        <v>184</v>
      </c>
    </row>
    <row r="359" spans="1:9" ht="20.149999999999999" customHeight="1" x14ac:dyDescent="0.35">
      <c r="A359" s="241"/>
      <c r="B359" s="242"/>
      <c r="C359" s="244" t="s">
        <v>224</v>
      </c>
      <c r="D359" s="244" t="s">
        <v>1035</v>
      </c>
      <c r="E359" s="244" t="s">
        <v>236</v>
      </c>
      <c r="F359" s="259"/>
      <c r="G359" s="259"/>
      <c r="H359" s="259"/>
      <c r="I359" s="244" t="s">
        <v>226</v>
      </c>
    </row>
    <row r="360" spans="1:9" ht="20.149999999999999" customHeight="1" x14ac:dyDescent="0.35">
      <c r="A360" s="230">
        <v>3</v>
      </c>
      <c r="B360" s="238" t="s">
        <v>987</v>
      </c>
      <c r="C360" s="250"/>
      <c r="D360" s="250"/>
      <c r="E360" s="250"/>
      <c r="F360" s="250"/>
      <c r="G360" s="250"/>
      <c r="H360" s="250"/>
      <c r="I360" s="250"/>
    </row>
    <row r="361" spans="1:9" ht="20.149999999999999" customHeight="1" x14ac:dyDescent="0.35">
      <c r="A361" s="230">
        <v>4</v>
      </c>
      <c r="B361" s="238" t="s">
        <v>257</v>
      </c>
      <c r="C361" s="250"/>
      <c r="D361" s="250"/>
      <c r="E361" s="250"/>
      <c r="F361" s="250"/>
      <c r="G361" s="250"/>
      <c r="H361" s="250"/>
      <c r="I361" s="250"/>
    </row>
    <row r="362" spans="1:9" ht="20.149999999999999" customHeight="1" x14ac:dyDescent="0.35">
      <c r="A362" s="230">
        <v>5</v>
      </c>
      <c r="B362" s="238" t="s">
        <v>258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127.08999999999999</v>
      </c>
    </row>
    <row r="363" spans="1:9" ht="20.149999999999999" customHeight="1" x14ac:dyDescent="0.35">
      <c r="A363" s="230">
        <v>6</v>
      </c>
      <c r="B363" s="238" t="s">
        <v>259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9135573</v>
      </c>
    </row>
    <row r="364" spans="1:9" ht="20.149999999999999" customHeight="1" x14ac:dyDescent="0.35">
      <c r="A364" s="230">
        <v>7</v>
      </c>
      <c r="B364" s="238" t="s">
        <v>9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2104028</v>
      </c>
    </row>
    <row r="365" spans="1:9" ht="20.149999999999999" customHeight="1" x14ac:dyDescent="0.35">
      <c r="A365" s="230">
        <v>8</v>
      </c>
      <c r="B365" s="238" t="s">
        <v>260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1926510</v>
      </c>
    </row>
    <row r="366" spans="1:9" ht="20.149999999999999" customHeight="1" x14ac:dyDescent="0.35">
      <c r="A366" s="230">
        <v>9</v>
      </c>
      <c r="B366" s="238" t="s">
        <v>261</v>
      </c>
      <c r="C366" s="257">
        <f>data!CB64</f>
        <v>0</v>
      </c>
      <c r="D366" s="257">
        <f>data!CC64</f>
        <v>118657</v>
      </c>
      <c r="E366" s="262"/>
      <c r="F366" s="262"/>
      <c r="G366" s="262"/>
      <c r="H366" s="262"/>
      <c r="I366" s="257">
        <f>data!CE64</f>
        <v>3739759</v>
      </c>
    </row>
    <row r="367" spans="1:9" ht="20.149999999999999" customHeight="1" x14ac:dyDescent="0.35">
      <c r="A367" s="230">
        <v>10</v>
      </c>
      <c r="B367" s="238" t="s">
        <v>507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295176</v>
      </c>
    </row>
    <row r="368" spans="1:9" ht="20.149999999999999" customHeight="1" x14ac:dyDescent="0.35">
      <c r="A368" s="230">
        <v>11</v>
      </c>
      <c r="B368" s="238" t="s">
        <v>508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2169702</v>
      </c>
    </row>
    <row r="369" spans="1:9" ht="20.149999999999999" customHeight="1" x14ac:dyDescent="0.35">
      <c r="A369" s="230">
        <v>12</v>
      </c>
      <c r="B369" s="238" t="s">
        <v>14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967666</v>
      </c>
    </row>
    <row r="370" spans="1:9" ht="20.149999999999999" customHeight="1" x14ac:dyDescent="0.35">
      <c r="A370" s="230">
        <v>13</v>
      </c>
      <c r="B370" s="238" t="s">
        <v>988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254921</v>
      </c>
    </row>
    <row r="371" spans="1:9" ht="20.149999999999999" customHeight="1" x14ac:dyDescent="0.35">
      <c r="A371" s="230">
        <v>14</v>
      </c>
      <c r="B371" s="238" t="s">
        <v>989</v>
      </c>
      <c r="C371" s="257">
        <f>data!CB69</f>
        <v>0</v>
      </c>
      <c r="D371" s="257">
        <f>data!CC69</f>
        <v>0</v>
      </c>
      <c r="E371" s="257">
        <f>data!CD69</f>
        <v>1380131</v>
      </c>
      <c r="F371" s="262"/>
      <c r="G371" s="262"/>
      <c r="H371" s="262"/>
      <c r="I371" s="257">
        <f>data!CE69</f>
        <v>2025380</v>
      </c>
    </row>
    <row r="372" spans="1:9" ht="20.149999999999999" customHeight="1" x14ac:dyDescent="0.35">
      <c r="A372" s="230">
        <v>15</v>
      </c>
      <c r="B372" s="238" t="s">
        <v>280</v>
      </c>
      <c r="C372" s="238">
        <f>-data!CB84</f>
        <v>0</v>
      </c>
      <c r="D372" s="238">
        <f>-data!CC84</f>
        <v>0</v>
      </c>
      <c r="E372" s="238">
        <f>-data!CD84</f>
        <v>-3906405</v>
      </c>
      <c r="F372" s="248"/>
      <c r="G372" s="248"/>
      <c r="H372" s="248"/>
      <c r="I372" s="238">
        <f>-data!CE84</f>
        <v>-3924740</v>
      </c>
    </row>
    <row r="373" spans="1:9" ht="20.149999999999999" customHeight="1" x14ac:dyDescent="0.35">
      <c r="A373" s="230">
        <v>16</v>
      </c>
      <c r="B373" s="246" t="s">
        <v>990</v>
      </c>
      <c r="C373" s="257">
        <f>data!CB85</f>
        <v>0</v>
      </c>
      <c r="D373" s="257">
        <f>data!CC85</f>
        <v>118657</v>
      </c>
      <c r="E373" s="257">
        <f>data!CD85</f>
        <v>-2526274</v>
      </c>
      <c r="F373" s="262"/>
      <c r="G373" s="262"/>
      <c r="H373" s="262"/>
      <c r="I373" s="238">
        <f>data!CE85</f>
        <v>18693975</v>
      </c>
    </row>
    <row r="374" spans="1:9" ht="20.149999999999999" customHeight="1" x14ac:dyDescent="0.35">
      <c r="A374" s="230">
        <v>17</v>
      </c>
      <c r="B374" s="238" t="s">
        <v>282</v>
      </c>
      <c r="C374" s="262"/>
      <c r="D374" s="262"/>
      <c r="E374" s="262"/>
      <c r="F374" s="262"/>
      <c r="G374" s="262"/>
      <c r="H374" s="262"/>
      <c r="I374" s="238">
        <f>data!CE86</f>
        <v>389476</v>
      </c>
    </row>
    <row r="375" spans="1:9" ht="20.149999999999999" customHeight="1" x14ac:dyDescent="0.35">
      <c r="A375" s="230">
        <v>18</v>
      </c>
      <c r="B375" s="238" t="s">
        <v>991</v>
      </c>
      <c r="C375" s="238"/>
      <c r="D375" s="238"/>
      <c r="E375" s="238"/>
      <c r="F375" s="238"/>
      <c r="G375" s="238"/>
      <c r="H375" s="238"/>
      <c r="I375" s="238"/>
    </row>
    <row r="376" spans="1:9" ht="20.149999999999999" customHeight="1" x14ac:dyDescent="0.35">
      <c r="A376" s="230">
        <v>19</v>
      </c>
      <c r="B376" s="246" t="s">
        <v>992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4217469</v>
      </c>
    </row>
    <row r="377" spans="1:9" ht="20.149999999999999" customHeight="1" x14ac:dyDescent="0.35">
      <c r="A377" s="230">
        <v>20</v>
      </c>
      <c r="B377" s="246" t="s">
        <v>993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22156771</v>
      </c>
    </row>
    <row r="378" spans="1:9" ht="20.149999999999999" customHeight="1" x14ac:dyDescent="0.35">
      <c r="A378" s="230">
        <v>21</v>
      </c>
      <c r="B378" s="246" t="s">
        <v>994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26374240</v>
      </c>
    </row>
    <row r="379" spans="1:9" ht="20.149999999999999" customHeight="1" x14ac:dyDescent="0.35">
      <c r="A379" s="230" t="s">
        <v>995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49999999999999" customHeight="1" x14ac:dyDescent="0.35">
      <c r="A380" s="230">
        <v>22</v>
      </c>
      <c r="B380" s="238" t="s">
        <v>996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31509</v>
      </c>
    </row>
    <row r="381" spans="1:9" ht="20.149999999999999" customHeight="1" x14ac:dyDescent="0.35">
      <c r="A381" s="230">
        <v>23</v>
      </c>
      <c r="B381" s="238" t="s">
        <v>997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24887</v>
      </c>
    </row>
    <row r="382" spans="1:9" ht="20.149999999999999" customHeight="1" x14ac:dyDescent="0.35">
      <c r="A382" s="230">
        <v>24</v>
      </c>
      <c r="B382" s="238" t="s">
        <v>998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10657</v>
      </c>
    </row>
    <row r="383" spans="1:9" ht="20.149999999999999" customHeight="1" x14ac:dyDescent="0.35">
      <c r="A383" s="230">
        <v>25</v>
      </c>
      <c r="B383" s="238" t="s">
        <v>999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52763</v>
      </c>
    </row>
    <row r="384" spans="1:9" ht="20.149999999999999" customHeight="1" x14ac:dyDescent="0.35">
      <c r="A384" s="230">
        <v>26</v>
      </c>
      <c r="B384" s="238" t="s">
        <v>290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38.260000000000005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42" transitionEvaluation="1" transitionEntry="1" codeName="Sheet1">
    <tabColor rgb="FF92D050"/>
    <pageSetUpPr autoPageBreaks="0" fitToPage="1"/>
  </sheetPr>
  <dimension ref="A1:CF716"/>
  <sheetViews>
    <sheetView topLeftCell="A242" zoomScaleNormal="100" workbookViewId="0">
      <selection activeCell="F224" sqref="F22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00" t="s">
        <v>1343</v>
      </c>
    </row>
    <row r="3" spans="1:5" x14ac:dyDescent="0.35">
      <c r="A3" s="56" t="s">
        <v>0</v>
      </c>
      <c r="C3" s="13"/>
    </row>
    <row r="4" spans="1:5" x14ac:dyDescent="0.35">
      <c r="A4" s="56" t="s">
        <v>1</v>
      </c>
      <c r="C4" s="13"/>
    </row>
    <row r="5" spans="1:5" x14ac:dyDescent="0.35">
      <c r="A5" s="11" t="s">
        <v>2</v>
      </c>
    </row>
    <row r="7" spans="1:5" x14ac:dyDescent="0.35">
      <c r="A7" s="299" t="s">
        <v>1342</v>
      </c>
    </row>
    <row r="8" spans="1:5" x14ac:dyDescent="0.35">
      <c r="C8" s="13"/>
    </row>
    <row r="9" spans="1:5" x14ac:dyDescent="0.35">
      <c r="A9" s="56" t="s">
        <v>4</v>
      </c>
      <c r="C9" s="13"/>
    </row>
    <row r="10" spans="1:5" x14ac:dyDescent="0.35">
      <c r="A10" s="11" t="s">
        <v>5</v>
      </c>
      <c r="C10" s="13"/>
    </row>
    <row r="11" spans="1:5" x14ac:dyDescent="0.35">
      <c r="A11" s="14" t="s">
        <v>6</v>
      </c>
      <c r="C11" s="13"/>
    </row>
    <row r="12" spans="1:5" x14ac:dyDescent="0.35">
      <c r="A12" s="12" t="s">
        <v>7</v>
      </c>
      <c r="C12" s="13"/>
    </row>
    <row r="13" spans="1:5" x14ac:dyDescent="0.35">
      <c r="A13" s="11" t="s">
        <v>8</v>
      </c>
      <c r="C13" s="13"/>
    </row>
    <row r="14" spans="1:5" x14ac:dyDescent="0.35">
      <c r="C14" s="13"/>
    </row>
    <row r="15" spans="1:5" x14ac:dyDescent="0.35">
      <c r="A15" s="59" t="s">
        <v>9</v>
      </c>
    </row>
    <row r="16" spans="1:5" x14ac:dyDescent="0.35">
      <c r="A16" s="12" t="s">
        <v>10</v>
      </c>
    </row>
    <row r="17" spans="1:10" x14ac:dyDescent="0.35">
      <c r="A17" s="14" t="s">
        <v>11</v>
      </c>
    </row>
    <row r="18" spans="1:10" ht="14.4" customHeight="1" x14ac:dyDescent="0.35">
      <c r="A18" s="14" t="s">
        <v>12</v>
      </c>
    </row>
    <row r="19" spans="1:10" ht="14.4" customHeight="1" x14ac:dyDescent="0.35">
      <c r="A19" s="14" t="s">
        <v>13</v>
      </c>
    </row>
    <row r="20" spans="1:10" ht="14.4" customHeight="1" x14ac:dyDescent="0.35">
      <c r="A20" s="12"/>
      <c r="E20" s="58"/>
      <c r="F20" s="58"/>
      <c r="G20" s="58"/>
    </row>
    <row r="21" spans="1:10" ht="14.4" customHeight="1" x14ac:dyDescent="0.35">
      <c r="A21" s="60" t="s">
        <v>14</v>
      </c>
      <c r="E21" s="58"/>
      <c r="F21" s="58"/>
      <c r="G21" s="58"/>
      <c r="I21" s="58"/>
      <c r="J21" s="58"/>
    </row>
    <row r="22" spans="1:10" x14ac:dyDescent="0.35">
      <c r="A22" s="14" t="s">
        <v>15</v>
      </c>
      <c r="E22" s="57"/>
      <c r="F22" s="57"/>
      <c r="G22" s="57"/>
      <c r="I22" s="57"/>
      <c r="J22" s="57"/>
    </row>
    <row r="23" spans="1:10" x14ac:dyDescent="0.35">
      <c r="A23" s="14" t="s">
        <v>16</v>
      </c>
      <c r="E23" s="57"/>
      <c r="F23" s="57"/>
      <c r="G23" s="57"/>
      <c r="I23" s="57"/>
      <c r="J23" s="57"/>
    </row>
    <row r="24" spans="1:10" x14ac:dyDescent="0.35">
      <c r="A24" s="14" t="s">
        <v>17</v>
      </c>
    </row>
    <row r="25" spans="1:10" x14ac:dyDescent="0.35">
      <c r="A25" s="14" t="s">
        <v>18</v>
      </c>
    </row>
    <row r="26" spans="1:10" x14ac:dyDescent="0.35">
      <c r="A26" s="14"/>
    </row>
    <row r="27" spans="1:10" x14ac:dyDescent="0.35">
      <c r="A27" s="12" t="s">
        <v>19</v>
      </c>
      <c r="C27" s="13"/>
    </row>
    <row r="28" spans="1:10" x14ac:dyDescent="0.35">
      <c r="A28" s="14" t="s">
        <v>20</v>
      </c>
      <c r="C28" s="13"/>
    </row>
    <row r="29" spans="1:10" x14ac:dyDescent="0.35">
      <c r="C29" s="13"/>
    </row>
    <row r="30" spans="1:10" x14ac:dyDescent="0.35">
      <c r="A30" s="11" t="s">
        <v>21</v>
      </c>
      <c r="C30" s="266" t="s">
        <v>22</v>
      </c>
      <c r="F30" s="15"/>
    </row>
    <row r="31" spans="1:10" x14ac:dyDescent="0.35">
      <c r="C31" s="13"/>
    </row>
    <row r="32" spans="1:10" x14ac:dyDescent="0.35">
      <c r="A32" s="56" t="s">
        <v>23</v>
      </c>
      <c r="B32" s="58"/>
      <c r="C32" s="58"/>
      <c r="D32" s="58"/>
    </row>
    <row r="33" spans="1:83" x14ac:dyDescent="0.35">
      <c r="A33" s="14" t="s">
        <v>24</v>
      </c>
      <c r="B33" s="58"/>
      <c r="C33" s="58"/>
      <c r="D33" s="58"/>
    </row>
    <row r="34" spans="1:83" x14ac:dyDescent="0.35">
      <c r="A34" s="14" t="s">
        <v>25</v>
      </c>
      <c r="B34" s="57"/>
      <c r="C34" s="57"/>
      <c r="D34" s="57"/>
    </row>
    <row r="35" spans="1:83" x14ac:dyDescent="0.35">
      <c r="B35" s="57"/>
      <c r="C35" s="57"/>
      <c r="D35" s="57"/>
    </row>
    <row r="36" spans="1:83" x14ac:dyDescent="0.35">
      <c r="A36" s="294" t="s">
        <v>26</v>
      </c>
      <c r="B36" s="306"/>
      <c r="C36" s="307"/>
      <c r="D36" s="306"/>
      <c r="E36" s="306"/>
      <c r="F36" s="306"/>
      <c r="G36" s="306"/>
    </row>
    <row r="37" spans="1:83" x14ac:dyDescent="0.35">
      <c r="A37" s="308" t="s">
        <v>1345</v>
      </c>
      <c r="B37" s="309"/>
      <c r="C37" s="307"/>
      <c r="D37" s="306"/>
      <c r="E37" s="306"/>
      <c r="F37" s="306"/>
      <c r="G37" s="306"/>
    </row>
    <row r="38" spans="1:83" x14ac:dyDescent="0.35">
      <c r="A38" s="310" t="s">
        <v>27</v>
      </c>
      <c r="B38" s="309"/>
      <c r="C38" s="307"/>
      <c r="D38" s="306"/>
      <c r="E38" s="306"/>
      <c r="F38" s="306"/>
      <c r="G38" s="306"/>
    </row>
    <row r="39" spans="1:83" x14ac:dyDescent="0.35">
      <c r="A39" s="311" t="s">
        <v>1346</v>
      </c>
      <c r="B39" s="306"/>
      <c r="C39" s="307"/>
      <c r="D39" s="306"/>
      <c r="E39" s="306"/>
      <c r="F39" s="306"/>
      <c r="G39" s="306"/>
    </row>
    <row r="40" spans="1:83" x14ac:dyDescent="0.35">
      <c r="A40" s="310" t="s">
        <v>28</v>
      </c>
      <c r="B40" s="306"/>
      <c r="C40" s="307"/>
      <c r="D40" s="306"/>
      <c r="E40" s="306"/>
      <c r="F40" s="306"/>
      <c r="G40" s="306"/>
    </row>
    <row r="41" spans="1:83" x14ac:dyDescent="0.35">
      <c r="C41" s="13"/>
    </row>
    <row r="42" spans="1:83" x14ac:dyDescent="0.35">
      <c r="A42" s="11" t="s">
        <v>29</v>
      </c>
      <c r="C42" s="13"/>
      <c r="F42" s="15" t="s">
        <v>30</v>
      </c>
    </row>
    <row r="43" spans="1:83" x14ac:dyDescent="0.35">
      <c r="A43" s="15" t="s">
        <v>31</v>
      </c>
      <c r="C43" s="13"/>
    </row>
    <row r="44" spans="1:83" x14ac:dyDescent="0.35">
      <c r="A44" s="16"/>
      <c r="B44" s="16"/>
      <c r="C44" s="17" t="s">
        <v>32</v>
      </c>
      <c r="D44" s="18" t="s">
        <v>33</v>
      </c>
      <c r="E44" s="18" t="s">
        <v>34</v>
      </c>
      <c r="F44" s="18" t="s">
        <v>35</v>
      </c>
      <c r="G44" s="18" t="s">
        <v>36</v>
      </c>
      <c r="H44" s="18" t="s">
        <v>37</v>
      </c>
      <c r="I44" s="18" t="s">
        <v>38</v>
      </c>
      <c r="J44" s="18" t="s">
        <v>39</v>
      </c>
      <c r="K44" s="18" t="s">
        <v>40</v>
      </c>
      <c r="L44" s="18" t="s">
        <v>41</v>
      </c>
      <c r="M44" s="18" t="s">
        <v>42</v>
      </c>
      <c r="N44" s="18" t="s">
        <v>43</v>
      </c>
      <c r="O44" s="18" t="s">
        <v>44</v>
      </c>
      <c r="P44" s="18" t="s">
        <v>45</v>
      </c>
      <c r="Q44" s="18" t="s">
        <v>46</v>
      </c>
      <c r="R44" s="18" t="s">
        <v>47</v>
      </c>
      <c r="S44" s="18" t="s">
        <v>48</v>
      </c>
      <c r="T44" s="18" t="s">
        <v>49</v>
      </c>
      <c r="U44" s="18" t="s">
        <v>50</v>
      </c>
      <c r="V44" s="18" t="s">
        <v>51</v>
      </c>
      <c r="W44" s="18" t="s">
        <v>52</v>
      </c>
      <c r="X44" s="18" t="s">
        <v>53</v>
      </c>
      <c r="Y44" s="18" t="s">
        <v>54</v>
      </c>
      <c r="Z44" s="18" t="s">
        <v>55</v>
      </c>
      <c r="AA44" s="18" t="s">
        <v>56</v>
      </c>
      <c r="AB44" s="18" t="s">
        <v>57</v>
      </c>
      <c r="AC44" s="18" t="s">
        <v>58</v>
      </c>
      <c r="AD44" s="18" t="s">
        <v>59</v>
      </c>
      <c r="AE44" s="18" t="s">
        <v>60</v>
      </c>
      <c r="AF44" s="18" t="s">
        <v>61</v>
      </c>
      <c r="AG44" s="18" t="s">
        <v>62</v>
      </c>
      <c r="AH44" s="18" t="s">
        <v>63</v>
      </c>
      <c r="AI44" s="18" t="s">
        <v>64</v>
      </c>
      <c r="AJ44" s="18" t="s">
        <v>65</v>
      </c>
      <c r="AK44" s="18" t="s">
        <v>66</v>
      </c>
      <c r="AL44" s="18" t="s">
        <v>67</v>
      </c>
      <c r="AM44" s="18" t="s">
        <v>68</v>
      </c>
      <c r="AN44" s="18" t="s">
        <v>69</v>
      </c>
      <c r="AO44" s="18" t="s">
        <v>70</v>
      </c>
      <c r="AP44" s="18" t="s">
        <v>71</v>
      </c>
      <c r="AQ44" s="18" t="s">
        <v>72</v>
      </c>
      <c r="AR44" s="18" t="s">
        <v>73</v>
      </c>
      <c r="AS44" s="18" t="s">
        <v>74</v>
      </c>
      <c r="AT44" s="18" t="s">
        <v>75</v>
      </c>
      <c r="AU44" s="18" t="s">
        <v>76</v>
      </c>
      <c r="AV44" s="18" t="s">
        <v>77</v>
      </c>
      <c r="AW44" s="18" t="s">
        <v>78</v>
      </c>
      <c r="AX44" s="18" t="s">
        <v>79</v>
      </c>
      <c r="AY44" s="18" t="s">
        <v>80</v>
      </c>
      <c r="AZ44" s="18" t="s">
        <v>81</v>
      </c>
      <c r="BA44" s="18" t="s">
        <v>82</v>
      </c>
      <c r="BB44" s="18" t="s">
        <v>83</v>
      </c>
      <c r="BC44" s="18" t="s">
        <v>84</v>
      </c>
      <c r="BD44" s="18" t="s">
        <v>85</v>
      </c>
      <c r="BE44" s="18" t="s">
        <v>86</v>
      </c>
      <c r="BF44" s="18" t="s">
        <v>87</v>
      </c>
      <c r="BG44" s="18" t="s">
        <v>88</v>
      </c>
      <c r="BH44" s="18" t="s">
        <v>89</v>
      </c>
      <c r="BI44" s="18" t="s">
        <v>90</v>
      </c>
      <c r="BJ44" s="18" t="s">
        <v>91</v>
      </c>
      <c r="BK44" s="18" t="s">
        <v>92</v>
      </c>
      <c r="BL44" s="18" t="s">
        <v>93</v>
      </c>
      <c r="BM44" s="18" t="s">
        <v>94</v>
      </c>
      <c r="BN44" s="18" t="s">
        <v>95</v>
      </c>
      <c r="BO44" s="18" t="s">
        <v>96</v>
      </c>
      <c r="BP44" s="18" t="s">
        <v>97</v>
      </c>
      <c r="BQ44" s="18" t="s">
        <v>98</v>
      </c>
      <c r="BR44" s="18" t="s">
        <v>99</v>
      </c>
      <c r="BS44" s="18" t="s">
        <v>100</v>
      </c>
      <c r="BT44" s="18" t="s">
        <v>101</v>
      </c>
      <c r="BU44" s="18" t="s">
        <v>102</v>
      </c>
      <c r="BV44" s="18" t="s">
        <v>103</v>
      </c>
      <c r="BW44" s="18" t="s">
        <v>104</v>
      </c>
      <c r="BX44" s="18" t="s">
        <v>105</v>
      </c>
      <c r="BY44" s="18" t="s">
        <v>106</v>
      </c>
      <c r="BZ44" s="18" t="s">
        <v>107</v>
      </c>
      <c r="CA44" s="18" t="s">
        <v>108</v>
      </c>
      <c r="CB44" s="18" t="s">
        <v>109</v>
      </c>
      <c r="CC44" s="18" t="s">
        <v>110</v>
      </c>
      <c r="CD44" s="18" t="s">
        <v>111</v>
      </c>
      <c r="CE44" s="18" t="s">
        <v>112</v>
      </c>
    </row>
    <row r="45" spans="1:83" x14ac:dyDescent="0.35">
      <c r="A45" s="16"/>
      <c r="B45" s="19" t="s">
        <v>113</v>
      </c>
      <c r="C45" s="17" t="s">
        <v>114</v>
      </c>
      <c r="D45" s="18" t="s">
        <v>115</v>
      </c>
      <c r="E45" s="18" t="s">
        <v>116</v>
      </c>
      <c r="F45" s="18" t="s">
        <v>117</v>
      </c>
      <c r="G45" s="18" t="s">
        <v>118</v>
      </c>
      <c r="H45" s="18" t="s">
        <v>119</v>
      </c>
      <c r="I45" s="18" t="s">
        <v>120</v>
      </c>
      <c r="J45" s="18" t="s">
        <v>121</v>
      </c>
      <c r="K45" s="18" t="s">
        <v>122</v>
      </c>
      <c r="L45" s="18" t="s">
        <v>123</v>
      </c>
      <c r="M45" s="18" t="s">
        <v>124</v>
      </c>
      <c r="N45" s="18" t="s">
        <v>125</v>
      </c>
      <c r="O45" s="18" t="s">
        <v>126</v>
      </c>
      <c r="P45" s="18" t="s">
        <v>127</v>
      </c>
      <c r="Q45" s="18" t="s">
        <v>128</v>
      </c>
      <c r="R45" s="18" t="s">
        <v>129</v>
      </c>
      <c r="S45" s="18" t="s">
        <v>130</v>
      </c>
      <c r="T45" s="18" t="s">
        <v>131</v>
      </c>
      <c r="U45" s="18" t="s">
        <v>132</v>
      </c>
      <c r="V45" s="18" t="s">
        <v>133</v>
      </c>
      <c r="W45" s="18" t="s">
        <v>134</v>
      </c>
      <c r="X45" s="18" t="s">
        <v>135</v>
      </c>
      <c r="Y45" s="18" t="s">
        <v>136</v>
      </c>
      <c r="Z45" s="18" t="s">
        <v>136</v>
      </c>
      <c r="AA45" s="18" t="s">
        <v>137</v>
      </c>
      <c r="AB45" s="18" t="s">
        <v>138</v>
      </c>
      <c r="AC45" s="18" t="s">
        <v>139</v>
      </c>
      <c r="AD45" s="18" t="s">
        <v>140</v>
      </c>
      <c r="AE45" s="18" t="s">
        <v>118</v>
      </c>
      <c r="AF45" s="18" t="s">
        <v>119</v>
      </c>
      <c r="AG45" s="18" t="s">
        <v>141</v>
      </c>
      <c r="AH45" s="18" t="s">
        <v>142</v>
      </c>
      <c r="AI45" s="18" t="s">
        <v>143</v>
      </c>
      <c r="AJ45" s="18" t="s">
        <v>144</v>
      </c>
      <c r="AK45" s="18" t="s">
        <v>145</v>
      </c>
      <c r="AL45" s="18" t="s">
        <v>146</v>
      </c>
      <c r="AM45" s="18" t="s">
        <v>147</v>
      </c>
      <c r="AN45" s="18" t="s">
        <v>133</v>
      </c>
      <c r="AO45" s="18" t="s">
        <v>148</v>
      </c>
      <c r="AP45" s="18" t="s">
        <v>149</v>
      </c>
      <c r="AQ45" s="18" t="s">
        <v>150</v>
      </c>
      <c r="AR45" s="18" t="s">
        <v>151</v>
      </c>
      <c r="AS45" s="18" t="s">
        <v>152</v>
      </c>
      <c r="AT45" s="18" t="s">
        <v>153</v>
      </c>
      <c r="AU45" s="18" t="s">
        <v>154</v>
      </c>
      <c r="AV45" s="18" t="s">
        <v>155</v>
      </c>
      <c r="AW45" s="18" t="s">
        <v>156</v>
      </c>
      <c r="AX45" s="18" t="s">
        <v>157</v>
      </c>
      <c r="AY45" s="18" t="s">
        <v>158</v>
      </c>
      <c r="AZ45" s="18" t="s">
        <v>159</v>
      </c>
      <c r="BA45" s="18" t="s">
        <v>160</v>
      </c>
      <c r="BB45" s="18" t="s">
        <v>161</v>
      </c>
      <c r="BC45" s="18" t="s">
        <v>130</v>
      </c>
      <c r="BD45" s="18" t="s">
        <v>162</v>
      </c>
      <c r="BE45" s="18" t="s">
        <v>163</v>
      </c>
      <c r="BF45" s="18" t="s">
        <v>164</v>
      </c>
      <c r="BG45" s="18" t="s">
        <v>165</v>
      </c>
      <c r="BH45" s="18" t="s">
        <v>166</v>
      </c>
      <c r="BI45" s="18" t="s">
        <v>167</v>
      </c>
      <c r="BJ45" s="18" t="s">
        <v>168</v>
      </c>
      <c r="BK45" s="18" t="s">
        <v>169</v>
      </c>
      <c r="BL45" s="18" t="s">
        <v>170</v>
      </c>
      <c r="BM45" s="18" t="s">
        <v>155</v>
      </c>
      <c r="BN45" s="18" t="s">
        <v>171</v>
      </c>
      <c r="BO45" s="18" t="s">
        <v>172</v>
      </c>
      <c r="BP45" s="18" t="s">
        <v>173</v>
      </c>
      <c r="BQ45" s="18" t="s">
        <v>174</v>
      </c>
      <c r="BR45" s="18" t="s">
        <v>175</v>
      </c>
      <c r="BS45" s="18" t="s">
        <v>176</v>
      </c>
      <c r="BT45" s="18" t="s">
        <v>177</v>
      </c>
      <c r="BU45" s="18" t="s">
        <v>178</v>
      </c>
      <c r="BV45" s="18" t="s">
        <v>178</v>
      </c>
      <c r="BW45" s="18" t="s">
        <v>178</v>
      </c>
      <c r="BX45" s="18" t="s">
        <v>179</v>
      </c>
      <c r="BY45" s="18" t="s">
        <v>180</v>
      </c>
      <c r="BZ45" s="18" t="s">
        <v>181</v>
      </c>
      <c r="CA45" s="18" t="s">
        <v>182</v>
      </c>
      <c r="CB45" s="18" t="s">
        <v>183</v>
      </c>
      <c r="CC45" s="18" t="s">
        <v>155</v>
      </c>
      <c r="CD45" s="18"/>
      <c r="CE45" s="18" t="s">
        <v>184</v>
      </c>
    </row>
    <row r="46" spans="1:83" x14ac:dyDescent="0.35">
      <c r="A46" s="16" t="s">
        <v>9</v>
      </c>
      <c r="B46" s="18" t="s">
        <v>185</v>
      </c>
      <c r="C46" s="17" t="s">
        <v>186</v>
      </c>
      <c r="D46" s="18" t="s">
        <v>186</v>
      </c>
      <c r="E46" s="18" t="s">
        <v>186</v>
      </c>
      <c r="F46" s="18" t="s">
        <v>187</v>
      </c>
      <c r="G46" s="18" t="s">
        <v>188</v>
      </c>
      <c r="H46" s="18" t="s">
        <v>186</v>
      </c>
      <c r="I46" s="18" t="s">
        <v>189</v>
      </c>
      <c r="J46" s="18"/>
      <c r="K46" s="18" t="s">
        <v>180</v>
      </c>
      <c r="L46" s="18" t="s">
        <v>190</v>
      </c>
      <c r="M46" s="18" t="s">
        <v>191</v>
      </c>
      <c r="N46" s="18" t="s">
        <v>192</v>
      </c>
      <c r="O46" s="18" t="s">
        <v>193</v>
      </c>
      <c r="P46" s="18" t="s">
        <v>192</v>
      </c>
      <c r="Q46" s="18" t="s">
        <v>194</v>
      </c>
      <c r="R46" s="18"/>
      <c r="S46" s="18" t="s">
        <v>192</v>
      </c>
      <c r="T46" s="18" t="s">
        <v>195</v>
      </c>
      <c r="U46" s="18"/>
      <c r="V46" s="18" t="s">
        <v>196</v>
      </c>
      <c r="W46" s="18" t="s">
        <v>197</v>
      </c>
      <c r="X46" s="18" t="s">
        <v>198</v>
      </c>
      <c r="Y46" s="18" t="s">
        <v>199</v>
      </c>
      <c r="Z46" s="18" t="s">
        <v>200</v>
      </c>
      <c r="AA46" s="18" t="s">
        <v>201</v>
      </c>
      <c r="AB46" s="18"/>
      <c r="AC46" s="18" t="s">
        <v>195</v>
      </c>
      <c r="AD46" s="18"/>
      <c r="AE46" s="18" t="s">
        <v>195</v>
      </c>
      <c r="AF46" s="18" t="s">
        <v>202</v>
      </c>
      <c r="AG46" s="18" t="s">
        <v>194</v>
      </c>
      <c r="AH46" s="18"/>
      <c r="AI46" s="18" t="s">
        <v>203</v>
      </c>
      <c r="AJ46" s="18"/>
      <c r="AK46" s="18" t="s">
        <v>195</v>
      </c>
      <c r="AL46" s="18" t="s">
        <v>195</v>
      </c>
      <c r="AM46" s="18" t="s">
        <v>195</v>
      </c>
      <c r="AN46" s="18" t="s">
        <v>204</v>
      </c>
      <c r="AO46" s="18" t="s">
        <v>205</v>
      </c>
      <c r="AP46" s="18" t="s">
        <v>144</v>
      </c>
      <c r="AQ46" s="18" t="s">
        <v>206</v>
      </c>
      <c r="AR46" s="18" t="s">
        <v>192</v>
      </c>
      <c r="AS46" s="18"/>
      <c r="AT46" s="18" t="s">
        <v>207</v>
      </c>
      <c r="AU46" s="18" t="s">
        <v>208</v>
      </c>
      <c r="AV46" s="18" t="s">
        <v>209</v>
      </c>
      <c r="AW46" s="18" t="s">
        <v>210</v>
      </c>
      <c r="AX46" s="18" t="s">
        <v>211</v>
      </c>
      <c r="AY46" s="18"/>
      <c r="AZ46" s="18"/>
      <c r="BA46" s="18" t="s">
        <v>212</v>
      </c>
      <c r="BB46" s="18" t="s">
        <v>192</v>
      </c>
      <c r="BC46" s="18" t="s">
        <v>206</v>
      </c>
      <c r="BD46" s="18"/>
      <c r="BE46" s="18"/>
      <c r="BF46" s="18"/>
      <c r="BG46" s="18"/>
      <c r="BH46" s="18" t="s">
        <v>213</v>
      </c>
      <c r="BI46" s="18" t="s">
        <v>192</v>
      </c>
      <c r="BJ46" s="18"/>
      <c r="BK46" s="18" t="s">
        <v>214</v>
      </c>
      <c r="BL46" s="18"/>
      <c r="BM46" s="18" t="s">
        <v>215</v>
      </c>
      <c r="BN46" s="18" t="s">
        <v>216</v>
      </c>
      <c r="BO46" s="18" t="s">
        <v>217</v>
      </c>
      <c r="BP46" s="18" t="s">
        <v>218</v>
      </c>
      <c r="BQ46" s="18" t="s">
        <v>219</v>
      </c>
      <c r="BR46" s="18"/>
      <c r="BS46" s="18" t="s">
        <v>220</v>
      </c>
      <c r="BT46" s="18" t="s">
        <v>192</v>
      </c>
      <c r="BU46" s="18" t="s">
        <v>221</v>
      </c>
      <c r="BV46" s="18" t="s">
        <v>222</v>
      </c>
      <c r="BW46" s="18" t="s">
        <v>223</v>
      </c>
      <c r="BX46" s="18" t="s">
        <v>174</v>
      </c>
      <c r="BY46" s="18" t="s">
        <v>216</v>
      </c>
      <c r="BZ46" s="18" t="s">
        <v>175</v>
      </c>
      <c r="CA46" s="18" t="s">
        <v>224</v>
      </c>
      <c r="CB46" s="18" t="s">
        <v>224</v>
      </c>
      <c r="CC46" s="18" t="s">
        <v>225</v>
      </c>
      <c r="CD46" s="18"/>
      <c r="CE46" s="18" t="s">
        <v>226</v>
      </c>
    </row>
    <row r="47" spans="1:83" x14ac:dyDescent="0.35">
      <c r="A47" s="16" t="s">
        <v>227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35">
      <c r="A48" s="25" t="s">
        <v>228</v>
      </c>
      <c r="B48" s="272">
        <v>2036809</v>
      </c>
      <c r="C48" s="25">
        <f t="shared" ref="C48:BN48" si="0">IF($B$48,(ROUND((($B$48/$CE$61)*C61),0)))</f>
        <v>0</v>
      </c>
      <c r="D48" s="25">
        <f t="shared" si="0"/>
        <v>0</v>
      </c>
      <c r="E48" s="25">
        <f t="shared" si="0"/>
        <v>34112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452736</v>
      </c>
      <c r="M48" s="25">
        <f t="shared" si="0"/>
        <v>0</v>
      </c>
      <c r="N48" s="25">
        <f t="shared" si="0"/>
        <v>178287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27235</v>
      </c>
      <c r="T48" s="25">
        <f t="shared" si="0"/>
        <v>0</v>
      </c>
      <c r="U48" s="25">
        <f t="shared" si="0"/>
        <v>93931</v>
      </c>
      <c r="V48" s="25">
        <f t="shared" si="0"/>
        <v>0</v>
      </c>
      <c r="W48" s="25">
        <f t="shared" si="0"/>
        <v>7883</v>
      </c>
      <c r="X48" s="25">
        <f t="shared" si="0"/>
        <v>35251</v>
      </c>
      <c r="Y48" s="25">
        <f t="shared" si="0"/>
        <v>68043</v>
      </c>
      <c r="Z48" s="25">
        <f t="shared" si="0"/>
        <v>0</v>
      </c>
      <c r="AA48" s="25">
        <f t="shared" si="0"/>
        <v>0</v>
      </c>
      <c r="AB48" s="25">
        <f t="shared" si="0"/>
        <v>0</v>
      </c>
      <c r="AC48" s="25">
        <f t="shared" si="0"/>
        <v>0</v>
      </c>
      <c r="AD48" s="25">
        <f t="shared" si="0"/>
        <v>0</v>
      </c>
      <c r="AE48" s="25">
        <f t="shared" si="0"/>
        <v>103361</v>
      </c>
      <c r="AF48" s="25">
        <f t="shared" si="0"/>
        <v>0</v>
      </c>
      <c r="AG48" s="25">
        <f t="shared" si="0"/>
        <v>81863</v>
      </c>
      <c r="AH48" s="25">
        <f t="shared" si="0"/>
        <v>0</v>
      </c>
      <c r="AI48" s="25">
        <f t="shared" si="0"/>
        <v>2746</v>
      </c>
      <c r="AJ48" s="25">
        <f t="shared" si="0"/>
        <v>142204</v>
      </c>
      <c r="AK48" s="25">
        <f t="shared" si="0"/>
        <v>33126</v>
      </c>
      <c r="AL48" s="25">
        <f t="shared" si="0"/>
        <v>0</v>
      </c>
      <c r="AM48" s="25">
        <f t="shared" si="0"/>
        <v>0</v>
      </c>
      <c r="AN48" s="25">
        <f t="shared" si="0"/>
        <v>0</v>
      </c>
      <c r="AO48" s="25">
        <f t="shared" si="0"/>
        <v>12585</v>
      </c>
      <c r="AP48" s="25">
        <f t="shared" si="0"/>
        <v>0</v>
      </c>
      <c r="AQ48" s="25">
        <f t="shared" si="0"/>
        <v>0</v>
      </c>
      <c r="AR48" s="25">
        <f t="shared" si="0"/>
        <v>0</v>
      </c>
      <c r="AS48" s="25">
        <f t="shared" si="0"/>
        <v>0</v>
      </c>
      <c r="AT48" s="25">
        <f t="shared" si="0"/>
        <v>0</v>
      </c>
      <c r="AU48" s="25">
        <f t="shared" si="0"/>
        <v>0</v>
      </c>
      <c r="AV48" s="25">
        <f t="shared" si="0"/>
        <v>0</v>
      </c>
      <c r="AW48" s="25">
        <f t="shared" si="0"/>
        <v>0</v>
      </c>
      <c r="AX48" s="25">
        <f t="shared" si="0"/>
        <v>0</v>
      </c>
      <c r="AY48" s="25">
        <f t="shared" si="0"/>
        <v>49047</v>
      </c>
      <c r="AZ48" s="25">
        <f t="shared" si="0"/>
        <v>0</v>
      </c>
      <c r="BA48" s="25">
        <f t="shared" si="0"/>
        <v>11577</v>
      </c>
      <c r="BB48" s="25">
        <f t="shared" si="0"/>
        <v>0</v>
      </c>
      <c r="BC48" s="25">
        <f t="shared" si="0"/>
        <v>0</v>
      </c>
      <c r="BD48" s="25">
        <f t="shared" si="0"/>
        <v>0</v>
      </c>
      <c r="BE48" s="25">
        <f t="shared" si="0"/>
        <v>48304</v>
      </c>
      <c r="BF48" s="25">
        <f t="shared" si="0"/>
        <v>46822</v>
      </c>
      <c r="BG48" s="25">
        <f t="shared" si="0"/>
        <v>0</v>
      </c>
      <c r="BH48" s="25">
        <f t="shared" si="0"/>
        <v>45217</v>
      </c>
      <c r="BI48" s="25">
        <f t="shared" si="0"/>
        <v>0</v>
      </c>
      <c r="BJ48" s="25">
        <f t="shared" si="0"/>
        <v>49989</v>
      </c>
      <c r="BK48" s="25">
        <f t="shared" si="0"/>
        <v>51740</v>
      </c>
      <c r="BL48" s="25">
        <f t="shared" si="0"/>
        <v>0</v>
      </c>
      <c r="BM48" s="25">
        <f t="shared" si="0"/>
        <v>0</v>
      </c>
      <c r="BN48" s="25">
        <f t="shared" si="0"/>
        <v>55682</v>
      </c>
      <c r="BO48" s="25">
        <f t="shared" ref="BO48:CD48" si="1">IF($B$48,(ROUND((($B$48/$CE$61)*BO61),0)))</f>
        <v>0</v>
      </c>
      <c r="BP48" s="25">
        <f t="shared" si="1"/>
        <v>0</v>
      </c>
      <c r="BQ48" s="25">
        <f t="shared" si="1"/>
        <v>0</v>
      </c>
      <c r="BR48" s="25">
        <f t="shared" si="1"/>
        <v>28052</v>
      </c>
      <c r="BS48" s="25">
        <f t="shared" si="1"/>
        <v>0</v>
      </c>
      <c r="BT48" s="25">
        <f t="shared" si="1"/>
        <v>0</v>
      </c>
      <c r="BU48" s="25">
        <f t="shared" si="1"/>
        <v>0</v>
      </c>
      <c r="BV48" s="25">
        <f t="shared" si="1"/>
        <v>30866</v>
      </c>
      <c r="BW48" s="25">
        <f t="shared" si="1"/>
        <v>229115</v>
      </c>
      <c r="BX48" s="25">
        <f t="shared" si="1"/>
        <v>0</v>
      </c>
      <c r="BY48" s="25">
        <f t="shared" si="1"/>
        <v>115687</v>
      </c>
      <c r="BZ48" s="25">
        <f t="shared" si="1"/>
        <v>0</v>
      </c>
      <c r="CA48" s="25">
        <f t="shared" si="1"/>
        <v>1348</v>
      </c>
      <c r="CB48" s="25">
        <f t="shared" si="1"/>
        <v>0</v>
      </c>
      <c r="CC48" s="25">
        <f t="shared" si="1"/>
        <v>0</v>
      </c>
      <c r="CD48" s="25">
        <f t="shared" si="1"/>
        <v>0</v>
      </c>
      <c r="CE48" s="25">
        <f>SUM(C48:CD48)</f>
        <v>2036809</v>
      </c>
    </row>
    <row r="49" spans="1:83" x14ac:dyDescent="0.35">
      <c r="A49" s="16" t="s">
        <v>229</v>
      </c>
      <c r="B49" s="25">
        <f>B47+B48</f>
        <v>2036809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230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35">
      <c r="A52" s="31" t="s">
        <v>231</v>
      </c>
      <c r="B52" s="272">
        <v>859031</v>
      </c>
      <c r="C52" s="25">
        <f t="shared" ref="C52:BN52" si="2">IF($B$52,ROUND(($B$52/($CE$90+$CF$90)*C90),0))</f>
        <v>0</v>
      </c>
      <c r="D52" s="25">
        <f t="shared" si="2"/>
        <v>0</v>
      </c>
      <c r="E52" s="25">
        <f t="shared" si="2"/>
        <v>12377</v>
      </c>
      <c r="F52" s="25">
        <f t="shared" si="2"/>
        <v>0</v>
      </c>
      <c r="G52" s="25">
        <f t="shared" si="2"/>
        <v>0</v>
      </c>
      <c r="H52" s="25">
        <f t="shared" si="2"/>
        <v>0</v>
      </c>
      <c r="I52" s="25">
        <f t="shared" si="2"/>
        <v>0</v>
      </c>
      <c r="J52" s="25">
        <f t="shared" si="2"/>
        <v>0</v>
      </c>
      <c r="K52" s="25">
        <f t="shared" si="2"/>
        <v>0</v>
      </c>
      <c r="L52" s="25">
        <f t="shared" si="2"/>
        <v>164418</v>
      </c>
      <c r="M52" s="25">
        <f t="shared" si="2"/>
        <v>0</v>
      </c>
      <c r="N52" s="25">
        <f t="shared" si="2"/>
        <v>283172</v>
      </c>
      <c r="O52" s="25">
        <f t="shared" si="2"/>
        <v>0</v>
      </c>
      <c r="P52" s="25">
        <f t="shared" si="2"/>
        <v>0</v>
      </c>
      <c r="Q52" s="25">
        <f t="shared" si="2"/>
        <v>0</v>
      </c>
      <c r="R52" s="25">
        <f t="shared" si="2"/>
        <v>0</v>
      </c>
      <c r="S52" s="25">
        <f t="shared" si="2"/>
        <v>21973</v>
      </c>
      <c r="T52" s="25">
        <f t="shared" si="2"/>
        <v>0</v>
      </c>
      <c r="U52" s="25">
        <f t="shared" si="2"/>
        <v>25436</v>
      </c>
      <c r="V52" s="25">
        <f t="shared" si="2"/>
        <v>0</v>
      </c>
      <c r="W52" s="25">
        <f t="shared" si="2"/>
        <v>1709</v>
      </c>
      <c r="X52" s="25">
        <f t="shared" si="2"/>
        <v>7641</v>
      </c>
      <c r="Y52" s="25">
        <f t="shared" si="2"/>
        <v>14749</v>
      </c>
      <c r="Z52" s="25">
        <f t="shared" si="2"/>
        <v>0</v>
      </c>
      <c r="AA52" s="25">
        <f t="shared" si="2"/>
        <v>0</v>
      </c>
      <c r="AB52" s="25">
        <f t="shared" si="2"/>
        <v>2726</v>
      </c>
      <c r="AC52" s="25">
        <f t="shared" si="2"/>
        <v>0</v>
      </c>
      <c r="AD52" s="25">
        <f t="shared" si="2"/>
        <v>0</v>
      </c>
      <c r="AE52" s="25">
        <f t="shared" si="2"/>
        <v>51471</v>
      </c>
      <c r="AF52" s="25">
        <f t="shared" si="2"/>
        <v>0</v>
      </c>
      <c r="AG52" s="25">
        <f t="shared" si="2"/>
        <v>27180</v>
      </c>
      <c r="AH52" s="25">
        <f t="shared" si="2"/>
        <v>0</v>
      </c>
      <c r="AI52" s="25">
        <f t="shared" si="2"/>
        <v>10332</v>
      </c>
      <c r="AJ52" s="25">
        <f t="shared" si="2"/>
        <v>51744</v>
      </c>
      <c r="AK52" s="25">
        <f t="shared" si="2"/>
        <v>0</v>
      </c>
      <c r="AL52" s="25">
        <f t="shared" si="2"/>
        <v>0</v>
      </c>
      <c r="AM52" s="25">
        <f t="shared" si="2"/>
        <v>0</v>
      </c>
      <c r="AN52" s="25">
        <f t="shared" si="2"/>
        <v>0</v>
      </c>
      <c r="AO52" s="25">
        <f t="shared" si="2"/>
        <v>4580</v>
      </c>
      <c r="AP52" s="25">
        <f t="shared" si="2"/>
        <v>0</v>
      </c>
      <c r="AQ52" s="25">
        <f t="shared" si="2"/>
        <v>0</v>
      </c>
      <c r="AR52" s="25">
        <f t="shared" si="2"/>
        <v>0</v>
      </c>
      <c r="AS52" s="25">
        <f t="shared" si="2"/>
        <v>0</v>
      </c>
      <c r="AT52" s="25">
        <f t="shared" si="2"/>
        <v>0</v>
      </c>
      <c r="AU52" s="25">
        <f t="shared" si="2"/>
        <v>0</v>
      </c>
      <c r="AV52" s="25">
        <f t="shared" si="2"/>
        <v>0</v>
      </c>
      <c r="AW52" s="25">
        <f t="shared" si="2"/>
        <v>0</v>
      </c>
      <c r="AX52" s="25">
        <f t="shared" si="2"/>
        <v>0</v>
      </c>
      <c r="AY52" s="25">
        <f t="shared" si="2"/>
        <v>25845</v>
      </c>
      <c r="AZ52" s="25">
        <f t="shared" si="2"/>
        <v>0</v>
      </c>
      <c r="BA52" s="25">
        <f t="shared" si="2"/>
        <v>0</v>
      </c>
      <c r="BB52" s="25">
        <f t="shared" si="2"/>
        <v>0</v>
      </c>
      <c r="BC52" s="25">
        <f t="shared" si="2"/>
        <v>0</v>
      </c>
      <c r="BD52" s="25">
        <f t="shared" si="2"/>
        <v>0</v>
      </c>
      <c r="BE52" s="25">
        <f t="shared" si="2"/>
        <v>29389</v>
      </c>
      <c r="BF52" s="25">
        <f t="shared" si="2"/>
        <v>19956</v>
      </c>
      <c r="BG52" s="25">
        <f t="shared" si="2"/>
        <v>0</v>
      </c>
      <c r="BH52" s="25">
        <f t="shared" si="2"/>
        <v>0</v>
      </c>
      <c r="BI52" s="25">
        <f t="shared" si="2"/>
        <v>0</v>
      </c>
      <c r="BJ52" s="25">
        <f t="shared" si="2"/>
        <v>0</v>
      </c>
      <c r="BK52" s="25">
        <f t="shared" si="2"/>
        <v>0</v>
      </c>
      <c r="BL52" s="25">
        <f t="shared" si="2"/>
        <v>0</v>
      </c>
      <c r="BM52" s="25">
        <f t="shared" si="2"/>
        <v>0</v>
      </c>
      <c r="BN52" s="25">
        <f t="shared" si="2"/>
        <v>64012</v>
      </c>
      <c r="BO52" s="25">
        <f t="shared" ref="BO52:CD52" si="3">IF($B$52,ROUND(($B$52/($CE$90+$CF$90)*BO90),0))</f>
        <v>0</v>
      </c>
      <c r="BP52" s="25">
        <f t="shared" si="3"/>
        <v>0</v>
      </c>
      <c r="BQ52" s="25">
        <f t="shared" si="3"/>
        <v>0</v>
      </c>
      <c r="BR52" s="25">
        <f t="shared" si="3"/>
        <v>11014</v>
      </c>
      <c r="BS52" s="25">
        <f t="shared" si="3"/>
        <v>0</v>
      </c>
      <c r="BT52" s="25">
        <f t="shared" si="3"/>
        <v>0</v>
      </c>
      <c r="BU52" s="25">
        <f t="shared" si="3"/>
        <v>0</v>
      </c>
      <c r="BV52" s="25">
        <f t="shared" si="3"/>
        <v>20992</v>
      </c>
      <c r="BW52" s="25">
        <f t="shared" si="3"/>
        <v>0</v>
      </c>
      <c r="BX52" s="25">
        <f t="shared" si="3"/>
        <v>0</v>
      </c>
      <c r="BY52" s="25">
        <f t="shared" si="3"/>
        <v>8315</v>
      </c>
      <c r="BZ52" s="25">
        <f t="shared" si="3"/>
        <v>0</v>
      </c>
      <c r="CA52" s="25">
        <f t="shared" si="3"/>
        <v>0</v>
      </c>
      <c r="CB52" s="25">
        <f t="shared" si="3"/>
        <v>0</v>
      </c>
      <c r="CC52" s="25">
        <f t="shared" si="3"/>
        <v>0</v>
      </c>
      <c r="CD52" s="25">
        <f t="shared" si="3"/>
        <v>0</v>
      </c>
      <c r="CE52" s="25">
        <f>SUM(C52:CD52)</f>
        <v>859031</v>
      </c>
    </row>
    <row r="53" spans="1:83" x14ac:dyDescent="0.35">
      <c r="A53" s="16" t="s">
        <v>229</v>
      </c>
      <c r="B53" s="25">
        <f>B51+B52</f>
        <v>859031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232</v>
      </c>
      <c r="B55" s="16"/>
      <c r="C55" s="17" t="s">
        <v>32</v>
      </c>
      <c r="D55" s="18" t="s">
        <v>33</v>
      </c>
      <c r="E55" s="18" t="s">
        <v>34</v>
      </c>
      <c r="F55" s="18" t="s">
        <v>35</v>
      </c>
      <c r="G55" s="18" t="s">
        <v>36</v>
      </c>
      <c r="H55" s="18" t="s">
        <v>37</v>
      </c>
      <c r="I55" s="18" t="s">
        <v>38</v>
      </c>
      <c r="J55" s="18" t="s">
        <v>39</v>
      </c>
      <c r="K55" s="18" t="s">
        <v>40</v>
      </c>
      <c r="L55" s="18" t="s">
        <v>41</v>
      </c>
      <c r="M55" s="18" t="s">
        <v>42</v>
      </c>
      <c r="N55" s="18" t="s">
        <v>43</v>
      </c>
      <c r="O55" s="18" t="s">
        <v>44</v>
      </c>
      <c r="P55" s="18" t="s">
        <v>45</v>
      </c>
      <c r="Q55" s="18" t="s">
        <v>46</v>
      </c>
      <c r="R55" s="18" t="s">
        <v>47</v>
      </c>
      <c r="S55" s="18" t="s">
        <v>48</v>
      </c>
      <c r="T55" s="23" t="s">
        <v>49</v>
      </c>
      <c r="U55" s="18" t="s">
        <v>50</v>
      </c>
      <c r="V55" s="18" t="s">
        <v>51</v>
      </c>
      <c r="W55" s="18" t="s">
        <v>52</v>
      </c>
      <c r="X55" s="18" t="s">
        <v>53</v>
      </c>
      <c r="Y55" s="18" t="s">
        <v>54</v>
      </c>
      <c r="Z55" s="18" t="s">
        <v>55</v>
      </c>
      <c r="AA55" s="18" t="s">
        <v>56</v>
      </c>
      <c r="AB55" s="18" t="s">
        <v>57</v>
      </c>
      <c r="AC55" s="18" t="s">
        <v>58</v>
      </c>
      <c r="AD55" s="18" t="s">
        <v>59</v>
      </c>
      <c r="AE55" s="18" t="s">
        <v>60</v>
      </c>
      <c r="AF55" s="18" t="s">
        <v>61</v>
      </c>
      <c r="AG55" s="18" t="s">
        <v>62</v>
      </c>
      <c r="AH55" s="18" t="s">
        <v>63</v>
      </c>
      <c r="AI55" s="18" t="s">
        <v>64</v>
      </c>
      <c r="AJ55" s="18" t="s">
        <v>65</v>
      </c>
      <c r="AK55" s="18" t="s">
        <v>66</v>
      </c>
      <c r="AL55" s="18" t="s">
        <v>67</v>
      </c>
      <c r="AM55" s="18" t="s">
        <v>68</v>
      </c>
      <c r="AN55" s="18" t="s">
        <v>69</v>
      </c>
      <c r="AO55" s="18" t="s">
        <v>70</v>
      </c>
      <c r="AP55" s="18" t="s">
        <v>71</v>
      </c>
      <c r="AQ55" s="18" t="s">
        <v>72</v>
      </c>
      <c r="AR55" s="18" t="s">
        <v>73</v>
      </c>
      <c r="AS55" s="18" t="s">
        <v>74</v>
      </c>
      <c r="AT55" s="18" t="s">
        <v>75</v>
      </c>
      <c r="AU55" s="18" t="s">
        <v>76</v>
      </c>
      <c r="AV55" s="18" t="s">
        <v>77</v>
      </c>
      <c r="AW55" s="18" t="s">
        <v>78</v>
      </c>
      <c r="AX55" s="18" t="s">
        <v>79</v>
      </c>
      <c r="AY55" s="18" t="s">
        <v>80</v>
      </c>
      <c r="AZ55" s="18" t="s">
        <v>81</v>
      </c>
      <c r="BA55" s="18" t="s">
        <v>82</v>
      </c>
      <c r="BB55" s="18" t="s">
        <v>83</v>
      </c>
      <c r="BC55" s="18" t="s">
        <v>84</v>
      </c>
      <c r="BD55" s="18" t="s">
        <v>85</v>
      </c>
      <c r="BE55" s="18" t="s">
        <v>86</v>
      </c>
      <c r="BF55" s="18" t="s">
        <v>87</v>
      </c>
      <c r="BG55" s="18" t="s">
        <v>88</v>
      </c>
      <c r="BH55" s="18" t="s">
        <v>89</v>
      </c>
      <c r="BI55" s="18" t="s">
        <v>90</v>
      </c>
      <c r="BJ55" s="18" t="s">
        <v>91</v>
      </c>
      <c r="BK55" s="18" t="s">
        <v>92</v>
      </c>
      <c r="BL55" s="18" t="s">
        <v>93</v>
      </c>
      <c r="BM55" s="18" t="s">
        <v>94</v>
      </c>
      <c r="BN55" s="18" t="s">
        <v>95</v>
      </c>
      <c r="BO55" s="18" t="s">
        <v>96</v>
      </c>
      <c r="BP55" s="18" t="s">
        <v>97</v>
      </c>
      <c r="BQ55" s="18" t="s">
        <v>98</v>
      </c>
      <c r="BR55" s="18" t="s">
        <v>99</v>
      </c>
      <c r="BS55" s="18" t="s">
        <v>100</v>
      </c>
      <c r="BT55" s="18" t="s">
        <v>101</v>
      </c>
      <c r="BU55" s="18" t="s">
        <v>102</v>
      </c>
      <c r="BV55" s="18" t="s">
        <v>103</v>
      </c>
      <c r="BW55" s="18" t="s">
        <v>104</v>
      </c>
      <c r="BX55" s="18" t="s">
        <v>105</v>
      </c>
      <c r="BY55" s="18" t="s">
        <v>106</v>
      </c>
      <c r="BZ55" s="18" t="s">
        <v>107</v>
      </c>
      <c r="CA55" s="18" t="s">
        <v>108</v>
      </c>
      <c r="CB55" s="18" t="s">
        <v>109</v>
      </c>
      <c r="CC55" s="18" t="s">
        <v>110</v>
      </c>
      <c r="CD55" s="18" t="s">
        <v>111</v>
      </c>
      <c r="CE55" s="18" t="s">
        <v>112</v>
      </c>
    </row>
    <row r="56" spans="1:83" x14ac:dyDescent="0.35">
      <c r="A56" s="21" t="s">
        <v>233</v>
      </c>
      <c r="B56" s="16"/>
      <c r="C56" s="17" t="s">
        <v>114</v>
      </c>
      <c r="D56" s="18" t="s">
        <v>115</v>
      </c>
      <c r="E56" s="18" t="s">
        <v>116</v>
      </c>
      <c r="F56" s="18" t="s">
        <v>117</v>
      </c>
      <c r="G56" s="18" t="s">
        <v>118</v>
      </c>
      <c r="H56" s="18" t="s">
        <v>119</v>
      </c>
      <c r="I56" s="18" t="s">
        <v>120</v>
      </c>
      <c r="J56" s="18" t="s">
        <v>121</v>
      </c>
      <c r="K56" s="18" t="s">
        <v>122</v>
      </c>
      <c r="L56" s="18" t="s">
        <v>123</v>
      </c>
      <c r="M56" s="18" t="s">
        <v>124</v>
      </c>
      <c r="N56" s="18" t="s">
        <v>125</v>
      </c>
      <c r="O56" s="18" t="s">
        <v>126</v>
      </c>
      <c r="P56" s="18" t="s">
        <v>127</v>
      </c>
      <c r="Q56" s="18" t="s">
        <v>128</v>
      </c>
      <c r="R56" s="18" t="s">
        <v>129</v>
      </c>
      <c r="S56" s="18" t="s">
        <v>130</v>
      </c>
      <c r="T56" s="18" t="s">
        <v>131</v>
      </c>
      <c r="U56" s="18" t="s">
        <v>132</v>
      </c>
      <c r="V56" s="18" t="s">
        <v>133</v>
      </c>
      <c r="W56" s="18" t="s">
        <v>134</v>
      </c>
      <c r="X56" s="18" t="s">
        <v>135</v>
      </c>
      <c r="Y56" s="18" t="s">
        <v>136</v>
      </c>
      <c r="Z56" s="18" t="s">
        <v>136</v>
      </c>
      <c r="AA56" s="18" t="s">
        <v>137</v>
      </c>
      <c r="AB56" s="18" t="s">
        <v>138</v>
      </c>
      <c r="AC56" s="18" t="s">
        <v>139</v>
      </c>
      <c r="AD56" s="18" t="s">
        <v>140</v>
      </c>
      <c r="AE56" s="18" t="s">
        <v>118</v>
      </c>
      <c r="AF56" s="18" t="s">
        <v>119</v>
      </c>
      <c r="AG56" s="18" t="s">
        <v>141</v>
      </c>
      <c r="AH56" s="18" t="s">
        <v>142</v>
      </c>
      <c r="AI56" s="18" t="s">
        <v>143</v>
      </c>
      <c r="AJ56" s="18" t="s">
        <v>144</v>
      </c>
      <c r="AK56" s="18" t="s">
        <v>145</v>
      </c>
      <c r="AL56" s="18" t="s">
        <v>146</v>
      </c>
      <c r="AM56" s="18" t="s">
        <v>147</v>
      </c>
      <c r="AN56" s="18" t="s">
        <v>133</v>
      </c>
      <c r="AO56" s="18" t="s">
        <v>148</v>
      </c>
      <c r="AP56" s="18" t="s">
        <v>149</v>
      </c>
      <c r="AQ56" s="18" t="s">
        <v>150</v>
      </c>
      <c r="AR56" s="18" t="s">
        <v>151</v>
      </c>
      <c r="AS56" s="18" t="s">
        <v>152</v>
      </c>
      <c r="AT56" s="18" t="s">
        <v>153</v>
      </c>
      <c r="AU56" s="18" t="s">
        <v>154</v>
      </c>
      <c r="AV56" s="18" t="s">
        <v>155</v>
      </c>
      <c r="AW56" s="18" t="s">
        <v>156</v>
      </c>
      <c r="AX56" s="18" t="s">
        <v>157</v>
      </c>
      <c r="AY56" s="18" t="s">
        <v>158</v>
      </c>
      <c r="AZ56" s="18" t="s">
        <v>159</v>
      </c>
      <c r="BA56" s="18" t="s">
        <v>160</v>
      </c>
      <c r="BB56" s="18" t="s">
        <v>161</v>
      </c>
      <c r="BC56" s="18" t="s">
        <v>130</v>
      </c>
      <c r="BD56" s="18" t="s">
        <v>162</v>
      </c>
      <c r="BE56" s="18" t="s">
        <v>163</v>
      </c>
      <c r="BF56" s="18" t="s">
        <v>164</v>
      </c>
      <c r="BG56" s="18" t="s">
        <v>165</v>
      </c>
      <c r="BH56" s="18" t="s">
        <v>166</v>
      </c>
      <c r="BI56" s="18" t="s">
        <v>167</v>
      </c>
      <c r="BJ56" s="18" t="s">
        <v>168</v>
      </c>
      <c r="BK56" s="18" t="s">
        <v>169</v>
      </c>
      <c r="BL56" s="18" t="s">
        <v>170</v>
      </c>
      <c r="BM56" s="18" t="s">
        <v>155</v>
      </c>
      <c r="BN56" s="18" t="s">
        <v>171</v>
      </c>
      <c r="BO56" s="18" t="s">
        <v>172</v>
      </c>
      <c r="BP56" s="18" t="s">
        <v>173</v>
      </c>
      <c r="BQ56" s="18" t="s">
        <v>174</v>
      </c>
      <c r="BR56" s="18" t="s">
        <v>175</v>
      </c>
      <c r="BS56" s="18" t="s">
        <v>176</v>
      </c>
      <c r="BT56" s="18" t="s">
        <v>177</v>
      </c>
      <c r="BU56" s="18" t="s">
        <v>178</v>
      </c>
      <c r="BV56" s="18" t="s">
        <v>178</v>
      </c>
      <c r="BW56" s="18" t="s">
        <v>178</v>
      </c>
      <c r="BX56" s="18" t="s">
        <v>179</v>
      </c>
      <c r="BY56" s="18" t="s">
        <v>180</v>
      </c>
      <c r="BZ56" s="18" t="s">
        <v>181</v>
      </c>
      <c r="CA56" s="18" t="s">
        <v>182</v>
      </c>
      <c r="CB56" s="18" t="s">
        <v>183</v>
      </c>
      <c r="CC56" s="18" t="s">
        <v>155</v>
      </c>
      <c r="CD56" s="18" t="s">
        <v>234</v>
      </c>
      <c r="CE56" s="18" t="s">
        <v>184</v>
      </c>
    </row>
    <row r="57" spans="1:83" x14ac:dyDescent="0.35">
      <c r="A57" s="21" t="s">
        <v>235</v>
      </c>
      <c r="B57" s="16"/>
      <c r="C57" s="17" t="s">
        <v>186</v>
      </c>
      <c r="D57" s="18" t="s">
        <v>186</v>
      </c>
      <c r="E57" s="18" t="s">
        <v>186</v>
      </c>
      <c r="F57" s="18" t="s">
        <v>187</v>
      </c>
      <c r="G57" s="18" t="s">
        <v>188</v>
      </c>
      <c r="H57" s="18" t="s">
        <v>186</v>
      </c>
      <c r="I57" s="18" t="s">
        <v>189</v>
      </c>
      <c r="J57" s="18"/>
      <c r="K57" s="18" t="s">
        <v>180</v>
      </c>
      <c r="L57" s="18" t="s">
        <v>190</v>
      </c>
      <c r="M57" s="18" t="s">
        <v>191</v>
      </c>
      <c r="N57" s="18" t="s">
        <v>192</v>
      </c>
      <c r="O57" s="18" t="s">
        <v>193</v>
      </c>
      <c r="P57" s="18" t="s">
        <v>192</v>
      </c>
      <c r="Q57" s="18" t="s">
        <v>194</v>
      </c>
      <c r="R57" s="18"/>
      <c r="S57" s="18" t="s">
        <v>192</v>
      </c>
      <c r="T57" s="18" t="s">
        <v>195</v>
      </c>
      <c r="U57" s="18"/>
      <c r="V57" s="18" t="s">
        <v>196</v>
      </c>
      <c r="W57" s="18" t="s">
        <v>197</v>
      </c>
      <c r="X57" s="18" t="s">
        <v>198</v>
      </c>
      <c r="Y57" s="18" t="s">
        <v>199</v>
      </c>
      <c r="Z57" s="18" t="s">
        <v>200</v>
      </c>
      <c r="AA57" s="18" t="s">
        <v>201</v>
      </c>
      <c r="AB57" s="18"/>
      <c r="AC57" s="18" t="s">
        <v>195</v>
      </c>
      <c r="AD57" s="18"/>
      <c r="AE57" s="18" t="s">
        <v>195</v>
      </c>
      <c r="AF57" s="18" t="s">
        <v>202</v>
      </c>
      <c r="AG57" s="18" t="s">
        <v>194</v>
      </c>
      <c r="AH57" s="18"/>
      <c r="AI57" s="18" t="s">
        <v>203</v>
      </c>
      <c r="AJ57" s="18"/>
      <c r="AK57" s="18" t="s">
        <v>195</v>
      </c>
      <c r="AL57" s="18" t="s">
        <v>195</v>
      </c>
      <c r="AM57" s="18" t="s">
        <v>195</v>
      </c>
      <c r="AN57" s="18" t="s">
        <v>204</v>
      </c>
      <c r="AO57" s="18" t="s">
        <v>205</v>
      </c>
      <c r="AP57" s="18" t="s">
        <v>144</v>
      </c>
      <c r="AQ57" s="18" t="s">
        <v>206</v>
      </c>
      <c r="AR57" s="18" t="s">
        <v>192</v>
      </c>
      <c r="AS57" s="18"/>
      <c r="AT57" s="18" t="s">
        <v>207</v>
      </c>
      <c r="AU57" s="18" t="s">
        <v>208</v>
      </c>
      <c r="AV57" s="18" t="s">
        <v>209</v>
      </c>
      <c r="AW57" s="18" t="s">
        <v>210</v>
      </c>
      <c r="AX57" s="18" t="s">
        <v>211</v>
      </c>
      <c r="AY57" s="18"/>
      <c r="AZ57" s="18"/>
      <c r="BA57" s="18" t="s">
        <v>212</v>
      </c>
      <c r="BB57" s="18" t="s">
        <v>192</v>
      </c>
      <c r="BC57" s="18" t="s">
        <v>206</v>
      </c>
      <c r="BD57" s="18"/>
      <c r="BE57" s="18"/>
      <c r="BF57" s="18"/>
      <c r="BG57" s="18"/>
      <c r="BH57" s="18" t="s">
        <v>213</v>
      </c>
      <c r="BI57" s="18" t="s">
        <v>192</v>
      </c>
      <c r="BJ57" s="18"/>
      <c r="BK57" s="18" t="s">
        <v>214</v>
      </c>
      <c r="BL57" s="18"/>
      <c r="BM57" s="18" t="s">
        <v>215</v>
      </c>
      <c r="BN57" s="18" t="s">
        <v>216</v>
      </c>
      <c r="BO57" s="18" t="s">
        <v>217</v>
      </c>
      <c r="BP57" s="18" t="s">
        <v>218</v>
      </c>
      <c r="BQ57" s="18" t="s">
        <v>219</v>
      </c>
      <c r="BR57" s="18"/>
      <c r="BS57" s="18" t="s">
        <v>220</v>
      </c>
      <c r="BT57" s="18" t="s">
        <v>192</v>
      </c>
      <c r="BU57" s="18" t="s">
        <v>221</v>
      </c>
      <c r="BV57" s="18" t="s">
        <v>222</v>
      </c>
      <c r="BW57" s="18" t="s">
        <v>223</v>
      </c>
      <c r="BX57" s="18" t="s">
        <v>174</v>
      </c>
      <c r="BY57" s="18" t="s">
        <v>216</v>
      </c>
      <c r="BZ57" s="18" t="s">
        <v>175</v>
      </c>
      <c r="CA57" s="18" t="s">
        <v>224</v>
      </c>
      <c r="CB57" s="18" t="s">
        <v>224</v>
      </c>
      <c r="CC57" s="18" t="s">
        <v>225</v>
      </c>
      <c r="CD57" s="18" t="s">
        <v>236</v>
      </c>
      <c r="CE57" s="18" t="s">
        <v>226</v>
      </c>
    </row>
    <row r="58" spans="1:83" x14ac:dyDescent="0.35">
      <c r="A58" s="21" t="s">
        <v>237</v>
      </c>
      <c r="B58" s="16"/>
      <c r="C58" s="17" t="s">
        <v>238</v>
      </c>
      <c r="D58" s="18" t="s">
        <v>238</v>
      </c>
      <c r="E58" s="18" t="s">
        <v>238</v>
      </c>
      <c r="F58" s="18" t="s">
        <v>238</v>
      </c>
      <c r="G58" s="18" t="s">
        <v>238</v>
      </c>
      <c r="H58" s="18" t="s">
        <v>238</v>
      </c>
      <c r="I58" s="18" t="s">
        <v>238</v>
      </c>
      <c r="J58" s="18" t="s">
        <v>239</v>
      </c>
      <c r="K58" s="18" t="s">
        <v>238</v>
      </c>
      <c r="L58" s="18" t="s">
        <v>238</v>
      </c>
      <c r="M58" s="18" t="s">
        <v>238</v>
      </c>
      <c r="N58" s="18" t="s">
        <v>238</v>
      </c>
      <c r="O58" s="18" t="s">
        <v>240</v>
      </c>
      <c r="P58" s="18" t="s">
        <v>241</v>
      </c>
      <c r="Q58" s="18" t="s">
        <v>242</v>
      </c>
      <c r="R58" s="19" t="s">
        <v>243</v>
      </c>
      <c r="S58" s="24" t="s">
        <v>244</v>
      </c>
      <c r="T58" s="24" t="s">
        <v>244</v>
      </c>
      <c r="U58" s="18" t="s">
        <v>245</v>
      </c>
      <c r="V58" s="18" t="s">
        <v>245</v>
      </c>
      <c r="W58" s="18" t="s">
        <v>246</v>
      </c>
      <c r="X58" s="18" t="s">
        <v>247</v>
      </c>
      <c r="Y58" s="18" t="s">
        <v>248</v>
      </c>
      <c r="Z58" s="18" t="s">
        <v>248</v>
      </c>
      <c r="AA58" s="18" t="s">
        <v>248</v>
      </c>
      <c r="AB58" s="24" t="s">
        <v>244</v>
      </c>
      <c r="AC58" s="18" t="s">
        <v>249</v>
      </c>
      <c r="AD58" s="18" t="s">
        <v>250</v>
      </c>
      <c r="AE58" s="18" t="s">
        <v>249</v>
      </c>
      <c r="AF58" s="18" t="s">
        <v>251</v>
      </c>
      <c r="AG58" s="18" t="s">
        <v>251</v>
      </c>
      <c r="AH58" s="18" t="s">
        <v>252</v>
      </c>
      <c r="AI58" s="18" t="s">
        <v>253</v>
      </c>
      <c r="AJ58" s="18" t="s">
        <v>251</v>
      </c>
      <c r="AK58" s="18" t="s">
        <v>249</v>
      </c>
      <c r="AL58" s="18" t="s">
        <v>249</v>
      </c>
      <c r="AM58" s="18" t="s">
        <v>249</v>
      </c>
      <c r="AN58" s="18" t="s">
        <v>240</v>
      </c>
      <c r="AO58" s="18" t="s">
        <v>250</v>
      </c>
      <c r="AP58" s="18" t="s">
        <v>251</v>
      </c>
      <c r="AQ58" s="18" t="s">
        <v>252</v>
      </c>
      <c r="AR58" s="18" t="s">
        <v>251</v>
      </c>
      <c r="AS58" s="18" t="s">
        <v>249</v>
      </c>
      <c r="AT58" s="18" t="s">
        <v>254</v>
      </c>
      <c r="AU58" s="18" t="s">
        <v>251</v>
      </c>
      <c r="AV58" s="24" t="s">
        <v>244</v>
      </c>
      <c r="AW58" s="24" t="s">
        <v>244</v>
      </c>
      <c r="AX58" s="24" t="s">
        <v>244</v>
      </c>
      <c r="AY58" s="18" t="s">
        <v>255</v>
      </c>
      <c r="AZ58" s="18" t="s">
        <v>255</v>
      </c>
      <c r="BA58" s="24" t="s">
        <v>244</v>
      </c>
      <c r="BB58" s="24" t="s">
        <v>244</v>
      </c>
      <c r="BC58" s="24" t="s">
        <v>244</v>
      </c>
      <c r="BD58" s="24" t="s">
        <v>244</v>
      </c>
      <c r="BE58" s="18" t="s">
        <v>256</v>
      </c>
      <c r="BF58" s="24" t="s">
        <v>244</v>
      </c>
      <c r="BG58" s="24" t="s">
        <v>244</v>
      </c>
      <c r="BH58" s="24" t="s">
        <v>244</v>
      </c>
      <c r="BI58" s="24" t="s">
        <v>244</v>
      </c>
      <c r="BJ58" s="24" t="s">
        <v>244</v>
      </c>
      <c r="BK58" s="24" t="s">
        <v>244</v>
      </c>
      <c r="BL58" s="24" t="s">
        <v>244</v>
      </c>
      <c r="BM58" s="24" t="s">
        <v>244</v>
      </c>
      <c r="BN58" s="24" t="s">
        <v>244</v>
      </c>
      <c r="BO58" s="24" t="s">
        <v>244</v>
      </c>
      <c r="BP58" s="24" t="s">
        <v>244</v>
      </c>
      <c r="BQ58" s="24" t="s">
        <v>244</v>
      </c>
      <c r="BR58" s="24" t="s">
        <v>244</v>
      </c>
      <c r="BS58" s="24" t="s">
        <v>244</v>
      </c>
      <c r="BT58" s="24" t="s">
        <v>244</v>
      </c>
      <c r="BU58" s="24" t="s">
        <v>244</v>
      </c>
      <c r="BV58" s="24" t="s">
        <v>244</v>
      </c>
      <c r="BW58" s="24" t="s">
        <v>244</v>
      </c>
      <c r="BX58" s="24" t="s">
        <v>244</v>
      </c>
      <c r="BY58" s="24" t="s">
        <v>244</v>
      </c>
      <c r="BZ58" s="24" t="s">
        <v>244</v>
      </c>
      <c r="CA58" s="24" t="s">
        <v>244</v>
      </c>
      <c r="CB58" s="24" t="s">
        <v>244</v>
      </c>
      <c r="CC58" s="24" t="s">
        <v>244</v>
      </c>
      <c r="CD58" s="24" t="s">
        <v>244</v>
      </c>
      <c r="CE58" s="24" t="s">
        <v>244</v>
      </c>
    </row>
    <row r="59" spans="1:83" x14ac:dyDescent="0.35">
      <c r="A59" s="31" t="s">
        <v>257</v>
      </c>
      <c r="B59" s="25"/>
      <c r="C59" s="273"/>
      <c r="D59" s="273"/>
      <c r="E59" s="273">
        <v>309</v>
      </c>
      <c r="F59" s="273"/>
      <c r="G59" s="273"/>
      <c r="H59" s="273"/>
      <c r="I59" s="273"/>
      <c r="J59" s="273"/>
      <c r="K59" s="273"/>
      <c r="L59" s="273">
        <v>4101</v>
      </c>
      <c r="M59" s="273"/>
      <c r="N59" s="273">
        <v>5415</v>
      </c>
      <c r="O59" s="273"/>
      <c r="P59" s="274"/>
      <c r="Q59" s="275"/>
      <c r="R59" s="275"/>
      <c r="S59" s="263">
        <v>0</v>
      </c>
      <c r="T59" s="263">
        <v>0</v>
      </c>
      <c r="U59" s="276">
        <v>34146</v>
      </c>
      <c r="V59" s="275"/>
      <c r="W59" s="275">
        <v>250</v>
      </c>
      <c r="X59" s="275">
        <v>1118</v>
      </c>
      <c r="Y59" s="275">
        <v>2158</v>
      </c>
      <c r="Z59" s="275"/>
      <c r="AA59" s="275"/>
      <c r="AB59" s="263">
        <v>0</v>
      </c>
      <c r="AC59" s="275"/>
      <c r="AD59" s="275"/>
      <c r="AE59" s="275">
        <v>10999</v>
      </c>
      <c r="AF59" s="275"/>
      <c r="AG59" s="275">
        <v>2520</v>
      </c>
      <c r="AH59" s="275"/>
      <c r="AI59" s="275">
        <v>139</v>
      </c>
      <c r="AJ59" s="275">
        <v>9451</v>
      </c>
      <c r="AK59" s="275">
        <v>3871</v>
      </c>
      <c r="AL59" s="275"/>
      <c r="AM59" s="275"/>
      <c r="AN59" s="275"/>
      <c r="AO59" s="275">
        <v>2728</v>
      </c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24600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31510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35">
      <c r="A60" s="207" t="s">
        <v>258</v>
      </c>
      <c r="B60" s="208"/>
      <c r="C60" s="277"/>
      <c r="D60" s="277"/>
      <c r="E60" s="277">
        <v>2.25</v>
      </c>
      <c r="F60" s="277"/>
      <c r="G60" s="277"/>
      <c r="H60" s="277"/>
      <c r="I60" s="277"/>
      <c r="J60" s="277"/>
      <c r="K60" s="277"/>
      <c r="L60" s="277">
        <v>29.8</v>
      </c>
      <c r="M60" s="277"/>
      <c r="N60" s="277">
        <v>15.58</v>
      </c>
      <c r="O60" s="277"/>
      <c r="P60" s="274"/>
      <c r="Q60" s="274"/>
      <c r="R60" s="274"/>
      <c r="S60" s="278">
        <v>1.87</v>
      </c>
      <c r="T60" s="278"/>
      <c r="U60" s="279">
        <v>6.32</v>
      </c>
      <c r="V60" s="274"/>
      <c r="W60" s="274">
        <v>0.37</v>
      </c>
      <c r="X60" s="274">
        <v>1.67</v>
      </c>
      <c r="Y60" s="274">
        <v>3.22</v>
      </c>
      <c r="Z60" s="274"/>
      <c r="AA60" s="274"/>
      <c r="AB60" s="278"/>
      <c r="AC60" s="274"/>
      <c r="AD60" s="274"/>
      <c r="AE60" s="274">
        <v>6.73</v>
      </c>
      <c r="AF60" s="274"/>
      <c r="AG60" s="274">
        <v>3.2</v>
      </c>
      <c r="AH60" s="274"/>
      <c r="AI60" s="274">
        <v>0.02</v>
      </c>
      <c r="AJ60" s="274">
        <v>11.94</v>
      </c>
      <c r="AK60" s="274">
        <v>1.54</v>
      </c>
      <c r="AL60" s="274"/>
      <c r="AM60" s="274"/>
      <c r="AN60" s="274"/>
      <c r="AO60" s="274">
        <v>0.83</v>
      </c>
      <c r="AP60" s="274"/>
      <c r="AQ60" s="274"/>
      <c r="AR60" s="274"/>
      <c r="AS60" s="274"/>
      <c r="AT60" s="274"/>
      <c r="AU60" s="274"/>
      <c r="AV60" s="278"/>
      <c r="AW60" s="278"/>
      <c r="AX60" s="278"/>
      <c r="AY60" s="274">
        <v>4.9800000000000004</v>
      </c>
      <c r="AZ60" s="274"/>
      <c r="BA60" s="278">
        <v>0.85</v>
      </c>
      <c r="BB60" s="278"/>
      <c r="BC60" s="278"/>
      <c r="BD60" s="278"/>
      <c r="BE60" s="274">
        <v>3.89</v>
      </c>
      <c r="BF60" s="278">
        <v>5.47</v>
      </c>
      <c r="BG60" s="278"/>
      <c r="BH60" s="278">
        <v>2.2200000000000002</v>
      </c>
      <c r="BI60" s="278"/>
      <c r="BJ60" s="278">
        <v>2.57</v>
      </c>
      <c r="BK60" s="278">
        <v>5.67</v>
      </c>
      <c r="BL60" s="278"/>
      <c r="BM60" s="278"/>
      <c r="BN60" s="278">
        <v>2.13</v>
      </c>
      <c r="BO60" s="278"/>
      <c r="BP60" s="278"/>
      <c r="BQ60" s="278"/>
      <c r="BR60" s="278">
        <v>1.97</v>
      </c>
      <c r="BS60" s="278"/>
      <c r="BT60" s="278"/>
      <c r="BU60" s="278"/>
      <c r="BV60" s="278">
        <v>3.19</v>
      </c>
      <c r="BW60" s="278">
        <v>6.02</v>
      </c>
      <c r="BX60" s="278"/>
      <c r="BY60" s="278">
        <v>1.25</v>
      </c>
      <c r="BZ60" s="278"/>
      <c r="CA60" s="278">
        <v>7.0000000000000007E-2</v>
      </c>
      <c r="CB60" s="278"/>
      <c r="CC60" s="278"/>
      <c r="CD60" s="209" t="s">
        <v>244</v>
      </c>
      <c r="CE60" s="227">
        <f t="shared" ref="CE60:CE68" si="4">SUM(C60:CD60)</f>
        <v>125.61999999999996</v>
      </c>
    </row>
    <row r="61" spans="1:83" x14ac:dyDescent="0.35">
      <c r="A61" s="31" t="s">
        <v>259</v>
      </c>
      <c r="B61" s="16"/>
      <c r="C61" s="273"/>
      <c r="D61" s="273"/>
      <c r="E61" s="273">
        <v>138950</v>
      </c>
      <c r="F61" s="273"/>
      <c r="G61" s="273"/>
      <c r="H61" s="273"/>
      <c r="I61" s="273"/>
      <c r="J61" s="273"/>
      <c r="K61" s="273"/>
      <c r="L61" s="273">
        <v>1844126</v>
      </c>
      <c r="M61" s="273"/>
      <c r="N61" s="273">
        <v>726215</v>
      </c>
      <c r="O61" s="273"/>
      <c r="P61" s="275"/>
      <c r="Q61" s="275"/>
      <c r="R61" s="275"/>
      <c r="S61" s="280">
        <v>110938</v>
      </c>
      <c r="T61" s="280"/>
      <c r="U61" s="276">
        <v>382608</v>
      </c>
      <c r="V61" s="275"/>
      <c r="W61" s="275">
        <v>32108</v>
      </c>
      <c r="X61" s="275">
        <v>143588</v>
      </c>
      <c r="Y61" s="275">
        <v>277158</v>
      </c>
      <c r="Z61" s="275"/>
      <c r="AA61" s="275"/>
      <c r="AB61" s="281"/>
      <c r="AC61" s="275"/>
      <c r="AD61" s="275"/>
      <c r="AE61" s="275">
        <v>421018</v>
      </c>
      <c r="AF61" s="275"/>
      <c r="AG61" s="275">
        <v>333450</v>
      </c>
      <c r="AH61" s="275"/>
      <c r="AI61" s="275">
        <v>11187</v>
      </c>
      <c r="AJ61" s="275">
        <v>579240</v>
      </c>
      <c r="AK61" s="275">
        <v>134932</v>
      </c>
      <c r="AL61" s="275"/>
      <c r="AM61" s="275"/>
      <c r="AN61" s="275"/>
      <c r="AO61" s="275">
        <v>51263</v>
      </c>
      <c r="AP61" s="275"/>
      <c r="AQ61" s="275"/>
      <c r="AR61" s="275"/>
      <c r="AS61" s="275"/>
      <c r="AT61" s="275"/>
      <c r="AU61" s="275"/>
      <c r="AV61" s="280"/>
      <c r="AW61" s="280"/>
      <c r="AX61" s="280"/>
      <c r="AY61" s="275">
        <v>199784</v>
      </c>
      <c r="AZ61" s="275"/>
      <c r="BA61" s="280">
        <v>47157</v>
      </c>
      <c r="BB61" s="280"/>
      <c r="BC61" s="280"/>
      <c r="BD61" s="280"/>
      <c r="BE61" s="275">
        <v>196758</v>
      </c>
      <c r="BF61" s="280">
        <v>190719</v>
      </c>
      <c r="BG61" s="280"/>
      <c r="BH61" s="280">
        <v>184181</v>
      </c>
      <c r="BI61" s="280"/>
      <c r="BJ61" s="280">
        <v>203618</v>
      </c>
      <c r="BK61" s="280">
        <v>210754</v>
      </c>
      <c r="BL61" s="280"/>
      <c r="BM61" s="280"/>
      <c r="BN61" s="280">
        <v>226811</v>
      </c>
      <c r="BO61" s="280"/>
      <c r="BP61" s="280"/>
      <c r="BQ61" s="280"/>
      <c r="BR61" s="280">
        <v>114263</v>
      </c>
      <c r="BS61" s="280"/>
      <c r="BT61" s="280"/>
      <c r="BU61" s="280"/>
      <c r="BV61" s="280">
        <v>125726</v>
      </c>
      <c r="BW61" s="280">
        <v>933251</v>
      </c>
      <c r="BX61" s="280"/>
      <c r="BY61" s="280">
        <v>471225</v>
      </c>
      <c r="BZ61" s="280"/>
      <c r="CA61" s="280">
        <v>5491</v>
      </c>
      <c r="CB61" s="280"/>
      <c r="CC61" s="280"/>
      <c r="CD61" s="24" t="s">
        <v>244</v>
      </c>
      <c r="CE61" s="25">
        <f t="shared" si="4"/>
        <v>8296519</v>
      </c>
    </row>
    <row r="62" spans="1:83" x14ac:dyDescent="0.35">
      <c r="A62" s="31" t="s">
        <v>9</v>
      </c>
      <c r="B62" s="16"/>
      <c r="C62" s="25">
        <f t="shared" ref="C62:BN62" si="5">ROUND(C47+C48,0)</f>
        <v>0</v>
      </c>
      <c r="D62" s="25">
        <f t="shared" si="5"/>
        <v>0</v>
      </c>
      <c r="E62" s="25">
        <f t="shared" si="5"/>
        <v>34112</v>
      </c>
      <c r="F62" s="25">
        <f t="shared" si="5"/>
        <v>0</v>
      </c>
      <c r="G62" s="25">
        <f t="shared" si="5"/>
        <v>0</v>
      </c>
      <c r="H62" s="25">
        <f t="shared" si="5"/>
        <v>0</v>
      </c>
      <c r="I62" s="25">
        <f t="shared" si="5"/>
        <v>0</v>
      </c>
      <c r="J62" s="25">
        <f t="shared" si="5"/>
        <v>0</v>
      </c>
      <c r="K62" s="25">
        <f t="shared" si="5"/>
        <v>0</v>
      </c>
      <c r="L62" s="25">
        <f t="shared" si="5"/>
        <v>452736</v>
      </c>
      <c r="M62" s="25">
        <f t="shared" si="5"/>
        <v>0</v>
      </c>
      <c r="N62" s="25">
        <f t="shared" si="5"/>
        <v>178287</v>
      </c>
      <c r="O62" s="25">
        <f t="shared" si="5"/>
        <v>0</v>
      </c>
      <c r="P62" s="25">
        <f t="shared" si="5"/>
        <v>0</v>
      </c>
      <c r="Q62" s="25">
        <f t="shared" si="5"/>
        <v>0</v>
      </c>
      <c r="R62" s="25">
        <f t="shared" si="5"/>
        <v>0</v>
      </c>
      <c r="S62" s="25">
        <f t="shared" si="5"/>
        <v>27235</v>
      </c>
      <c r="T62" s="25">
        <f t="shared" si="5"/>
        <v>0</v>
      </c>
      <c r="U62" s="25">
        <f t="shared" si="5"/>
        <v>93931</v>
      </c>
      <c r="V62" s="25">
        <f t="shared" si="5"/>
        <v>0</v>
      </c>
      <c r="W62" s="25">
        <f t="shared" si="5"/>
        <v>7883</v>
      </c>
      <c r="X62" s="25">
        <f t="shared" si="5"/>
        <v>35251</v>
      </c>
      <c r="Y62" s="25">
        <f t="shared" si="5"/>
        <v>68043</v>
      </c>
      <c r="Z62" s="25">
        <f t="shared" si="5"/>
        <v>0</v>
      </c>
      <c r="AA62" s="25">
        <f t="shared" si="5"/>
        <v>0</v>
      </c>
      <c r="AB62" s="25">
        <f t="shared" si="5"/>
        <v>0</v>
      </c>
      <c r="AC62" s="25">
        <f t="shared" si="5"/>
        <v>0</v>
      </c>
      <c r="AD62" s="25">
        <f t="shared" si="5"/>
        <v>0</v>
      </c>
      <c r="AE62" s="25">
        <f t="shared" si="5"/>
        <v>103361</v>
      </c>
      <c r="AF62" s="25">
        <f t="shared" si="5"/>
        <v>0</v>
      </c>
      <c r="AG62" s="25">
        <f t="shared" si="5"/>
        <v>81863</v>
      </c>
      <c r="AH62" s="25">
        <f t="shared" si="5"/>
        <v>0</v>
      </c>
      <c r="AI62" s="25">
        <f t="shared" si="5"/>
        <v>2746</v>
      </c>
      <c r="AJ62" s="25">
        <f t="shared" si="5"/>
        <v>142204</v>
      </c>
      <c r="AK62" s="25">
        <f t="shared" si="5"/>
        <v>33126</v>
      </c>
      <c r="AL62" s="25">
        <f t="shared" si="5"/>
        <v>0</v>
      </c>
      <c r="AM62" s="25">
        <f t="shared" si="5"/>
        <v>0</v>
      </c>
      <c r="AN62" s="25">
        <f t="shared" si="5"/>
        <v>0</v>
      </c>
      <c r="AO62" s="25">
        <f t="shared" si="5"/>
        <v>12585</v>
      </c>
      <c r="AP62" s="25">
        <f t="shared" si="5"/>
        <v>0</v>
      </c>
      <c r="AQ62" s="25">
        <f t="shared" si="5"/>
        <v>0</v>
      </c>
      <c r="AR62" s="25">
        <f t="shared" si="5"/>
        <v>0</v>
      </c>
      <c r="AS62" s="25">
        <f t="shared" si="5"/>
        <v>0</v>
      </c>
      <c r="AT62" s="25">
        <f t="shared" si="5"/>
        <v>0</v>
      </c>
      <c r="AU62" s="25">
        <f t="shared" si="5"/>
        <v>0</v>
      </c>
      <c r="AV62" s="25">
        <f t="shared" si="5"/>
        <v>0</v>
      </c>
      <c r="AW62" s="25">
        <f t="shared" si="5"/>
        <v>0</v>
      </c>
      <c r="AX62" s="25">
        <f t="shared" si="5"/>
        <v>0</v>
      </c>
      <c r="AY62" s="25">
        <f t="shared" si="5"/>
        <v>49047</v>
      </c>
      <c r="AZ62" s="25">
        <f t="shared" si="5"/>
        <v>0</v>
      </c>
      <c r="BA62" s="25">
        <f t="shared" si="5"/>
        <v>11577</v>
      </c>
      <c r="BB62" s="25">
        <f t="shared" si="5"/>
        <v>0</v>
      </c>
      <c r="BC62" s="25">
        <f t="shared" si="5"/>
        <v>0</v>
      </c>
      <c r="BD62" s="25">
        <f t="shared" si="5"/>
        <v>0</v>
      </c>
      <c r="BE62" s="25">
        <f t="shared" si="5"/>
        <v>48304</v>
      </c>
      <c r="BF62" s="25">
        <f t="shared" si="5"/>
        <v>46822</v>
      </c>
      <c r="BG62" s="25">
        <f t="shared" si="5"/>
        <v>0</v>
      </c>
      <c r="BH62" s="25">
        <f t="shared" si="5"/>
        <v>45217</v>
      </c>
      <c r="BI62" s="25">
        <f t="shared" si="5"/>
        <v>0</v>
      </c>
      <c r="BJ62" s="25">
        <f t="shared" si="5"/>
        <v>49989</v>
      </c>
      <c r="BK62" s="25">
        <f t="shared" si="5"/>
        <v>51740</v>
      </c>
      <c r="BL62" s="25">
        <f t="shared" si="5"/>
        <v>0</v>
      </c>
      <c r="BM62" s="25">
        <f t="shared" si="5"/>
        <v>0</v>
      </c>
      <c r="BN62" s="25">
        <f t="shared" si="5"/>
        <v>55682</v>
      </c>
      <c r="BO62" s="25">
        <f t="shared" ref="BO62:CC62" si="6">ROUND(BO47+BO48,0)</f>
        <v>0</v>
      </c>
      <c r="BP62" s="25">
        <f t="shared" si="6"/>
        <v>0</v>
      </c>
      <c r="BQ62" s="25">
        <f t="shared" si="6"/>
        <v>0</v>
      </c>
      <c r="BR62" s="25">
        <f t="shared" si="6"/>
        <v>28052</v>
      </c>
      <c r="BS62" s="25">
        <f t="shared" si="6"/>
        <v>0</v>
      </c>
      <c r="BT62" s="25">
        <f t="shared" si="6"/>
        <v>0</v>
      </c>
      <c r="BU62" s="25">
        <f t="shared" si="6"/>
        <v>0</v>
      </c>
      <c r="BV62" s="25">
        <f t="shared" si="6"/>
        <v>30866</v>
      </c>
      <c r="BW62" s="25">
        <f t="shared" si="6"/>
        <v>229115</v>
      </c>
      <c r="BX62" s="25">
        <f t="shared" si="6"/>
        <v>0</v>
      </c>
      <c r="BY62" s="25">
        <f t="shared" si="6"/>
        <v>115687</v>
      </c>
      <c r="BZ62" s="25">
        <f t="shared" si="6"/>
        <v>0</v>
      </c>
      <c r="CA62" s="25">
        <f t="shared" si="6"/>
        <v>1348</v>
      </c>
      <c r="CB62" s="25">
        <f t="shared" si="6"/>
        <v>0</v>
      </c>
      <c r="CC62" s="25">
        <f t="shared" si="6"/>
        <v>0</v>
      </c>
      <c r="CD62" s="24" t="s">
        <v>244</v>
      </c>
      <c r="CE62" s="25">
        <f t="shared" si="4"/>
        <v>2036809</v>
      </c>
    </row>
    <row r="63" spans="1:83" x14ac:dyDescent="0.35">
      <c r="A63" s="31" t="s">
        <v>260</v>
      </c>
      <c r="B63" s="16"/>
      <c r="C63" s="273"/>
      <c r="D63" s="273"/>
      <c r="E63" s="273">
        <v>820</v>
      </c>
      <c r="F63" s="273"/>
      <c r="G63" s="273"/>
      <c r="H63" s="273"/>
      <c r="I63" s="273"/>
      <c r="J63" s="273"/>
      <c r="K63" s="273"/>
      <c r="L63" s="273">
        <v>10877</v>
      </c>
      <c r="M63" s="273"/>
      <c r="N63" s="273"/>
      <c r="O63" s="273"/>
      <c r="P63" s="275"/>
      <c r="Q63" s="275"/>
      <c r="R63" s="275"/>
      <c r="S63" s="280"/>
      <c r="T63" s="280"/>
      <c r="U63" s="276"/>
      <c r="V63" s="275"/>
      <c r="W63" s="275">
        <v>2378</v>
      </c>
      <c r="X63" s="275">
        <v>10634.63</v>
      </c>
      <c r="Y63" s="275">
        <v>20527.32</v>
      </c>
      <c r="Z63" s="275"/>
      <c r="AA63" s="275"/>
      <c r="AB63" s="281">
        <v>118612</v>
      </c>
      <c r="AC63" s="275"/>
      <c r="AD63" s="275"/>
      <c r="AE63" s="275"/>
      <c r="AF63" s="275"/>
      <c r="AG63" s="275"/>
      <c r="AH63" s="275"/>
      <c r="AI63" s="275"/>
      <c r="AJ63" s="275">
        <v>17797</v>
      </c>
      <c r="AK63" s="275"/>
      <c r="AL63" s="275"/>
      <c r="AM63" s="275"/>
      <c r="AN63" s="275"/>
      <c r="AO63" s="275">
        <v>302</v>
      </c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>
        <v>42159</v>
      </c>
      <c r="BK63" s="280">
        <v>479192</v>
      </c>
      <c r="BL63" s="280"/>
      <c r="BM63" s="280"/>
      <c r="BN63" s="280">
        <v>20554</v>
      </c>
      <c r="BO63" s="280"/>
      <c r="BP63" s="280"/>
      <c r="BQ63" s="280"/>
      <c r="BR63" s="280"/>
      <c r="BS63" s="280"/>
      <c r="BT63" s="280"/>
      <c r="BU63" s="280"/>
      <c r="BV63" s="280">
        <v>130542</v>
      </c>
      <c r="BW63" s="280">
        <v>928847</v>
      </c>
      <c r="BX63" s="280"/>
      <c r="BY63" s="280"/>
      <c r="BZ63" s="280"/>
      <c r="CA63" s="280"/>
      <c r="CB63" s="280"/>
      <c r="CC63" s="280"/>
      <c r="CD63" s="24" t="s">
        <v>244</v>
      </c>
      <c r="CE63" s="25">
        <f t="shared" si="4"/>
        <v>1783241.95</v>
      </c>
    </row>
    <row r="64" spans="1:83" x14ac:dyDescent="0.35">
      <c r="A64" s="31" t="s">
        <v>261</v>
      </c>
      <c r="B64" s="16"/>
      <c r="C64" s="273"/>
      <c r="D64" s="273"/>
      <c r="E64" s="273">
        <v>27559</v>
      </c>
      <c r="F64" s="273"/>
      <c r="G64" s="273"/>
      <c r="H64" s="273"/>
      <c r="I64" s="273"/>
      <c r="J64" s="273"/>
      <c r="K64" s="273"/>
      <c r="L64" s="273">
        <v>365768</v>
      </c>
      <c r="M64" s="273"/>
      <c r="N64" s="273">
        <v>31572</v>
      </c>
      <c r="O64" s="273"/>
      <c r="P64" s="275"/>
      <c r="Q64" s="275"/>
      <c r="R64" s="275"/>
      <c r="S64" s="280">
        <v>1233</v>
      </c>
      <c r="T64" s="280"/>
      <c r="U64" s="276">
        <v>299243</v>
      </c>
      <c r="V64" s="275"/>
      <c r="W64" s="275">
        <v>2575</v>
      </c>
      <c r="X64" s="275">
        <v>11515.46</v>
      </c>
      <c r="Y64" s="275">
        <v>22227.52</v>
      </c>
      <c r="Z64" s="275"/>
      <c r="AA64" s="275"/>
      <c r="AB64" s="281">
        <v>2176441</v>
      </c>
      <c r="AC64" s="275"/>
      <c r="AD64" s="275"/>
      <c r="AE64" s="275">
        <v>27693</v>
      </c>
      <c r="AF64" s="275"/>
      <c r="AG64" s="275">
        <v>64420</v>
      </c>
      <c r="AH64" s="275"/>
      <c r="AI64" s="275">
        <v>2326</v>
      </c>
      <c r="AJ64" s="275">
        <v>42971</v>
      </c>
      <c r="AK64" s="275">
        <v>1971</v>
      </c>
      <c r="AL64" s="275"/>
      <c r="AM64" s="275"/>
      <c r="AN64" s="275"/>
      <c r="AO64" s="275">
        <v>10168</v>
      </c>
      <c r="AP64" s="275"/>
      <c r="AQ64" s="275"/>
      <c r="AR64" s="275"/>
      <c r="AS64" s="275"/>
      <c r="AT64" s="275"/>
      <c r="AU64" s="275"/>
      <c r="AV64" s="280"/>
      <c r="AW64" s="280"/>
      <c r="AX64" s="280"/>
      <c r="AY64" s="275">
        <v>101677</v>
      </c>
      <c r="AZ64" s="275"/>
      <c r="BA64" s="280">
        <v>10872</v>
      </c>
      <c r="BB64" s="280"/>
      <c r="BC64" s="280"/>
      <c r="BD64" s="280"/>
      <c r="BE64" s="275">
        <v>54726</v>
      </c>
      <c r="BF64" s="280">
        <v>36138</v>
      </c>
      <c r="BG64" s="280"/>
      <c r="BH64" s="280">
        <v>21673</v>
      </c>
      <c r="BI64" s="280"/>
      <c r="BJ64" s="280">
        <v>2634</v>
      </c>
      <c r="BK64" s="280">
        <v>3701</v>
      </c>
      <c r="BL64" s="280"/>
      <c r="BM64" s="280"/>
      <c r="BN64" s="280">
        <v>8744</v>
      </c>
      <c r="BO64" s="280"/>
      <c r="BP64" s="280"/>
      <c r="BQ64" s="280"/>
      <c r="BR64" s="280">
        <v>1563</v>
      </c>
      <c r="BS64" s="280">
        <v>114125</v>
      </c>
      <c r="BT64" s="280"/>
      <c r="BU64" s="280"/>
      <c r="BV64" s="280">
        <v>1100</v>
      </c>
      <c r="BW64" s="280">
        <v>2440</v>
      </c>
      <c r="BX64" s="280"/>
      <c r="BY64" s="280">
        <v>42434</v>
      </c>
      <c r="BZ64" s="280"/>
      <c r="CA64" s="280"/>
      <c r="CB64" s="280"/>
      <c r="CC64" s="280"/>
      <c r="CD64" s="24" t="s">
        <v>244</v>
      </c>
      <c r="CE64" s="25">
        <f t="shared" si="4"/>
        <v>3489509.98</v>
      </c>
    </row>
    <row r="65" spans="1:83" x14ac:dyDescent="0.35">
      <c r="A65" s="31" t="s">
        <v>262</v>
      </c>
      <c r="B65" s="16"/>
      <c r="C65" s="273"/>
      <c r="D65" s="273"/>
      <c r="E65" s="273">
        <v>4</v>
      </c>
      <c r="F65" s="273"/>
      <c r="G65" s="273"/>
      <c r="H65" s="273"/>
      <c r="I65" s="273"/>
      <c r="J65" s="273"/>
      <c r="K65" s="273"/>
      <c r="L65" s="273">
        <v>46</v>
      </c>
      <c r="M65" s="273"/>
      <c r="N65" s="273">
        <v>22673</v>
      </c>
      <c r="O65" s="273"/>
      <c r="P65" s="275"/>
      <c r="Q65" s="275"/>
      <c r="R65" s="275"/>
      <c r="S65" s="280"/>
      <c r="T65" s="280"/>
      <c r="U65" s="276"/>
      <c r="V65" s="275"/>
      <c r="W65" s="275">
        <v>2380</v>
      </c>
      <c r="X65" s="275">
        <v>10642.24</v>
      </c>
      <c r="Y65" s="275">
        <v>20542.009999999998</v>
      </c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>
        <v>3563</v>
      </c>
      <c r="AK65" s="275"/>
      <c r="AL65" s="275"/>
      <c r="AM65" s="275"/>
      <c r="AN65" s="275"/>
      <c r="AO65" s="275">
        <v>1</v>
      </c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>
        <v>198145</v>
      </c>
      <c r="BF65" s="280"/>
      <c r="BG65" s="280"/>
      <c r="BH65" s="280">
        <v>26542</v>
      </c>
      <c r="BI65" s="280"/>
      <c r="BJ65" s="280">
        <v>174</v>
      </c>
      <c r="BK65" s="280"/>
      <c r="BL65" s="280"/>
      <c r="BM65" s="280"/>
      <c r="BN65" s="280">
        <v>1555</v>
      </c>
      <c r="BO65" s="280"/>
      <c r="BP65" s="280"/>
      <c r="BQ65" s="280"/>
      <c r="BR65" s="280">
        <v>2864</v>
      </c>
      <c r="BS65" s="280"/>
      <c r="BT65" s="280"/>
      <c r="BU65" s="280"/>
      <c r="BV65" s="280"/>
      <c r="BW65" s="280">
        <v>101</v>
      </c>
      <c r="BX65" s="280"/>
      <c r="BY65" s="280"/>
      <c r="BZ65" s="280"/>
      <c r="CA65" s="280"/>
      <c r="CB65" s="280"/>
      <c r="CC65" s="280"/>
      <c r="CD65" s="24" t="s">
        <v>244</v>
      </c>
      <c r="CE65" s="25">
        <f t="shared" si="4"/>
        <v>289232.25</v>
      </c>
    </row>
    <row r="66" spans="1:83" x14ac:dyDescent="0.35">
      <c r="A66" s="31" t="s">
        <v>263</v>
      </c>
      <c r="B66" s="16"/>
      <c r="C66" s="273"/>
      <c r="D66" s="273"/>
      <c r="E66" s="273">
        <v>8168</v>
      </c>
      <c r="F66" s="273"/>
      <c r="G66" s="273"/>
      <c r="H66" s="273"/>
      <c r="I66" s="273"/>
      <c r="J66" s="273"/>
      <c r="K66" s="273"/>
      <c r="L66" s="273">
        <v>108399</v>
      </c>
      <c r="M66" s="273"/>
      <c r="N66" s="273">
        <v>100723</v>
      </c>
      <c r="O66" s="273"/>
      <c r="P66" s="275"/>
      <c r="Q66" s="275"/>
      <c r="R66" s="275"/>
      <c r="S66" s="280"/>
      <c r="T66" s="280"/>
      <c r="U66" s="276">
        <v>234156</v>
      </c>
      <c r="V66" s="275"/>
      <c r="W66" s="275">
        <v>3370</v>
      </c>
      <c r="X66" s="275">
        <v>15070</v>
      </c>
      <c r="Y66" s="275">
        <v>29090</v>
      </c>
      <c r="Z66" s="275"/>
      <c r="AA66" s="275"/>
      <c r="AB66" s="281">
        <v>49579</v>
      </c>
      <c r="AC66" s="275"/>
      <c r="AD66" s="275"/>
      <c r="AE66" s="275">
        <v>75948</v>
      </c>
      <c r="AF66" s="275"/>
      <c r="AG66" s="275">
        <v>11659</v>
      </c>
      <c r="AH66" s="275"/>
      <c r="AI66" s="275">
        <v>16184</v>
      </c>
      <c r="AJ66" s="275">
        <v>3051</v>
      </c>
      <c r="AK66" s="275"/>
      <c r="AL66" s="275"/>
      <c r="AM66" s="275"/>
      <c r="AN66" s="275"/>
      <c r="AO66" s="275">
        <v>3013</v>
      </c>
      <c r="AP66" s="275"/>
      <c r="AQ66" s="275"/>
      <c r="AR66" s="275"/>
      <c r="AS66" s="275"/>
      <c r="AT66" s="275"/>
      <c r="AU66" s="275"/>
      <c r="AV66" s="280"/>
      <c r="AW66" s="280"/>
      <c r="AX66" s="280"/>
      <c r="AY66" s="275">
        <v>1317</v>
      </c>
      <c r="AZ66" s="275"/>
      <c r="BA66" s="280">
        <v>24797</v>
      </c>
      <c r="BB66" s="280"/>
      <c r="BC66" s="280"/>
      <c r="BD66" s="280"/>
      <c r="BE66" s="275">
        <v>6439</v>
      </c>
      <c r="BF66" s="280">
        <v>335</v>
      </c>
      <c r="BG66" s="280"/>
      <c r="BH66" s="280">
        <v>316255</v>
      </c>
      <c r="BI66" s="280"/>
      <c r="BJ66" s="280">
        <v>23617</v>
      </c>
      <c r="BK66" s="280">
        <v>62607</v>
      </c>
      <c r="BL66" s="280"/>
      <c r="BM66" s="280"/>
      <c r="BN66" s="280">
        <v>13900</v>
      </c>
      <c r="BO66" s="280"/>
      <c r="BP66" s="280"/>
      <c r="BQ66" s="280"/>
      <c r="BR66" s="280">
        <v>4553</v>
      </c>
      <c r="BS66" s="280"/>
      <c r="BT66" s="280"/>
      <c r="BU66" s="280"/>
      <c r="BV66" s="280">
        <v>28963</v>
      </c>
      <c r="BW66" s="280">
        <v>81</v>
      </c>
      <c r="BX66" s="280">
        <v>13808</v>
      </c>
      <c r="BY66" s="280">
        <v>119170</v>
      </c>
      <c r="BZ66" s="280"/>
      <c r="CA66" s="280">
        <v>1967</v>
      </c>
      <c r="CB66" s="280"/>
      <c r="CC66" s="280"/>
      <c r="CD66" s="24" t="s">
        <v>244</v>
      </c>
      <c r="CE66" s="25">
        <f t="shared" si="4"/>
        <v>1276219</v>
      </c>
    </row>
    <row r="67" spans="1:83" x14ac:dyDescent="0.35">
      <c r="A67" s="31" t="s">
        <v>14</v>
      </c>
      <c r="B67" s="16"/>
      <c r="C67" s="25">
        <f t="shared" ref="C67:BN67" si="7">ROUND(C51+C52,0)</f>
        <v>0</v>
      </c>
      <c r="D67" s="25">
        <f t="shared" si="7"/>
        <v>0</v>
      </c>
      <c r="E67" s="25">
        <f t="shared" si="7"/>
        <v>12377</v>
      </c>
      <c r="F67" s="25">
        <f t="shared" si="7"/>
        <v>0</v>
      </c>
      <c r="G67" s="25">
        <f t="shared" si="7"/>
        <v>0</v>
      </c>
      <c r="H67" s="25">
        <f t="shared" si="7"/>
        <v>0</v>
      </c>
      <c r="I67" s="25">
        <f t="shared" si="7"/>
        <v>0</v>
      </c>
      <c r="J67" s="25">
        <f t="shared" si="7"/>
        <v>0</v>
      </c>
      <c r="K67" s="25">
        <f t="shared" si="7"/>
        <v>0</v>
      </c>
      <c r="L67" s="25">
        <f t="shared" si="7"/>
        <v>164418</v>
      </c>
      <c r="M67" s="25">
        <f t="shared" si="7"/>
        <v>0</v>
      </c>
      <c r="N67" s="25">
        <f t="shared" si="7"/>
        <v>283172</v>
      </c>
      <c r="O67" s="25">
        <f t="shared" si="7"/>
        <v>0</v>
      </c>
      <c r="P67" s="25">
        <f t="shared" si="7"/>
        <v>0</v>
      </c>
      <c r="Q67" s="25">
        <f t="shared" si="7"/>
        <v>0</v>
      </c>
      <c r="R67" s="25">
        <f t="shared" si="7"/>
        <v>0</v>
      </c>
      <c r="S67" s="25">
        <f t="shared" si="7"/>
        <v>21973</v>
      </c>
      <c r="T67" s="25">
        <f t="shared" si="7"/>
        <v>0</v>
      </c>
      <c r="U67" s="25">
        <f t="shared" si="7"/>
        <v>25436</v>
      </c>
      <c r="V67" s="25">
        <f t="shared" si="7"/>
        <v>0</v>
      </c>
      <c r="W67" s="25">
        <f t="shared" si="7"/>
        <v>1709</v>
      </c>
      <c r="X67" s="25">
        <f t="shared" si="7"/>
        <v>7641</v>
      </c>
      <c r="Y67" s="25">
        <f t="shared" si="7"/>
        <v>14749</v>
      </c>
      <c r="Z67" s="25">
        <f t="shared" si="7"/>
        <v>0</v>
      </c>
      <c r="AA67" s="25">
        <f t="shared" si="7"/>
        <v>0</v>
      </c>
      <c r="AB67" s="25">
        <f t="shared" si="7"/>
        <v>2726</v>
      </c>
      <c r="AC67" s="25">
        <f t="shared" si="7"/>
        <v>0</v>
      </c>
      <c r="AD67" s="25">
        <f t="shared" si="7"/>
        <v>0</v>
      </c>
      <c r="AE67" s="25">
        <f t="shared" si="7"/>
        <v>51471</v>
      </c>
      <c r="AF67" s="25">
        <f t="shared" si="7"/>
        <v>0</v>
      </c>
      <c r="AG67" s="25">
        <f t="shared" si="7"/>
        <v>27180</v>
      </c>
      <c r="AH67" s="25">
        <f t="shared" si="7"/>
        <v>0</v>
      </c>
      <c r="AI67" s="25">
        <f t="shared" si="7"/>
        <v>10332</v>
      </c>
      <c r="AJ67" s="25">
        <f t="shared" si="7"/>
        <v>51744</v>
      </c>
      <c r="AK67" s="25">
        <f t="shared" si="7"/>
        <v>0</v>
      </c>
      <c r="AL67" s="25">
        <f t="shared" si="7"/>
        <v>0</v>
      </c>
      <c r="AM67" s="25">
        <f t="shared" si="7"/>
        <v>0</v>
      </c>
      <c r="AN67" s="25">
        <f t="shared" si="7"/>
        <v>0</v>
      </c>
      <c r="AO67" s="25">
        <f t="shared" si="7"/>
        <v>4580</v>
      </c>
      <c r="AP67" s="25">
        <f t="shared" si="7"/>
        <v>0</v>
      </c>
      <c r="AQ67" s="25">
        <f t="shared" si="7"/>
        <v>0</v>
      </c>
      <c r="AR67" s="25">
        <f t="shared" si="7"/>
        <v>0</v>
      </c>
      <c r="AS67" s="25">
        <f t="shared" si="7"/>
        <v>0</v>
      </c>
      <c r="AT67" s="25">
        <f t="shared" si="7"/>
        <v>0</v>
      </c>
      <c r="AU67" s="25">
        <f t="shared" si="7"/>
        <v>0</v>
      </c>
      <c r="AV67" s="25">
        <f t="shared" si="7"/>
        <v>0</v>
      </c>
      <c r="AW67" s="25">
        <f t="shared" si="7"/>
        <v>0</v>
      </c>
      <c r="AX67" s="25">
        <f t="shared" si="7"/>
        <v>0</v>
      </c>
      <c r="AY67" s="25">
        <f t="shared" si="7"/>
        <v>25845</v>
      </c>
      <c r="AZ67" s="25">
        <f t="shared" si="7"/>
        <v>0</v>
      </c>
      <c r="BA67" s="25">
        <f t="shared" si="7"/>
        <v>0</v>
      </c>
      <c r="BB67" s="25">
        <f t="shared" si="7"/>
        <v>0</v>
      </c>
      <c r="BC67" s="25">
        <f t="shared" si="7"/>
        <v>0</v>
      </c>
      <c r="BD67" s="25">
        <f t="shared" si="7"/>
        <v>0</v>
      </c>
      <c r="BE67" s="25">
        <f t="shared" si="7"/>
        <v>29389</v>
      </c>
      <c r="BF67" s="25">
        <f t="shared" si="7"/>
        <v>19956</v>
      </c>
      <c r="BG67" s="25">
        <f t="shared" si="7"/>
        <v>0</v>
      </c>
      <c r="BH67" s="25">
        <f t="shared" si="7"/>
        <v>0</v>
      </c>
      <c r="BI67" s="25">
        <f t="shared" si="7"/>
        <v>0</v>
      </c>
      <c r="BJ67" s="25">
        <f t="shared" si="7"/>
        <v>0</v>
      </c>
      <c r="BK67" s="25">
        <f t="shared" si="7"/>
        <v>0</v>
      </c>
      <c r="BL67" s="25">
        <f t="shared" si="7"/>
        <v>0</v>
      </c>
      <c r="BM67" s="25">
        <f t="shared" si="7"/>
        <v>0</v>
      </c>
      <c r="BN67" s="25">
        <f t="shared" si="7"/>
        <v>64012</v>
      </c>
      <c r="BO67" s="25">
        <f t="shared" ref="BO67:CC67" si="8">ROUND(BO51+BO52,0)</f>
        <v>0</v>
      </c>
      <c r="BP67" s="25">
        <f t="shared" si="8"/>
        <v>0</v>
      </c>
      <c r="BQ67" s="25">
        <f t="shared" si="8"/>
        <v>0</v>
      </c>
      <c r="BR67" s="25">
        <f t="shared" si="8"/>
        <v>11014</v>
      </c>
      <c r="BS67" s="25">
        <f t="shared" si="8"/>
        <v>0</v>
      </c>
      <c r="BT67" s="25">
        <f t="shared" si="8"/>
        <v>0</v>
      </c>
      <c r="BU67" s="25">
        <f t="shared" si="8"/>
        <v>0</v>
      </c>
      <c r="BV67" s="25">
        <f t="shared" si="8"/>
        <v>20992</v>
      </c>
      <c r="BW67" s="25">
        <f t="shared" si="8"/>
        <v>0</v>
      </c>
      <c r="BX67" s="25">
        <f t="shared" si="8"/>
        <v>0</v>
      </c>
      <c r="BY67" s="25">
        <f t="shared" si="8"/>
        <v>8315</v>
      </c>
      <c r="BZ67" s="25">
        <f t="shared" si="8"/>
        <v>0</v>
      </c>
      <c r="CA67" s="25">
        <f t="shared" si="8"/>
        <v>0</v>
      </c>
      <c r="CB67" s="25">
        <f t="shared" si="8"/>
        <v>0</v>
      </c>
      <c r="CC67" s="25">
        <f t="shared" si="8"/>
        <v>0</v>
      </c>
      <c r="CD67" s="24" t="s">
        <v>244</v>
      </c>
      <c r="CE67" s="25">
        <f t="shared" si="4"/>
        <v>859031</v>
      </c>
    </row>
    <row r="68" spans="1:83" x14ac:dyDescent="0.35">
      <c r="A68" s="31" t="s">
        <v>264</v>
      </c>
      <c r="B68" s="2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>
        <v>128675</v>
      </c>
      <c r="O68" s="273"/>
      <c r="P68" s="275"/>
      <c r="Q68" s="275"/>
      <c r="R68" s="275"/>
      <c r="S68" s="280"/>
      <c r="T68" s="280"/>
      <c r="U68" s="276"/>
      <c r="V68" s="275"/>
      <c r="W68" s="275"/>
      <c r="X68" s="275">
        <v>34830</v>
      </c>
      <c r="Y68" s="275"/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>
        <v>4000</v>
      </c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/>
      <c r="BF68" s="280"/>
      <c r="BG68" s="280"/>
      <c r="BH68" s="280"/>
      <c r="BI68" s="280"/>
      <c r="BJ68" s="280"/>
      <c r="BK68" s="280"/>
      <c r="BL68" s="280"/>
      <c r="BM68" s="280"/>
      <c r="BN68" s="280">
        <v>187</v>
      </c>
      <c r="BO68" s="280"/>
      <c r="BP68" s="280"/>
      <c r="BQ68" s="280"/>
      <c r="BR68" s="280">
        <v>14200</v>
      </c>
      <c r="BS68" s="280"/>
      <c r="BT68" s="280"/>
      <c r="BU68" s="280"/>
      <c r="BV68" s="280"/>
      <c r="BW68" s="280"/>
      <c r="BX68" s="280"/>
      <c r="BY68" s="280">
        <v>2394</v>
      </c>
      <c r="BZ68" s="280"/>
      <c r="CA68" s="280"/>
      <c r="CB68" s="280"/>
      <c r="CC68" s="280"/>
      <c r="CD68" s="24" t="s">
        <v>244</v>
      </c>
      <c r="CE68" s="25">
        <f t="shared" si="4"/>
        <v>184286</v>
      </c>
    </row>
    <row r="69" spans="1:83" x14ac:dyDescent="0.35">
      <c r="A69" s="31" t="s">
        <v>265</v>
      </c>
      <c r="B69" s="16"/>
      <c r="C69" s="25">
        <f t="shared" ref="C69:BN69" si="9">SUM(C70:C83)</f>
        <v>0</v>
      </c>
      <c r="D69" s="25">
        <f t="shared" si="9"/>
        <v>0</v>
      </c>
      <c r="E69" s="25">
        <f t="shared" si="9"/>
        <v>518</v>
      </c>
      <c r="F69" s="25">
        <f t="shared" si="9"/>
        <v>0</v>
      </c>
      <c r="G69" s="25">
        <f t="shared" si="9"/>
        <v>0</v>
      </c>
      <c r="H69" s="25">
        <f t="shared" si="9"/>
        <v>0</v>
      </c>
      <c r="I69" s="25">
        <f t="shared" si="9"/>
        <v>0</v>
      </c>
      <c r="J69" s="25">
        <f t="shared" si="9"/>
        <v>0</v>
      </c>
      <c r="K69" s="25">
        <f t="shared" si="9"/>
        <v>0</v>
      </c>
      <c r="L69" s="25">
        <f t="shared" si="9"/>
        <v>6872</v>
      </c>
      <c r="M69" s="25">
        <f t="shared" si="9"/>
        <v>0</v>
      </c>
      <c r="N69" s="25">
        <f t="shared" si="9"/>
        <v>27009</v>
      </c>
      <c r="O69" s="25">
        <f t="shared" si="9"/>
        <v>0</v>
      </c>
      <c r="P69" s="25">
        <f t="shared" si="9"/>
        <v>0</v>
      </c>
      <c r="Q69" s="25">
        <f t="shared" si="9"/>
        <v>0</v>
      </c>
      <c r="R69" s="25">
        <f t="shared" si="9"/>
        <v>0</v>
      </c>
      <c r="S69" s="25">
        <f t="shared" si="9"/>
        <v>2150</v>
      </c>
      <c r="T69" s="25">
        <f t="shared" si="9"/>
        <v>0</v>
      </c>
      <c r="U69" s="25">
        <f t="shared" si="9"/>
        <v>1075</v>
      </c>
      <c r="V69" s="25">
        <f t="shared" si="9"/>
        <v>0</v>
      </c>
      <c r="W69" s="25">
        <f t="shared" si="9"/>
        <v>92283</v>
      </c>
      <c r="X69" s="25">
        <f t="shared" si="9"/>
        <v>48417</v>
      </c>
      <c r="Y69" s="25">
        <f t="shared" si="9"/>
        <v>33298</v>
      </c>
      <c r="Z69" s="25">
        <f t="shared" si="9"/>
        <v>0</v>
      </c>
      <c r="AA69" s="25">
        <f t="shared" si="9"/>
        <v>0</v>
      </c>
      <c r="AB69" s="25">
        <f t="shared" si="9"/>
        <v>0</v>
      </c>
      <c r="AC69" s="25">
        <f t="shared" si="9"/>
        <v>0</v>
      </c>
      <c r="AD69" s="25">
        <f t="shared" si="9"/>
        <v>0</v>
      </c>
      <c r="AE69" s="25">
        <f t="shared" si="9"/>
        <v>5796</v>
      </c>
      <c r="AF69" s="25">
        <f t="shared" si="9"/>
        <v>0</v>
      </c>
      <c r="AG69" s="25">
        <f t="shared" si="9"/>
        <v>0</v>
      </c>
      <c r="AH69" s="25">
        <f t="shared" si="9"/>
        <v>0</v>
      </c>
      <c r="AI69" s="25">
        <f t="shared" si="9"/>
        <v>0</v>
      </c>
      <c r="AJ69" s="25">
        <f t="shared" si="9"/>
        <v>7212</v>
      </c>
      <c r="AK69" s="25">
        <f t="shared" si="9"/>
        <v>3526</v>
      </c>
      <c r="AL69" s="25">
        <f t="shared" si="9"/>
        <v>0</v>
      </c>
      <c r="AM69" s="25">
        <f t="shared" si="9"/>
        <v>0</v>
      </c>
      <c r="AN69" s="25">
        <f t="shared" si="9"/>
        <v>0</v>
      </c>
      <c r="AO69" s="25">
        <f t="shared" si="9"/>
        <v>191</v>
      </c>
      <c r="AP69" s="25">
        <f t="shared" si="9"/>
        <v>0</v>
      </c>
      <c r="AQ69" s="25">
        <f t="shared" si="9"/>
        <v>0</v>
      </c>
      <c r="AR69" s="25">
        <f t="shared" si="9"/>
        <v>0</v>
      </c>
      <c r="AS69" s="25">
        <f t="shared" si="9"/>
        <v>0</v>
      </c>
      <c r="AT69" s="25">
        <f t="shared" si="9"/>
        <v>0</v>
      </c>
      <c r="AU69" s="25">
        <f t="shared" si="9"/>
        <v>0</v>
      </c>
      <c r="AV69" s="25">
        <f t="shared" si="9"/>
        <v>0</v>
      </c>
      <c r="AW69" s="25">
        <f t="shared" si="9"/>
        <v>0</v>
      </c>
      <c r="AX69" s="25">
        <f t="shared" si="9"/>
        <v>0</v>
      </c>
      <c r="AY69" s="25">
        <f t="shared" si="9"/>
        <v>0</v>
      </c>
      <c r="AZ69" s="25">
        <f t="shared" si="9"/>
        <v>0</v>
      </c>
      <c r="BA69" s="25">
        <f t="shared" si="9"/>
        <v>606</v>
      </c>
      <c r="BB69" s="25">
        <f t="shared" si="9"/>
        <v>0</v>
      </c>
      <c r="BC69" s="25">
        <f t="shared" si="9"/>
        <v>0</v>
      </c>
      <c r="BD69" s="25">
        <f t="shared" si="9"/>
        <v>0</v>
      </c>
      <c r="BE69" s="25">
        <f t="shared" si="9"/>
        <v>67466</v>
      </c>
      <c r="BF69" s="25">
        <f t="shared" si="9"/>
        <v>0</v>
      </c>
      <c r="BG69" s="25">
        <f t="shared" si="9"/>
        <v>0</v>
      </c>
      <c r="BH69" s="25">
        <f t="shared" si="9"/>
        <v>164980</v>
      </c>
      <c r="BI69" s="25">
        <f t="shared" si="9"/>
        <v>0</v>
      </c>
      <c r="BJ69" s="25">
        <f t="shared" si="9"/>
        <v>7870</v>
      </c>
      <c r="BK69" s="25">
        <f t="shared" si="9"/>
        <v>13773</v>
      </c>
      <c r="BL69" s="25">
        <f t="shared" si="9"/>
        <v>0</v>
      </c>
      <c r="BM69" s="25">
        <f t="shared" si="9"/>
        <v>0</v>
      </c>
      <c r="BN69" s="25">
        <f t="shared" si="9"/>
        <v>120903</v>
      </c>
      <c r="BO69" s="25">
        <f t="shared" ref="BO69:CE69" si="10">SUM(BO70:BO83)</f>
        <v>0</v>
      </c>
      <c r="BP69" s="25">
        <f t="shared" si="10"/>
        <v>0</v>
      </c>
      <c r="BQ69" s="25">
        <f t="shared" si="10"/>
        <v>0</v>
      </c>
      <c r="BR69" s="25">
        <f t="shared" si="10"/>
        <v>75495</v>
      </c>
      <c r="BS69" s="25">
        <f t="shared" si="10"/>
        <v>0</v>
      </c>
      <c r="BT69" s="25">
        <f t="shared" si="10"/>
        <v>0</v>
      </c>
      <c r="BU69" s="25">
        <f t="shared" si="10"/>
        <v>0</v>
      </c>
      <c r="BV69" s="25">
        <f t="shared" si="10"/>
        <v>0</v>
      </c>
      <c r="BW69" s="25">
        <f t="shared" si="10"/>
        <v>20458</v>
      </c>
      <c r="BX69" s="25">
        <f t="shared" si="10"/>
        <v>2159</v>
      </c>
      <c r="BY69" s="25">
        <f t="shared" si="10"/>
        <v>315</v>
      </c>
      <c r="BZ69" s="25">
        <f t="shared" si="10"/>
        <v>0</v>
      </c>
      <c r="CA69" s="25">
        <f t="shared" si="10"/>
        <v>17630</v>
      </c>
      <c r="CB69" s="25">
        <f t="shared" si="10"/>
        <v>0</v>
      </c>
      <c r="CC69" s="25">
        <f t="shared" si="10"/>
        <v>0</v>
      </c>
      <c r="CD69" s="25">
        <f t="shared" si="10"/>
        <v>406199</v>
      </c>
      <c r="CE69" s="25">
        <f t="shared" si="10"/>
        <v>1126201</v>
      </c>
    </row>
    <row r="70" spans="1:83" x14ac:dyDescent="0.35">
      <c r="A70" s="26" t="s">
        <v>266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1">SUM(C70:CD70)</f>
        <v>0</v>
      </c>
    </row>
    <row r="71" spans="1:83" x14ac:dyDescent="0.35">
      <c r="A71" s="26" t="s">
        <v>267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1"/>
        <v>0</v>
      </c>
    </row>
    <row r="72" spans="1:83" x14ac:dyDescent="0.35">
      <c r="A72" s="26" t="s">
        <v>268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1"/>
        <v>0</v>
      </c>
    </row>
    <row r="73" spans="1:83" x14ac:dyDescent="0.35">
      <c r="A73" s="26" t="s">
        <v>269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1"/>
        <v>0</v>
      </c>
    </row>
    <row r="74" spans="1:83" x14ac:dyDescent="0.35">
      <c r="A74" s="26" t="s">
        <v>270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1"/>
        <v>0</v>
      </c>
    </row>
    <row r="75" spans="1:83" x14ac:dyDescent="0.35">
      <c r="A75" s="26" t="s">
        <v>271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1"/>
        <v>0</v>
      </c>
    </row>
    <row r="76" spans="1:83" x14ac:dyDescent="0.35">
      <c r="A76" s="26" t="s">
        <v>272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1"/>
        <v>0</v>
      </c>
    </row>
    <row r="77" spans="1:83" x14ac:dyDescent="0.35">
      <c r="A77" s="26" t="s">
        <v>273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>
        <v>1634</v>
      </c>
      <c r="O77" s="282"/>
      <c r="P77" s="282"/>
      <c r="Q77" s="282"/>
      <c r="R77" s="282"/>
      <c r="S77" s="282"/>
      <c r="T77" s="282"/>
      <c r="U77" s="282">
        <v>414</v>
      </c>
      <c r="V77" s="282"/>
      <c r="W77" s="282">
        <v>92283</v>
      </c>
      <c r="X77" s="282">
        <v>48417</v>
      </c>
      <c r="Y77" s="282">
        <f>19734+10800</f>
        <v>30534</v>
      </c>
      <c r="Z77" s="282"/>
      <c r="AA77" s="282"/>
      <c r="AB77" s="282"/>
      <c r="AC77" s="282"/>
      <c r="AD77" s="282"/>
      <c r="AE77" s="282">
        <v>390</v>
      </c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>
        <v>606</v>
      </c>
      <c r="BB77" s="282"/>
      <c r="BC77" s="282"/>
      <c r="BD77" s="282"/>
      <c r="BE77" s="282">
        <v>65015</v>
      </c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1"/>
        <v>239293</v>
      </c>
    </row>
    <row r="78" spans="1:83" x14ac:dyDescent="0.35">
      <c r="A78" s="26" t="s">
        <v>274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1"/>
        <v>0</v>
      </c>
    </row>
    <row r="79" spans="1:83" x14ac:dyDescent="0.35">
      <c r="A79" s="26" t="s">
        <v>275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1"/>
        <v>0</v>
      </c>
    </row>
    <row r="80" spans="1:83" x14ac:dyDescent="0.35">
      <c r="A80" s="26" t="s">
        <v>276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1"/>
        <v>0</v>
      </c>
    </row>
    <row r="81" spans="1:84" x14ac:dyDescent="0.35">
      <c r="A81" s="26" t="s">
        <v>277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1"/>
        <v>0</v>
      </c>
    </row>
    <row r="82" spans="1:84" x14ac:dyDescent="0.35">
      <c r="A82" s="26" t="s">
        <v>278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1"/>
        <v>0</v>
      </c>
    </row>
    <row r="83" spans="1:84" x14ac:dyDescent="0.35">
      <c r="A83" s="26" t="s">
        <v>279</v>
      </c>
      <c r="B83" s="16"/>
      <c r="C83" s="273"/>
      <c r="D83" s="273"/>
      <c r="E83" s="275">
        <v>518</v>
      </c>
      <c r="F83" s="275"/>
      <c r="G83" s="273"/>
      <c r="H83" s="273"/>
      <c r="I83" s="275"/>
      <c r="J83" s="275"/>
      <c r="K83" s="275"/>
      <c r="L83" s="275">
        <v>6872</v>
      </c>
      <c r="M83" s="273"/>
      <c r="N83" s="273">
        <f>27009-N77</f>
        <v>25375</v>
      </c>
      <c r="O83" s="273"/>
      <c r="P83" s="275"/>
      <c r="Q83" s="275"/>
      <c r="R83" s="276"/>
      <c r="S83" s="275">
        <v>2150</v>
      </c>
      <c r="T83" s="273"/>
      <c r="U83" s="275">
        <v>661</v>
      </c>
      <c r="V83" s="275"/>
      <c r="W83" s="273"/>
      <c r="X83" s="275">
        <v>0</v>
      </c>
      <c r="Y83" s="275">
        <f>33298-Y77</f>
        <v>2764</v>
      </c>
      <c r="Z83" s="275"/>
      <c r="AA83" s="275"/>
      <c r="AB83" s="275"/>
      <c r="AC83" s="275"/>
      <c r="AD83" s="275"/>
      <c r="AE83" s="275">
        <f>3829+1577</f>
        <v>5406</v>
      </c>
      <c r="AF83" s="275"/>
      <c r="AG83" s="275"/>
      <c r="AH83" s="275"/>
      <c r="AI83" s="275"/>
      <c r="AJ83" s="275">
        <v>7212</v>
      </c>
      <c r="AK83" s="275">
        <v>3526</v>
      </c>
      <c r="AL83" s="275"/>
      <c r="AM83" s="275"/>
      <c r="AN83" s="275"/>
      <c r="AO83" s="273">
        <v>191</v>
      </c>
      <c r="AP83" s="275"/>
      <c r="AQ83" s="273"/>
      <c r="AR83" s="273"/>
      <c r="AS83" s="273"/>
      <c r="AT83" s="273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/>
      <c r="BE83" s="275">
        <f>67466-BE77</f>
        <v>2451</v>
      </c>
      <c r="BF83" s="275"/>
      <c r="BG83" s="275"/>
      <c r="BH83" s="276">
        <v>164980</v>
      </c>
      <c r="BI83" s="275"/>
      <c r="BJ83" s="275">
        <v>7870</v>
      </c>
      <c r="BK83" s="275">
        <v>13773</v>
      </c>
      <c r="BL83" s="275"/>
      <c r="BM83" s="275"/>
      <c r="BN83" s="275">
        <v>120903</v>
      </c>
      <c r="BO83" s="275"/>
      <c r="BP83" s="275"/>
      <c r="BQ83" s="275"/>
      <c r="BR83" s="275">
        <v>75495</v>
      </c>
      <c r="BS83" s="275"/>
      <c r="BT83" s="275"/>
      <c r="BU83" s="275"/>
      <c r="BV83" s="275"/>
      <c r="BW83" s="275">
        <v>20458</v>
      </c>
      <c r="BX83" s="275">
        <v>2159</v>
      </c>
      <c r="BY83" s="275">
        <v>315</v>
      </c>
      <c r="BZ83" s="275"/>
      <c r="CA83" s="275">
        <v>17630</v>
      </c>
      <c r="CB83" s="275"/>
      <c r="CC83" s="275"/>
      <c r="CD83" s="282">
        <v>406199</v>
      </c>
      <c r="CE83" s="25">
        <f t="shared" si="11"/>
        <v>886908</v>
      </c>
    </row>
    <row r="84" spans="1:84" x14ac:dyDescent="0.35">
      <c r="A84" s="31" t="s">
        <v>280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>
        <f>14+8733</f>
        <v>8747</v>
      </c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>
        <v>3332636</v>
      </c>
      <c r="CE84" s="25">
        <f t="shared" si="11"/>
        <v>3341383</v>
      </c>
    </row>
    <row r="85" spans="1:84" x14ac:dyDescent="0.35">
      <c r="A85" s="31" t="s">
        <v>281</v>
      </c>
      <c r="B85" s="25"/>
      <c r="C85" s="25">
        <f t="shared" ref="C85:AH85" si="12">SUM(C61:C69)-C84</f>
        <v>0</v>
      </c>
      <c r="D85" s="25">
        <f t="shared" si="12"/>
        <v>0</v>
      </c>
      <c r="E85" s="25">
        <f t="shared" si="12"/>
        <v>222508</v>
      </c>
      <c r="F85" s="25">
        <f t="shared" si="12"/>
        <v>0</v>
      </c>
      <c r="G85" s="25">
        <f t="shared" si="12"/>
        <v>0</v>
      </c>
      <c r="H85" s="25">
        <f t="shared" si="12"/>
        <v>0</v>
      </c>
      <c r="I85" s="25">
        <f t="shared" si="12"/>
        <v>0</v>
      </c>
      <c r="J85" s="25">
        <f t="shared" si="12"/>
        <v>0</v>
      </c>
      <c r="K85" s="25">
        <f t="shared" si="12"/>
        <v>0</v>
      </c>
      <c r="L85" s="25">
        <f t="shared" si="12"/>
        <v>2953242</v>
      </c>
      <c r="M85" s="25">
        <f t="shared" si="12"/>
        <v>0</v>
      </c>
      <c r="N85" s="25">
        <f t="shared" si="12"/>
        <v>1489579</v>
      </c>
      <c r="O85" s="25">
        <f t="shared" si="12"/>
        <v>0</v>
      </c>
      <c r="P85" s="25">
        <f t="shared" si="12"/>
        <v>0</v>
      </c>
      <c r="Q85" s="25">
        <f t="shared" si="12"/>
        <v>0</v>
      </c>
      <c r="R85" s="25">
        <f t="shared" si="12"/>
        <v>0</v>
      </c>
      <c r="S85" s="25">
        <f t="shared" si="12"/>
        <v>163529</v>
      </c>
      <c r="T85" s="25">
        <f t="shared" si="12"/>
        <v>0</v>
      </c>
      <c r="U85" s="25">
        <f t="shared" si="12"/>
        <v>1036449</v>
      </c>
      <c r="V85" s="25">
        <f t="shared" si="12"/>
        <v>0</v>
      </c>
      <c r="W85" s="25">
        <f t="shared" si="12"/>
        <v>144686</v>
      </c>
      <c r="X85" s="25">
        <f t="shared" si="12"/>
        <v>317589.32999999996</v>
      </c>
      <c r="Y85" s="25">
        <f t="shared" si="12"/>
        <v>485634.85000000003</v>
      </c>
      <c r="Z85" s="25">
        <f t="shared" si="12"/>
        <v>0</v>
      </c>
      <c r="AA85" s="25">
        <f t="shared" si="12"/>
        <v>0</v>
      </c>
      <c r="AB85" s="25">
        <f t="shared" si="12"/>
        <v>2347358</v>
      </c>
      <c r="AC85" s="25">
        <f t="shared" si="12"/>
        <v>0</v>
      </c>
      <c r="AD85" s="25">
        <f t="shared" si="12"/>
        <v>0</v>
      </c>
      <c r="AE85" s="25">
        <f t="shared" si="12"/>
        <v>685287</v>
      </c>
      <c r="AF85" s="25">
        <f t="shared" si="12"/>
        <v>0</v>
      </c>
      <c r="AG85" s="25">
        <f t="shared" si="12"/>
        <v>518572</v>
      </c>
      <c r="AH85" s="25">
        <f t="shared" si="12"/>
        <v>0</v>
      </c>
      <c r="AI85" s="25">
        <f t="shared" ref="AI85:BN85" si="13">SUM(AI61:AI69)-AI84</f>
        <v>42775</v>
      </c>
      <c r="AJ85" s="25">
        <f t="shared" si="13"/>
        <v>851782</v>
      </c>
      <c r="AK85" s="25">
        <f t="shared" si="13"/>
        <v>173555</v>
      </c>
      <c r="AL85" s="25">
        <f t="shared" si="13"/>
        <v>0</v>
      </c>
      <c r="AM85" s="25">
        <f t="shared" si="13"/>
        <v>0</v>
      </c>
      <c r="AN85" s="25">
        <f t="shared" si="13"/>
        <v>0</v>
      </c>
      <c r="AO85" s="25">
        <f t="shared" si="13"/>
        <v>82103</v>
      </c>
      <c r="AP85" s="25">
        <f t="shared" si="13"/>
        <v>0</v>
      </c>
      <c r="AQ85" s="25">
        <f t="shared" si="13"/>
        <v>0</v>
      </c>
      <c r="AR85" s="25">
        <f t="shared" si="13"/>
        <v>0</v>
      </c>
      <c r="AS85" s="25">
        <f t="shared" si="13"/>
        <v>0</v>
      </c>
      <c r="AT85" s="25">
        <f t="shared" si="13"/>
        <v>0</v>
      </c>
      <c r="AU85" s="25">
        <f t="shared" si="13"/>
        <v>0</v>
      </c>
      <c r="AV85" s="25">
        <f t="shared" si="13"/>
        <v>0</v>
      </c>
      <c r="AW85" s="25">
        <f t="shared" si="13"/>
        <v>0</v>
      </c>
      <c r="AX85" s="25">
        <f t="shared" si="13"/>
        <v>0</v>
      </c>
      <c r="AY85" s="25">
        <f t="shared" si="13"/>
        <v>377670</v>
      </c>
      <c r="AZ85" s="25">
        <f t="shared" si="13"/>
        <v>0</v>
      </c>
      <c r="BA85" s="25">
        <f t="shared" si="13"/>
        <v>95009</v>
      </c>
      <c r="BB85" s="25">
        <f t="shared" si="13"/>
        <v>0</v>
      </c>
      <c r="BC85" s="25">
        <f t="shared" si="13"/>
        <v>0</v>
      </c>
      <c r="BD85" s="25">
        <f t="shared" si="13"/>
        <v>0</v>
      </c>
      <c r="BE85" s="25">
        <f t="shared" si="13"/>
        <v>601227</v>
      </c>
      <c r="BF85" s="25">
        <f t="shared" si="13"/>
        <v>293970</v>
      </c>
      <c r="BG85" s="25">
        <f t="shared" si="13"/>
        <v>0</v>
      </c>
      <c r="BH85" s="25">
        <f t="shared" si="13"/>
        <v>758848</v>
      </c>
      <c r="BI85" s="25">
        <f t="shared" si="13"/>
        <v>0</v>
      </c>
      <c r="BJ85" s="25">
        <f t="shared" si="13"/>
        <v>330061</v>
      </c>
      <c r="BK85" s="25">
        <f t="shared" si="13"/>
        <v>821767</v>
      </c>
      <c r="BL85" s="25">
        <f t="shared" si="13"/>
        <v>0</v>
      </c>
      <c r="BM85" s="25">
        <f t="shared" si="13"/>
        <v>0</v>
      </c>
      <c r="BN85" s="25">
        <f t="shared" si="13"/>
        <v>512348</v>
      </c>
      <c r="BO85" s="25">
        <f t="shared" ref="BO85:CD85" si="14">SUM(BO61:BO69)-BO84</f>
        <v>0</v>
      </c>
      <c r="BP85" s="25">
        <f t="shared" si="14"/>
        <v>0</v>
      </c>
      <c r="BQ85" s="25">
        <f t="shared" si="14"/>
        <v>0</v>
      </c>
      <c r="BR85" s="25">
        <f t="shared" si="14"/>
        <v>252004</v>
      </c>
      <c r="BS85" s="25">
        <f t="shared" si="14"/>
        <v>114125</v>
      </c>
      <c r="BT85" s="25">
        <f t="shared" si="14"/>
        <v>0</v>
      </c>
      <c r="BU85" s="25">
        <f t="shared" si="14"/>
        <v>0</v>
      </c>
      <c r="BV85" s="25">
        <f t="shared" si="14"/>
        <v>338189</v>
      </c>
      <c r="BW85" s="25">
        <f t="shared" si="14"/>
        <v>2114293</v>
      </c>
      <c r="BX85" s="25">
        <f t="shared" si="14"/>
        <v>15967</v>
      </c>
      <c r="BY85" s="25">
        <f t="shared" si="14"/>
        <v>759540</v>
      </c>
      <c r="BZ85" s="25">
        <f t="shared" si="14"/>
        <v>0</v>
      </c>
      <c r="CA85" s="25">
        <f t="shared" si="14"/>
        <v>26436</v>
      </c>
      <c r="CB85" s="25">
        <f t="shared" si="14"/>
        <v>0</v>
      </c>
      <c r="CC85" s="25">
        <f t="shared" si="14"/>
        <v>0</v>
      </c>
      <c r="CD85" s="25">
        <f t="shared" si="14"/>
        <v>-2926437</v>
      </c>
      <c r="CE85" s="25">
        <f t="shared" si="11"/>
        <v>15999666.18</v>
      </c>
    </row>
    <row r="86" spans="1:84" x14ac:dyDescent="0.35">
      <c r="A86" s="31" t="s">
        <v>282</v>
      </c>
      <c r="B86" s="25"/>
      <c r="C86" s="24" t="s">
        <v>244</v>
      </c>
      <c r="D86" s="24" t="s">
        <v>244</v>
      </c>
      <c r="E86" s="24" t="s">
        <v>244</v>
      </c>
      <c r="F86" s="24" t="s">
        <v>244</v>
      </c>
      <c r="G86" s="24" t="s">
        <v>244</v>
      </c>
      <c r="H86" s="24" t="s">
        <v>244</v>
      </c>
      <c r="I86" s="24" t="s">
        <v>244</v>
      </c>
      <c r="J86" s="24" t="s">
        <v>244</v>
      </c>
      <c r="K86" s="28" t="s">
        <v>244</v>
      </c>
      <c r="L86" s="24" t="s">
        <v>244</v>
      </c>
      <c r="M86" s="24" t="s">
        <v>244</v>
      </c>
      <c r="N86" s="24" t="s">
        <v>244</v>
      </c>
      <c r="O86" s="24" t="s">
        <v>244</v>
      </c>
      <c r="P86" s="24" t="s">
        <v>244</v>
      </c>
      <c r="Q86" s="24" t="s">
        <v>244</v>
      </c>
      <c r="R86" s="24" t="s">
        <v>244</v>
      </c>
      <c r="S86" s="24" t="s">
        <v>244</v>
      </c>
      <c r="T86" s="24" t="s">
        <v>244</v>
      </c>
      <c r="U86" s="24" t="s">
        <v>244</v>
      </c>
      <c r="V86" s="24" t="s">
        <v>244</v>
      </c>
      <c r="W86" s="24" t="s">
        <v>244</v>
      </c>
      <c r="X86" s="24" t="s">
        <v>244</v>
      </c>
      <c r="Y86" s="24" t="s">
        <v>244</v>
      </c>
      <c r="Z86" s="24" t="s">
        <v>244</v>
      </c>
      <c r="AA86" s="24" t="s">
        <v>244</v>
      </c>
      <c r="AB86" s="24" t="s">
        <v>244</v>
      </c>
      <c r="AC86" s="24" t="s">
        <v>244</v>
      </c>
      <c r="AD86" s="24" t="s">
        <v>244</v>
      </c>
      <c r="AE86" s="24" t="s">
        <v>244</v>
      </c>
      <c r="AF86" s="24" t="s">
        <v>244</v>
      </c>
      <c r="AG86" s="24" t="s">
        <v>244</v>
      </c>
      <c r="AH86" s="24" t="s">
        <v>244</v>
      </c>
      <c r="AI86" s="24" t="s">
        <v>244</v>
      </c>
      <c r="AJ86" s="24" t="s">
        <v>244</v>
      </c>
      <c r="AK86" s="24" t="s">
        <v>244</v>
      </c>
      <c r="AL86" s="24" t="s">
        <v>244</v>
      </c>
      <c r="AM86" s="24" t="s">
        <v>244</v>
      </c>
      <c r="AN86" s="24" t="s">
        <v>244</v>
      </c>
      <c r="AO86" s="24" t="s">
        <v>244</v>
      </c>
      <c r="AP86" s="24" t="s">
        <v>244</v>
      </c>
      <c r="AQ86" s="24" t="s">
        <v>244</v>
      </c>
      <c r="AR86" s="24" t="s">
        <v>244</v>
      </c>
      <c r="AS86" s="24" t="s">
        <v>244</v>
      </c>
      <c r="AT86" s="24" t="s">
        <v>244</v>
      </c>
      <c r="AU86" s="24" t="s">
        <v>244</v>
      </c>
      <c r="AV86" s="24" t="s">
        <v>244</v>
      </c>
      <c r="AW86" s="24" t="s">
        <v>244</v>
      </c>
      <c r="AX86" s="24" t="s">
        <v>244</v>
      </c>
      <c r="AY86" s="24" t="s">
        <v>244</v>
      </c>
      <c r="AZ86" s="24" t="s">
        <v>244</v>
      </c>
      <c r="BA86" s="24" t="s">
        <v>244</v>
      </c>
      <c r="BB86" s="24" t="s">
        <v>244</v>
      </c>
      <c r="BC86" s="24" t="s">
        <v>244</v>
      </c>
      <c r="BD86" s="24" t="s">
        <v>244</v>
      </c>
      <c r="BE86" s="24" t="s">
        <v>244</v>
      </c>
      <c r="BF86" s="24" t="s">
        <v>244</v>
      </c>
      <c r="BG86" s="24" t="s">
        <v>244</v>
      </c>
      <c r="BH86" s="24" t="s">
        <v>244</v>
      </c>
      <c r="BI86" s="24" t="s">
        <v>244</v>
      </c>
      <c r="BJ86" s="24" t="s">
        <v>244</v>
      </c>
      <c r="BK86" s="24" t="s">
        <v>244</v>
      </c>
      <c r="BL86" s="24" t="s">
        <v>244</v>
      </c>
      <c r="BM86" s="24" t="s">
        <v>244</v>
      </c>
      <c r="BN86" s="24" t="s">
        <v>244</v>
      </c>
      <c r="BO86" s="24" t="s">
        <v>244</v>
      </c>
      <c r="BP86" s="24" t="s">
        <v>244</v>
      </c>
      <c r="BQ86" s="24" t="s">
        <v>244</v>
      </c>
      <c r="BR86" s="24" t="s">
        <v>244</v>
      </c>
      <c r="BS86" s="24" t="s">
        <v>244</v>
      </c>
      <c r="BT86" s="24" t="s">
        <v>244</v>
      </c>
      <c r="BU86" s="24" t="s">
        <v>244</v>
      </c>
      <c r="BV86" s="24" t="s">
        <v>244</v>
      </c>
      <c r="BW86" s="24" t="s">
        <v>244</v>
      </c>
      <c r="BX86" s="24" t="s">
        <v>244</v>
      </c>
      <c r="BY86" s="24" t="s">
        <v>244</v>
      </c>
      <c r="BZ86" s="24" t="s">
        <v>244</v>
      </c>
      <c r="CA86" s="24" t="s">
        <v>244</v>
      </c>
      <c r="CB86" s="24" t="s">
        <v>244</v>
      </c>
      <c r="CC86" s="24" t="s">
        <v>244</v>
      </c>
      <c r="CD86" s="24" t="s">
        <v>244</v>
      </c>
      <c r="CE86" s="282">
        <v>288600</v>
      </c>
    </row>
    <row r="87" spans="1:84" x14ac:dyDescent="0.35">
      <c r="A87" s="31" t="s">
        <v>283</v>
      </c>
      <c r="B87" s="16"/>
      <c r="C87" s="273"/>
      <c r="D87" s="273"/>
      <c r="E87" s="273">
        <v>892076</v>
      </c>
      <c r="F87" s="273"/>
      <c r="G87" s="273"/>
      <c r="H87" s="273"/>
      <c r="I87" s="273"/>
      <c r="J87" s="273"/>
      <c r="K87" s="273"/>
      <c r="L87" s="273">
        <v>2218818</v>
      </c>
      <c r="M87" s="273"/>
      <c r="N87" s="273"/>
      <c r="O87" s="273"/>
      <c r="P87" s="273"/>
      <c r="Q87" s="273"/>
      <c r="R87" s="273"/>
      <c r="S87" s="273">
        <v>205015</v>
      </c>
      <c r="T87" s="273"/>
      <c r="U87" s="273">
        <v>215141</v>
      </c>
      <c r="V87" s="273">
        <v>0</v>
      </c>
      <c r="W87" s="273">
        <v>15172</v>
      </c>
      <c r="X87" s="273">
        <v>67852</v>
      </c>
      <c r="Y87" s="273">
        <v>130968</v>
      </c>
      <c r="Z87" s="273"/>
      <c r="AA87" s="273"/>
      <c r="AB87" s="273">
        <v>282557</v>
      </c>
      <c r="AC87" s="273"/>
      <c r="AD87" s="273"/>
      <c r="AE87" s="273">
        <v>207286</v>
      </c>
      <c r="AF87" s="273"/>
      <c r="AG87" s="273">
        <v>57594</v>
      </c>
      <c r="AH87" s="273"/>
      <c r="AI87" s="273"/>
      <c r="AJ87" s="273">
        <v>100785</v>
      </c>
      <c r="AK87" s="273">
        <v>214378</v>
      </c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244</v>
      </c>
      <c r="AX87" s="24" t="s">
        <v>244</v>
      </c>
      <c r="AY87" s="24" t="s">
        <v>244</v>
      </c>
      <c r="AZ87" s="24" t="s">
        <v>244</v>
      </c>
      <c r="BA87" s="24" t="s">
        <v>244</v>
      </c>
      <c r="BB87" s="24" t="s">
        <v>244</v>
      </c>
      <c r="BC87" s="24" t="s">
        <v>244</v>
      </c>
      <c r="BD87" s="24" t="s">
        <v>244</v>
      </c>
      <c r="BE87" s="24" t="s">
        <v>244</v>
      </c>
      <c r="BF87" s="24" t="s">
        <v>244</v>
      </c>
      <c r="BG87" s="24" t="s">
        <v>244</v>
      </c>
      <c r="BH87" s="24" t="s">
        <v>244</v>
      </c>
      <c r="BI87" s="24" t="s">
        <v>244</v>
      </c>
      <c r="BJ87" s="24" t="s">
        <v>244</v>
      </c>
      <c r="BK87" s="24" t="s">
        <v>244</v>
      </c>
      <c r="BL87" s="24" t="s">
        <v>244</v>
      </c>
      <c r="BM87" s="24" t="s">
        <v>244</v>
      </c>
      <c r="BN87" s="24" t="s">
        <v>244</v>
      </c>
      <c r="BO87" s="24" t="s">
        <v>244</v>
      </c>
      <c r="BP87" s="24" t="s">
        <v>244</v>
      </c>
      <c r="BQ87" s="24" t="s">
        <v>244</v>
      </c>
      <c r="BR87" s="24" t="s">
        <v>244</v>
      </c>
      <c r="BS87" s="24" t="s">
        <v>244</v>
      </c>
      <c r="BT87" s="24" t="s">
        <v>244</v>
      </c>
      <c r="BU87" s="24" t="s">
        <v>244</v>
      </c>
      <c r="BV87" s="24" t="s">
        <v>244</v>
      </c>
      <c r="BW87" s="24" t="s">
        <v>244</v>
      </c>
      <c r="BX87" s="24" t="s">
        <v>244</v>
      </c>
      <c r="BY87" s="24" t="s">
        <v>244</v>
      </c>
      <c r="BZ87" s="24" t="s">
        <v>244</v>
      </c>
      <c r="CA87" s="24" t="s">
        <v>244</v>
      </c>
      <c r="CB87" s="24" t="s">
        <v>244</v>
      </c>
      <c r="CC87" s="24" t="s">
        <v>244</v>
      </c>
      <c r="CD87" s="24" t="s">
        <v>244</v>
      </c>
      <c r="CE87" s="25">
        <f t="shared" ref="CE87:CE94" si="15">SUM(C87:CD87)</f>
        <v>4607642</v>
      </c>
    </row>
    <row r="88" spans="1:84" x14ac:dyDescent="0.35">
      <c r="A88" s="31" t="s">
        <v>284</v>
      </c>
      <c r="B88" s="16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>
        <v>588112</v>
      </c>
      <c r="O88" s="273"/>
      <c r="P88" s="273"/>
      <c r="Q88" s="273"/>
      <c r="R88" s="273"/>
      <c r="S88" s="273">
        <v>742954</v>
      </c>
      <c r="T88" s="273"/>
      <c r="U88" s="273">
        <v>3372061</v>
      </c>
      <c r="V88" s="273">
        <v>0</v>
      </c>
      <c r="W88" s="273">
        <v>408887</v>
      </c>
      <c r="X88" s="273">
        <v>1828544</v>
      </c>
      <c r="Y88" s="273">
        <v>3529515</v>
      </c>
      <c r="Z88" s="273"/>
      <c r="AA88" s="273"/>
      <c r="AB88" s="273">
        <v>1103015</v>
      </c>
      <c r="AC88" s="273"/>
      <c r="AD88" s="273"/>
      <c r="AE88" s="273">
        <v>1231704</v>
      </c>
      <c r="AF88" s="273"/>
      <c r="AG88" s="273">
        <v>6026952</v>
      </c>
      <c r="AH88" s="273"/>
      <c r="AI88" s="273">
        <v>307628</v>
      </c>
      <c r="AJ88" s="273">
        <v>2280646</v>
      </c>
      <c r="AK88" s="273">
        <v>271574</v>
      </c>
      <c r="AL88" s="273"/>
      <c r="AM88" s="273"/>
      <c r="AN88" s="273"/>
      <c r="AO88" s="273">
        <v>390349</v>
      </c>
      <c r="AP88" s="273"/>
      <c r="AQ88" s="273"/>
      <c r="AR88" s="273"/>
      <c r="AS88" s="273"/>
      <c r="AT88" s="273"/>
      <c r="AU88" s="273"/>
      <c r="AV88" s="273"/>
      <c r="AW88" s="24" t="s">
        <v>244</v>
      </c>
      <c r="AX88" s="24" t="s">
        <v>244</v>
      </c>
      <c r="AY88" s="24" t="s">
        <v>244</v>
      </c>
      <c r="AZ88" s="24" t="s">
        <v>244</v>
      </c>
      <c r="BA88" s="24" t="s">
        <v>244</v>
      </c>
      <c r="BB88" s="24" t="s">
        <v>244</v>
      </c>
      <c r="BC88" s="24" t="s">
        <v>244</v>
      </c>
      <c r="BD88" s="24" t="s">
        <v>244</v>
      </c>
      <c r="BE88" s="24" t="s">
        <v>244</v>
      </c>
      <c r="BF88" s="24" t="s">
        <v>244</v>
      </c>
      <c r="BG88" s="24" t="s">
        <v>244</v>
      </c>
      <c r="BH88" s="24" t="s">
        <v>244</v>
      </c>
      <c r="BI88" s="24" t="s">
        <v>244</v>
      </c>
      <c r="BJ88" s="24" t="s">
        <v>244</v>
      </c>
      <c r="BK88" s="24" t="s">
        <v>244</v>
      </c>
      <c r="BL88" s="24" t="s">
        <v>244</v>
      </c>
      <c r="BM88" s="24" t="s">
        <v>244</v>
      </c>
      <c r="BN88" s="24" t="s">
        <v>244</v>
      </c>
      <c r="BO88" s="24" t="s">
        <v>244</v>
      </c>
      <c r="BP88" s="24" t="s">
        <v>244</v>
      </c>
      <c r="BQ88" s="24" t="s">
        <v>244</v>
      </c>
      <c r="BR88" s="24" t="s">
        <v>244</v>
      </c>
      <c r="BS88" s="24" t="s">
        <v>244</v>
      </c>
      <c r="BT88" s="24" t="s">
        <v>244</v>
      </c>
      <c r="BU88" s="24" t="s">
        <v>244</v>
      </c>
      <c r="BV88" s="24" t="s">
        <v>244</v>
      </c>
      <c r="BW88" s="24" t="s">
        <v>244</v>
      </c>
      <c r="BX88" s="24" t="s">
        <v>244</v>
      </c>
      <c r="BY88" s="24" t="s">
        <v>244</v>
      </c>
      <c r="BZ88" s="24" t="s">
        <v>244</v>
      </c>
      <c r="CA88" s="24" t="s">
        <v>244</v>
      </c>
      <c r="CB88" s="24" t="s">
        <v>244</v>
      </c>
      <c r="CC88" s="24" t="s">
        <v>244</v>
      </c>
      <c r="CD88" s="24" t="s">
        <v>244</v>
      </c>
      <c r="CE88" s="25">
        <f t="shared" si="15"/>
        <v>22081941</v>
      </c>
    </row>
    <row r="89" spans="1:84" x14ac:dyDescent="0.35">
      <c r="A89" s="21" t="s">
        <v>285</v>
      </c>
      <c r="B89" s="16"/>
      <c r="C89" s="25">
        <f t="shared" ref="C89:AV89" si="16">C87+C88</f>
        <v>0</v>
      </c>
      <c r="D89" s="25">
        <f t="shared" si="16"/>
        <v>0</v>
      </c>
      <c r="E89" s="25">
        <f t="shared" si="16"/>
        <v>892076</v>
      </c>
      <c r="F89" s="25">
        <f t="shared" si="16"/>
        <v>0</v>
      </c>
      <c r="G89" s="25">
        <f t="shared" si="16"/>
        <v>0</v>
      </c>
      <c r="H89" s="25">
        <f t="shared" si="16"/>
        <v>0</v>
      </c>
      <c r="I89" s="25">
        <f t="shared" si="16"/>
        <v>0</v>
      </c>
      <c r="J89" s="25">
        <f t="shared" si="16"/>
        <v>0</v>
      </c>
      <c r="K89" s="25">
        <f t="shared" si="16"/>
        <v>0</v>
      </c>
      <c r="L89" s="25">
        <f t="shared" si="16"/>
        <v>2218818</v>
      </c>
      <c r="M89" s="25">
        <f t="shared" si="16"/>
        <v>0</v>
      </c>
      <c r="N89" s="25">
        <f t="shared" si="16"/>
        <v>588112</v>
      </c>
      <c r="O89" s="25">
        <f t="shared" si="16"/>
        <v>0</v>
      </c>
      <c r="P89" s="25">
        <f t="shared" si="16"/>
        <v>0</v>
      </c>
      <c r="Q89" s="25">
        <f t="shared" si="16"/>
        <v>0</v>
      </c>
      <c r="R89" s="25">
        <f t="shared" si="16"/>
        <v>0</v>
      </c>
      <c r="S89" s="25">
        <f t="shared" si="16"/>
        <v>947969</v>
      </c>
      <c r="T89" s="25">
        <f t="shared" si="16"/>
        <v>0</v>
      </c>
      <c r="U89" s="25">
        <f t="shared" si="16"/>
        <v>3587202</v>
      </c>
      <c r="V89" s="25">
        <f t="shared" si="16"/>
        <v>0</v>
      </c>
      <c r="W89" s="25">
        <f t="shared" si="16"/>
        <v>424059</v>
      </c>
      <c r="X89" s="25">
        <f t="shared" si="16"/>
        <v>1896396</v>
      </c>
      <c r="Y89" s="25">
        <f t="shared" si="16"/>
        <v>3660483</v>
      </c>
      <c r="Z89" s="25">
        <f t="shared" si="16"/>
        <v>0</v>
      </c>
      <c r="AA89" s="25">
        <f t="shared" si="16"/>
        <v>0</v>
      </c>
      <c r="AB89" s="25">
        <f t="shared" si="16"/>
        <v>1385572</v>
      </c>
      <c r="AC89" s="25">
        <f t="shared" si="16"/>
        <v>0</v>
      </c>
      <c r="AD89" s="25">
        <f t="shared" si="16"/>
        <v>0</v>
      </c>
      <c r="AE89" s="25">
        <f t="shared" si="16"/>
        <v>1438990</v>
      </c>
      <c r="AF89" s="25">
        <f t="shared" si="16"/>
        <v>0</v>
      </c>
      <c r="AG89" s="25">
        <f t="shared" si="16"/>
        <v>6084546</v>
      </c>
      <c r="AH89" s="25">
        <f t="shared" si="16"/>
        <v>0</v>
      </c>
      <c r="AI89" s="25">
        <f t="shared" si="16"/>
        <v>307628</v>
      </c>
      <c r="AJ89" s="25">
        <f t="shared" si="16"/>
        <v>2381431</v>
      </c>
      <c r="AK89" s="25">
        <f t="shared" si="16"/>
        <v>485952</v>
      </c>
      <c r="AL89" s="25">
        <f t="shared" si="16"/>
        <v>0</v>
      </c>
      <c r="AM89" s="25">
        <f t="shared" si="16"/>
        <v>0</v>
      </c>
      <c r="AN89" s="25">
        <f t="shared" si="16"/>
        <v>0</v>
      </c>
      <c r="AO89" s="25">
        <f t="shared" si="16"/>
        <v>390349</v>
      </c>
      <c r="AP89" s="25">
        <f t="shared" si="16"/>
        <v>0</v>
      </c>
      <c r="AQ89" s="25">
        <f t="shared" si="16"/>
        <v>0</v>
      </c>
      <c r="AR89" s="25">
        <f t="shared" si="16"/>
        <v>0</v>
      </c>
      <c r="AS89" s="25">
        <f t="shared" si="16"/>
        <v>0</v>
      </c>
      <c r="AT89" s="25">
        <f t="shared" si="16"/>
        <v>0</v>
      </c>
      <c r="AU89" s="25">
        <f t="shared" si="16"/>
        <v>0</v>
      </c>
      <c r="AV89" s="25">
        <f t="shared" si="16"/>
        <v>0</v>
      </c>
      <c r="AW89" s="24" t="s">
        <v>244</v>
      </c>
      <c r="AX89" s="24" t="s">
        <v>244</v>
      </c>
      <c r="AY89" s="24" t="s">
        <v>244</v>
      </c>
      <c r="AZ89" s="24" t="s">
        <v>244</v>
      </c>
      <c r="BA89" s="24" t="s">
        <v>244</v>
      </c>
      <c r="BB89" s="24" t="s">
        <v>244</v>
      </c>
      <c r="BC89" s="24" t="s">
        <v>244</v>
      </c>
      <c r="BD89" s="24" t="s">
        <v>244</v>
      </c>
      <c r="BE89" s="24" t="s">
        <v>244</v>
      </c>
      <c r="BF89" s="24" t="s">
        <v>244</v>
      </c>
      <c r="BG89" s="24" t="s">
        <v>244</v>
      </c>
      <c r="BH89" s="24" t="s">
        <v>244</v>
      </c>
      <c r="BI89" s="24" t="s">
        <v>244</v>
      </c>
      <c r="BJ89" s="24" t="s">
        <v>244</v>
      </c>
      <c r="BK89" s="24" t="s">
        <v>244</v>
      </c>
      <c r="BL89" s="24" t="s">
        <v>244</v>
      </c>
      <c r="BM89" s="24" t="s">
        <v>244</v>
      </c>
      <c r="BN89" s="24" t="s">
        <v>244</v>
      </c>
      <c r="BO89" s="24" t="s">
        <v>244</v>
      </c>
      <c r="BP89" s="24" t="s">
        <v>244</v>
      </c>
      <c r="BQ89" s="24" t="s">
        <v>244</v>
      </c>
      <c r="BR89" s="24" t="s">
        <v>244</v>
      </c>
      <c r="BS89" s="24" t="s">
        <v>244</v>
      </c>
      <c r="BT89" s="24" t="s">
        <v>244</v>
      </c>
      <c r="BU89" s="24" t="s">
        <v>244</v>
      </c>
      <c r="BV89" s="24" t="s">
        <v>244</v>
      </c>
      <c r="BW89" s="24" t="s">
        <v>244</v>
      </c>
      <c r="BX89" s="24" t="s">
        <v>244</v>
      </c>
      <c r="BY89" s="24" t="s">
        <v>244</v>
      </c>
      <c r="BZ89" s="24" t="s">
        <v>244</v>
      </c>
      <c r="CA89" s="24" t="s">
        <v>244</v>
      </c>
      <c r="CB89" s="24" t="s">
        <v>244</v>
      </c>
      <c r="CC89" s="24" t="s">
        <v>244</v>
      </c>
      <c r="CD89" s="24" t="s">
        <v>244</v>
      </c>
      <c r="CE89" s="25">
        <f t="shared" si="15"/>
        <v>26689583</v>
      </c>
    </row>
    <row r="90" spans="1:84" x14ac:dyDescent="0.35">
      <c r="A90" s="31" t="s">
        <v>286</v>
      </c>
      <c r="B90" s="25"/>
      <c r="C90" s="273"/>
      <c r="D90" s="273"/>
      <c r="E90" s="273">
        <v>454</v>
      </c>
      <c r="F90" s="273"/>
      <c r="G90" s="273"/>
      <c r="H90" s="273"/>
      <c r="I90" s="273"/>
      <c r="J90" s="273"/>
      <c r="K90" s="273"/>
      <c r="L90" s="273">
        <v>6031</v>
      </c>
      <c r="M90" s="273"/>
      <c r="N90" s="273">
        <v>10387</v>
      </c>
      <c r="O90" s="273"/>
      <c r="P90" s="273"/>
      <c r="Q90" s="273"/>
      <c r="R90" s="273"/>
      <c r="S90" s="273">
        <v>806</v>
      </c>
      <c r="T90" s="273"/>
      <c r="U90" s="273">
        <v>933</v>
      </c>
      <c r="V90" s="273"/>
      <c r="W90" s="273">
        <v>62.68</v>
      </c>
      <c r="X90" s="273">
        <v>280.29000000000002</v>
      </c>
      <c r="Y90" s="273">
        <v>541</v>
      </c>
      <c r="Z90" s="273"/>
      <c r="AA90" s="273"/>
      <c r="AB90" s="273">
        <v>100</v>
      </c>
      <c r="AC90" s="273"/>
      <c r="AD90" s="273"/>
      <c r="AE90" s="273">
        <v>1888</v>
      </c>
      <c r="AF90" s="273"/>
      <c r="AG90" s="273">
        <v>997</v>
      </c>
      <c r="AH90" s="273"/>
      <c r="AI90" s="273">
        <v>379</v>
      </c>
      <c r="AJ90" s="273">
        <v>1898</v>
      </c>
      <c r="AK90" s="273"/>
      <c r="AL90" s="273"/>
      <c r="AM90" s="273"/>
      <c r="AN90" s="273"/>
      <c r="AO90" s="273">
        <v>168</v>
      </c>
      <c r="AP90" s="273"/>
      <c r="AQ90" s="273"/>
      <c r="AR90" s="273"/>
      <c r="AS90" s="273"/>
      <c r="AT90" s="273"/>
      <c r="AU90" s="273"/>
      <c r="AV90" s="273"/>
      <c r="AW90" s="273"/>
      <c r="AX90" s="273"/>
      <c r="AY90" s="273">
        <v>948</v>
      </c>
      <c r="AZ90" s="273"/>
      <c r="BA90" s="273"/>
      <c r="BB90" s="273"/>
      <c r="BC90" s="273"/>
      <c r="BD90" s="273"/>
      <c r="BE90" s="273">
        <v>1078</v>
      </c>
      <c r="BF90" s="273">
        <v>732</v>
      </c>
      <c r="BG90" s="273"/>
      <c r="BH90" s="273"/>
      <c r="BI90" s="273"/>
      <c r="BJ90" s="273"/>
      <c r="BK90" s="273"/>
      <c r="BL90" s="273"/>
      <c r="BM90" s="273"/>
      <c r="BN90" s="273">
        <v>2348</v>
      </c>
      <c r="BO90" s="273"/>
      <c r="BP90" s="273"/>
      <c r="BQ90" s="273"/>
      <c r="BR90" s="273">
        <v>404</v>
      </c>
      <c r="BS90" s="273"/>
      <c r="BT90" s="273"/>
      <c r="BU90" s="273"/>
      <c r="BV90" s="273">
        <v>770</v>
      </c>
      <c r="BW90" s="273"/>
      <c r="BX90" s="273"/>
      <c r="BY90" s="273">
        <v>305</v>
      </c>
      <c r="BZ90" s="273"/>
      <c r="CA90" s="273"/>
      <c r="CB90" s="273"/>
      <c r="CC90" s="273"/>
      <c r="CD90" s="224" t="s">
        <v>244</v>
      </c>
      <c r="CE90" s="25">
        <f t="shared" si="15"/>
        <v>31509.97</v>
      </c>
      <c r="CF90" s="25">
        <f>BE59-CE90</f>
        <v>2.9999999998835847E-2</v>
      </c>
    </row>
    <row r="91" spans="1:84" x14ac:dyDescent="0.35">
      <c r="A91" s="21" t="s">
        <v>287</v>
      </c>
      <c r="B91" s="16"/>
      <c r="C91" s="273"/>
      <c r="D91" s="273"/>
      <c r="E91" s="273">
        <v>922</v>
      </c>
      <c r="F91" s="273"/>
      <c r="G91" s="273"/>
      <c r="H91" s="273"/>
      <c r="I91" s="273"/>
      <c r="J91" s="273"/>
      <c r="K91" s="273"/>
      <c r="L91" s="273">
        <v>12230</v>
      </c>
      <c r="M91" s="273"/>
      <c r="N91" s="273">
        <v>11108</v>
      </c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>
        <v>339.98</v>
      </c>
      <c r="AP91" s="273"/>
      <c r="AQ91" s="273"/>
      <c r="AR91" s="273"/>
      <c r="AS91" s="273"/>
      <c r="AT91" s="273"/>
      <c r="AU91" s="273"/>
      <c r="AV91" s="273"/>
      <c r="AW91" s="273"/>
      <c r="AX91" s="264" t="s">
        <v>244</v>
      </c>
      <c r="AY91" s="264" t="s">
        <v>244</v>
      </c>
      <c r="AZ91" s="273">
        <f>AZ59</f>
        <v>0</v>
      </c>
      <c r="BA91" s="273"/>
      <c r="BB91" s="273"/>
      <c r="BC91" s="273"/>
      <c r="BD91" s="24" t="s">
        <v>244</v>
      </c>
      <c r="BE91" s="24" t="s">
        <v>244</v>
      </c>
      <c r="BF91" s="273"/>
      <c r="BG91" s="24" t="s">
        <v>244</v>
      </c>
      <c r="BH91" s="273"/>
      <c r="BI91" s="273"/>
      <c r="BJ91" s="24" t="s">
        <v>244</v>
      </c>
      <c r="BK91" s="273"/>
      <c r="BL91" s="273"/>
      <c r="BM91" s="273"/>
      <c r="BN91" s="24" t="s">
        <v>244</v>
      </c>
      <c r="BO91" s="24" t="s">
        <v>244</v>
      </c>
      <c r="BP91" s="24" t="s">
        <v>244</v>
      </c>
      <c r="BQ91" s="24" t="s">
        <v>244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244</v>
      </c>
      <c r="CD91" s="24" t="s">
        <v>244</v>
      </c>
      <c r="CE91" s="25">
        <f t="shared" si="15"/>
        <v>24599.98</v>
      </c>
      <c r="CF91" s="25">
        <f>AY59-CE91</f>
        <v>2.0000000000436557E-2</v>
      </c>
    </row>
    <row r="92" spans="1:84" x14ac:dyDescent="0.35">
      <c r="A92" s="21" t="s">
        <v>288</v>
      </c>
      <c r="B92" s="16"/>
      <c r="C92" s="273"/>
      <c r="D92" s="273"/>
      <c r="E92" s="273">
        <v>192</v>
      </c>
      <c r="F92" s="273"/>
      <c r="G92" s="273"/>
      <c r="H92" s="273"/>
      <c r="I92" s="273"/>
      <c r="J92" s="273"/>
      <c r="K92" s="273"/>
      <c r="L92" s="273">
        <v>2548</v>
      </c>
      <c r="M92" s="273"/>
      <c r="N92" s="273">
        <v>4388</v>
      </c>
      <c r="O92" s="273"/>
      <c r="P92" s="273"/>
      <c r="Q92" s="273"/>
      <c r="R92" s="273"/>
      <c r="S92" s="273">
        <v>341</v>
      </c>
      <c r="T92" s="273"/>
      <c r="U92" s="273">
        <v>394</v>
      </c>
      <c r="V92" s="273"/>
      <c r="W92" s="273">
        <v>26.41</v>
      </c>
      <c r="X92" s="273">
        <v>118.53</v>
      </c>
      <c r="Y92" s="273">
        <v>228</v>
      </c>
      <c r="Z92" s="273"/>
      <c r="AA92" s="273"/>
      <c r="AB92" s="273">
        <v>42</v>
      </c>
      <c r="AC92" s="273"/>
      <c r="AD92" s="273"/>
      <c r="AE92" s="273">
        <v>798</v>
      </c>
      <c r="AF92" s="273"/>
      <c r="AG92" s="273">
        <v>421</v>
      </c>
      <c r="AH92" s="273"/>
      <c r="AI92" s="273">
        <v>160</v>
      </c>
      <c r="AJ92" s="273">
        <v>802</v>
      </c>
      <c r="AK92" s="273"/>
      <c r="AL92" s="273"/>
      <c r="AM92" s="273"/>
      <c r="AN92" s="273"/>
      <c r="AO92" s="273">
        <v>71</v>
      </c>
      <c r="AP92" s="273"/>
      <c r="AQ92" s="273"/>
      <c r="AR92" s="273"/>
      <c r="AS92" s="273"/>
      <c r="AT92" s="273"/>
      <c r="AU92" s="273"/>
      <c r="AV92" s="273"/>
      <c r="AW92" s="273"/>
      <c r="AX92" s="264" t="s">
        <v>244</v>
      </c>
      <c r="AY92" s="264" t="s">
        <v>244</v>
      </c>
      <c r="AZ92" s="24" t="s">
        <v>244</v>
      </c>
      <c r="BA92" s="273"/>
      <c r="BB92" s="273"/>
      <c r="BC92" s="273"/>
      <c r="BD92" s="24" t="s">
        <v>244</v>
      </c>
      <c r="BE92" s="24" t="s">
        <v>244</v>
      </c>
      <c r="BF92" s="24" t="s">
        <v>244</v>
      </c>
      <c r="BG92" s="24" t="s">
        <v>244</v>
      </c>
      <c r="BH92" s="273"/>
      <c r="BI92" s="273"/>
      <c r="BJ92" s="24" t="s">
        <v>244</v>
      </c>
      <c r="BK92" s="273"/>
      <c r="BL92" s="273"/>
      <c r="BM92" s="273"/>
      <c r="BN92" s="24" t="s">
        <v>244</v>
      </c>
      <c r="BO92" s="24" t="s">
        <v>244</v>
      </c>
      <c r="BP92" s="24" t="s">
        <v>244</v>
      </c>
      <c r="BQ92" s="24" t="s">
        <v>244</v>
      </c>
      <c r="BR92" s="24" t="s">
        <v>244</v>
      </c>
      <c r="BS92" s="273"/>
      <c r="BT92" s="273"/>
      <c r="BU92" s="273"/>
      <c r="BV92" s="273">
        <v>325</v>
      </c>
      <c r="BW92" s="273"/>
      <c r="BX92" s="273"/>
      <c r="BY92" s="273">
        <v>129</v>
      </c>
      <c r="BZ92" s="273"/>
      <c r="CA92" s="273"/>
      <c r="CB92" s="273"/>
      <c r="CC92" s="24" t="s">
        <v>244</v>
      </c>
      <c r="CD92" s="24" t="s">
        <v>244</v>
      </c>
      <c r="CE92" s="25">
        <f t="shared" si="15"/>
        <v>10983.939999999999</v>
      </c>
      <c r="CF92" s="16"/>
    </row>
    <row r="93" spans="1:84" x14ac:dyDescent="0.35">
      <c r="A93" s="21" t="s">
        <v>289</v>
      </c>
      <c r="B93" s="16"/>
      <c r="C93" s="273"/>
      <c r="D93" s="273"/>
      <c r="E93" s="273">
        <v>2411</v>
      </c>
      <c r="F93" s="273"/>
      <c r="G93" s="273"/>
      <c r="H93" s="273"/>
      <c r="I93" s="273"/>
      <c r="J93" s="273"/>
      <c r="K93" s="273"/>
      <c r="L93" s="273">
        <v>31997</v>
      </c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>
        <v>303.11</v>
      </c>
      <c r="X93" s="273">
        <v>1356</v>
      </c>
      <c r="Y93" s="273">
        <v>2616.41</v>
      </c>
      <c r="Z93" s="273"/>
      <c r="AA93" s="273"/>
      <c r="AB93" s="273"/>
      <c r="AC93" s="273"/>
      <c r="AD93" s="273"/>
      <c r="AE93" s="273">
        <v>3105</v>
      </c>
      <c r="AF93" s="273"/>
      <c r="AG93" s="273">
        <v>13451</v>
      </c>
      <c r="AH93" s="273"/>
      <c r="AI93" s="273">
        <v>395</v>
      </c>
      <c r="AJ93" s="273">
        <v>23</v>
      </c>
      <c r="AK93" s="273"/>
      <c r="AL93" s="273"/>
      <c r="AM93" s="273"/>
      <c r="AN93" s="273"/>
      <c r="AO93" s="273">
        <v>889.45</v>
      </c>
      <c r="AP93" s="273"/>
      <c r="AQ93" s="273"/>
      <c r="AR93" s="273"/>
      <c r="AS93" s="273"/>
      <c r="AT93" s="273"/>
      <c r="AU93" s="273"/>
      <c r="AV93" s="273"/>
      <c r="AW93" s="273"/>
      <c r="AX93" s="264" t="s">
        <v>244</v>
      </c>
      <c r="AY93" s="264" t="s">
        <v>244</v>
      </c>
      <c r="AZ93" s="24" t="s">
        <v>244</v>
      </c>
      <c r="BA93" s="24" t="s">
        <v>244</v>
      </c>
      <c r="BB93" s="273"/>
      <c r="BC93" s="273"/>
      <c r="BD93" s="24" t="s">
        <v>244</v>
      </c>
      <c r="BE93" s="24" t="s">
        <v>244</v>
      </c>
      <c r="BF93" s="24" t="s">
        <v>244</v>
      </c>
      <c r="BG93" s="24" t="s">
        <v>244</v>
      </c>
      <c r="BH93" s="273"/>
      <c r="BI93" s="273"/>
      <c r="BJ93" s="24" t="s">
        <v>244</v>
      </c>
      <c r="BK93" s="273"/>
      <c r="BL93" s="273"/>
      <c r="BM93" s="273"/>
      <c r="BN93" s="24" t="s">
        <v>244</v>
      </c>
      <c r="BO93" s="24" t="s">
        <v>244</v>
      </c>
      <c r="BP93" s="24" t="s">
        <v>244</v>
      </c>
      <c r="BQ93" s="24" t="s">
        <v>244</v>
      </c>
      <c r="BR93" s="24" t="s">
        <v>244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244</v>
      </c>
      <c r="CD93" s="24" t="s">
        <v>244</v>
      </c>
      <c r="CE93" s="25">
        <f t="shared" si="15"/>
        <v>56546.97</v>
      </c>
      <c r="CF93" s="25">
        <f>BA59</f>
        <v>0</v>
      </c>
    </row>
    <row r="94" spans="1:84" x14ac:dyDescent="0.35">
      <c r="A94" s="21" t="s">
        <v>290</v>
      </c>
      <c r="B94" s="16"/>
      <c r="C94" s="277"/>
      <c r="D94" s="277"/>
      <c r="E94" s="277">
        <v>2.25</v>
      </c>
      <c r="F94" s="277"/>
      <c r="G94" s="277"/>
      <c r="H94" s="277"/>
      <c r="I94" s="277"/>
      <c r="J94" s="277"/>
      <c r="K94" s="277"/>
      <c r="L94" s="277">
        <v>29.8</v>
      </c>
      <c r="M94" s="277"/>
      <c r="N94" s="277"/>
      <c r="O94" s="277"/>
      <c r="P94" s="274"/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>
        <v>0.83</v>
      </c>
      <c r="AP94" s="274"/>
      <c r="AQ94" s="274"/>
      <c r="AR94" s="274"/>
      <c r="AS94" s="274"/>
      <c r="AT94" s="274"/>
      <c r="AU94" s="274"/>
      <c r="AV94" s="278"/>
      <c r="AW94" s="264" t="s">
        <v>244</v>
      </c>
      <c r="AX94" s="264" t="s">
        <v>244</v>
      </c>
      <c r="AY94" s="264" t="s">
        <v>244</v>
      </c>
      <c r="AZ94" s="24" t="s">
        <v>244</v>
      </c>
      <c r="BA94" s="24" t="s">
        <v>244</v>
      </c>
      <c r="BB94" s="24" t="s">
        <v>244</v>
      </c>
      <c r="BC94" s="24" t="s">
        <v>244</v>
      </c>
      <c r="BD94" s="24" t="s">
        <v>244</v>
      </c>
      <c r="BE94" s="24" t="s">
        <v>244</v>
      </c>
      <c r="BF94" s="24" t="s">
        <v>244</v>
      </c>
      <c r="BG94" s="24" t="s">
        <v>244</v>
      </c>
      <c r="BH94" s="24" t="s">
        <v>244</v>
      </c>
      <c r="BI94" s="24" t="s">
        <v>244</v>
      </c>
      <c r="BJ94" s="24" t="s">
        <v>244</v>
      </c>
      <c r="BK94" s="24" t="s">
        <v>244</v>
      </c>
      <c r="BL94" s="24" t="s">
        <v>244</v>
      </c>
      <c r="BM94" s="24" t="s">
        <v>244</v>
      </c>
      <c r="BN94" s="24" t="s">
        <v>244</v>
      </c>
      <c r="BO94" s="24" t="s">
        <v>244</v>
      </c>
      <c r="BP94" s="24" t="s">
        <v>244</v>
      </c>
      <c r="BQ94" s="24" t="s">
        <v>244</v>
      </c>
      <c r="BR94" s="24" t="s">
        <v>244</v>
      </c>
      <c r="BS94" s="24" t="s">
        <v>244</v>
      </c>
      <c r="BT94" s="24" t="s">
        <v>244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244</v>
      </c>
      <c r="CD94" s="24" t="s">
        <v>244</v>
      </c>
      <c r="CE94" s="226">
        <f t="shared" si="15"/>
        <v>32.879999999999995</v>
      </c>
      <c r="CF94" s="29"/>
    </row>
    <row r="95" spans="1:84" x14ac:dyDescent="0.35">
      <c r="A95" s="30" t="s">
        <v>291</v>
      </c>
      <c r="B95" s="30"/>
      <c r="C95" s="30"/>
      <c r="D95" s="30"/>
      <c r="E95" s="30"/>
    </row>
    <row r="96" spans="1:84" x14ac:dyDescent="0.35">
      <c r="A96" s="31" t="s">
        <v>292</v>
      </c>
      <c r="B96" s="32"/>
      <c r="C96" s="312" t="s">
        <v>1349</v>
      </c>
      <c r="D96" s="283" t="s">
        <v>3</v>
      </c>
      <c r="E96" s="284" t="s">
        <v>3</v>
      </c>
      <c r="F96" s="12"/>
    </row>
    <row r="97" spans="1:6" x14ac:dyDescent="0.35">
      <c r="A97" s="25" t="s">
        <v>293</v>
      </c>
      <c r="B97" s="32" t="s">
        <v>294</v>
      </c>
      <c r="C97" s="313" t="s">
        <v>1350</v>
      </c>
      <c r="D97" s="283" t="s">
        <v>3</v>
      </c>
      <c r="E97" s="284" t="s">
        <v>3</v>
      </c>
      <c r="F97" s="12"/>
    </row>
    <row r="98" spans="1:6" x14ac:dyDescent="0.35">
      <c r="A98" s="25" t="s">
        <v>295</v>
      </c>
      <c r="B98" s="32" t="s">
        <v>294</v>
      </c>
      <c r="C98" s="314" t="s">
        <v>1351</v>
      </c>
      <c r="D98" s="283" t="s">
        <v>3</v>
      </c>
      <c r="E98" s="284" t="s">
        <v>3</v>
      </c>
      <c r="F98" s="12"/>
    </row>
    <row r="99" spans="1:6" x14ac:dyDescent="0.35">
      <c r="A99" s="25" t="s">
        <v>296</v>
      </c>
      <c r="B99" s="32" t="s">
        <v>294</v>
      </c>
      <c r="C99" s="315" t="s">
        <v>1352</v>
      </c>
      <c r="D99" s="283" t="s">
        <v>3</v>
      </c>
      <c r="E99" s="284" t="s">
        <v>3</v>
      </c>
      <c r="F99" s="12"/>
    </row>
    <row r="100" spans="1:6" x14ac:dyDescent="0.35">
      <c r="A100" s="25" t="s">
        <v>297</v>
      </c>
      <c r="B100" s="32" t="s">
        <v>294</v>
      </c>
      <c r="C100" s="315" t="s">
        <v>1353</v>
      </c>
      <c r="D100" s="283" t="s">
        <v>3</v>
      </c>
      <c r="E100" s="284" t="s">
        <v>3</v>
      </c>
      <c r="F100" s="12"/>
    </row>
    <row r="101" spans="1:6" x14ac:dyDescent="0.35">
      <c r="A101" s="25" t="s">
        <v>298</v>
      </c>
      <c r="B101" s="32" t="s">
        <v>294</v>
      </c>
      <c r="C101" s="314" t="s">
        <v>1354</v>
      </c>
      <c r="D101" s="283" t="s">
        <v>3</v>
      </c>
      <c r="E101" s="284" t="s">
        <v>3</v>
      </c>
      <c r="F101" s="12"/>
    </row>
    <row r="102" spans="1:6" x14ac:dyDescent="0.35">
      <c r="A102" s="25" t="s">
        <v>299</v>
      </c>
      <c r="B102" s="32" t="s">
        <v>294</v>
      </c>
      <c r="C102" s="314">
        <v>99166</v>
      </c>
      <c r="D102" s="283" t="s">
        <v>3</v>
      </c>
      <c r="E102" s="284" t="s">
        <v>3</v>
      </c>
      <c r="F102" s="12"/>
    </row>
    <row r="103" spans="1:6" x14ac:dyDescent="0.35">
      <c r="A103" s="25" t="s">
        <v>300</v>
      </c>
      <c r="B103" s="32" t="s">
        <v>294</v>
      </c>
      <c r="C103" s="316" t="s">
        <v>1355</v>
      </c>
      <c r="D103" s="283" t="s">
        <v>3</v>
      </c>
      <c r="E103" s="284" t="s">
        <v>3</v>
      </c>
      <c r="F103" s="12"/>
    </row>
    <row r="104" spans="1:6" x14ac:dyDescent="0.35">
      <c r="A104" s="25" t="s">
        <v>301</v>
      </c>
      <c r="B104" s="32" t="s">
        <v>294</v>
      </c>
      <c r="C104" s="314" t="s">
        <v>1356</v>
      </c>
      <c r="D104" s="283" t="s">
        <v>3</v>
      </c>
      <c r="E104" s="284" t="s">
        <v>3</v>
      </c>
      <c r="F104" s="12"/>
    </row>
    <row r="105" spans="1:6" x14ac:dyDescent="0.35">
      <c r="A105" s="25" t="s">
        <v>302</v>
      </c>
      <c r="B105" s="32" t="s">
        <v>294</v>
      </c>
      <c r="C105" s="314" t="s">
        <v>1357</v>
      </c>
      <c r="D105" s="283" t="s">
        <v>3</v>
      </c>
      <c r="E105" s="284" t="s">
        <v>3</v>
      </c>
      <c r="F105" s="12"/>
    </row>
    <row r="106" spans="1:6" x14ac:dyDescent="0.35">
      <c r="A106" s="25" t="s">
        <v>303</v>
      </c>
      <c r="B106" s="32" t="s">
        <v>294</v>
      </c>
      <c r="C106" s="314" t="s">
        <v>1358</v>
      </c>
      <c r="D106" s="283" t="s">
        <v>3</v>
      </c>
      <c r="E106" s="284" t="s">
        <v>3</v>
      </c>
      <c r="F106" s="12"/>
    </row>
    <row r="107" spans="1:6" x14ac:dyDescent="0.35">
      <c r="A107" s="25" t="s">
        <v>304</v>
      </c>
      <c r="B107" s="32" t="s">
        <v>294</v>
      </c>
      <c r="C107" s="317" t="s">
        <v>1359</v>
      </c>
      <c r="D107" s="283" t="s">
        <v>3</v>
      </c>
      <c r="E107" s="284" t="s">
        <v>3</v>
      </c>
      <c r="F107" s="12"/>
    </row>
    <row r="108" spans="1:6" x14ac:dyDescent="0.35">
      <c r="A108" s="25" t="s">
        <v>305</v>
      </c>
      <c r="B108" s="32" t="s">
        <v>294</v>
      </c>
      <c r="C108" s="286"/>
      <c r="D108" s="283" t="s">
        <v>3</v>
      </c>
      <c r="E108" s="284" t="s">
        <v>3</v>
      </c>
      <c r="F108" s="12"/>
    </row>
    <row r="109" spans="1:6" x14ac:dyDescent="0.35">
      <c r="A109" s="33" t="s">
        <v>306</v>
      </c>
      <c r="B109" s="32" t="s">
        <v>294</v>
      </c>
      <c r="C109" s="285" t="s">
        <v>1360</v>
      </c>
      <c r="D109" s="283" t="s">
        <v>3</v>
      </c>
      <c r="E109" s="284" t="s">
        <v>3</v>
      </c>
      <c r="F109" s="12"/>
    </row>
    <row r="110" spans="1:6" x14ac:dyDescent="0.35">
      <c r="A110" s="33" t="s">
        <v>307</v>
      </c>
      <c r="B110" s="32" t="s">
        <v>294</v>
      </c>
      <c r="C110" s="285" t="s">
        <v>1361</v>
      </c>
      <c r="D110" s="283" t="s">
        <v>3</v>
      </c>
      <c r="E110" s="284" t="s">
        <v>3</v>
      </c>
      <c r="F110" s="12"/>
    </row>
    <row r="111" spans="1:6" x14ac:dyDescent="0.35">
      <c r="A111" s="30" t="s">
        <v>308</v>
      </c>
      <c r="B111" s="30"/>
      <c r="C111" s="30"/>
      <c r="D111" s="30"/>
      <c r="E111" s="30"/>
    </row>
    <row r="112" spans="1:6" x14ac:dyDescent="0.35">
      <c r="A112" s="34" t="s">
        <v>309</v>
      </c>
      <c r="B112" s="34"/>
      <c r="C112" s="34"/>
      <c r="D112" s="34"/>
      <c r="E112" s="34"/>
    </row>
    <row r="113" spans="1:5" x14ac:dyDescent="0.35">
      <c r="A113" s="16" t="s">
        <v>298</v>
      </c>
      <c r="B113" s="35" t="s">
        <v>294</v>
      </c>
      <c r="C113" s="287"/>
      <c r="D113" s="16"/>
      <c r="E113" s="16"/>
    </row>
    <row r="114" spans="1:5" x14ac:dyDescent="0.35">
      <c r="A114" s="16" t="s">
        <v>300</v>
      </c>
      <c r="B114" s="35" t="s">
        <v>294</v>
      </c>
      <c r="C114" s="287"/>
      <c r="D114" s="16"/>
      <c r="E114" s="16"/>
    </row>
    <row r="115" spans="1:5" x14ac:dyDescent="0.35">
      <c r="A115" s="16" t="s">
        <v>310</v>
      </c>
      <c r="B115" s="35" t="s">
        <v>294</v>
      </c>
      <c r="C115" s="287">
        <v>1</v>
      </c>
      <c r="D115" s="16"/>
      <c r="E115" s="16"/>
    </row>
    <row r="116" spans="1:5" x14ac:dyDescent="0.35">
      <c r="A116" s="34" t="s">
        <v>311</v>
      </c>
      <c r="B116" s="34"/>
      <c r="C116" s="34"/>
      <c r="D116" s="34"/>
      <c r="E116" s="34"/>
    </row>
    <row r="117" spans="1:5" x14ac:dyDescent="0.35">
      <c r="A117" s="16" t="s">
        <v>312</v>
      </c>
      <c r="B117" s="35" t="s">
        <v>294</v>
      </c>
      <c r="C117" s="287"/>
      <c r="D117" s="16"/>
      <c r="E117" s="16"/>
    </row>
    <row r="118" spans="1:5" x14ac:dyDescent="0.35">
      <c r="A118" s="16" t="s">
        <v>155</v>
      </c>
      <c r="B118" s="35" t="s">
        <v>294</v>
      </c>
      <c r="C118" s="288"/>
      <c r="D118" s="16"/>
      <c r="E118" s="16"/>
    </row>
    <row r="119" spans="1:5" x14ac:dyDescent="0.35">
      <c r="A119" s="34" t="s">
        <v>313</v>
      </c>
      <c r="B119" s="34"/>
      <c r="C119" s="34"/>
      <c r="D119" s="34"/>
      <c r="E119" s="34"/>
    </row>
    <row r="120" spans="1:5" x14ac:dyDescent="0.35">
      <c r="A120" s="16" t="s">
        <v>314</v>
      </c>
      <c r="B120" s="35" t="s">
        <v>294</v>
      </c>
      <c r="C120" s="287"/>
      <c r="D120" s="16"/>
      <c r="E120" s="16"/>
    </row>
    <row r="121" spans="1:5" x14ac:dyDescent="0.35">
      <c r="A121" s="16" t="s">
        <v>315</v>
      </c>
      <c r="B121" s="35" t="s">
        <v>294</v>
      </c>
      <c r="C121" s="287"/>
      <c r="D121" s="16"/>
      <c r="E121" s="16"/>
    </row>
    <row r="122" spans="1:5" x14ac:dyDescent="0.35">
      <c r="A122" s="16" t="s">
        <v>316</v>
      </c>
      <c r="B122" s="35" t="s">
        <v>294</v>
      </c>
      <c r="C122" s="287"/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317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318</v>
      </c>
      <c r="B126" s="16"/>
      <c r="C126" s="17" t="s">
        <v>319</v>
      </c>
      <c r="D126" s="18" t="s">
        <v>238</v>
      </c>
      <c r="E126" s="16"/>
    </row>
    <row r="127" spans="1:5" x14ac:dyDescent="0.35">
      <c r="A127" s="16" t="s">
        <v>320</v>
      </c>
      <c r="B127" s="35" t="s">
        <v>294</v>
      </c>
      <c r="C127" s="289">
        <v>83</v>
      </c>
      <c r="D127" s="290">
        <v>309</v>
      </c>
      <c r="E127" s="16"/>
    </row>
    <row r="128" spans="1:5" x14ac:dyDescent="0.35">
      <c r="A128" s="16" t="s">
        <v>321</v>
      </c>
      <c r="B128" s="35" t="s">
        <v>294</v>
      </c>
      <c r="C128" s="289">
        <v>47</v>
      </c>
      <c r="D128" s="290">
        <v>4101</v>
      </c>
      <c r="E128" s="16"/>
    </row>
    <row r="129" spans="1:5" x14ac:dyDescent="0.35">
      <c r="A129" s="16" t="s">
        <v>322</v>
      </c>
      <c r="B129" s="35" t="s">
        <v>294</v>
      </c>
      <c r="C129" s="287"/>
      <c r="D129" s="290"/>
      <c r="E129" s="16"/>
    </row>
    <row r="130" spans="1:5" x14ac:dyDescent="0.35">
      <c r="A130" s="16" t="s">
        <v>323</v>
      </c>
      <c r="B130" s="35" t="s">
        <v>294</v>
      </c>
      <c r="C130" s="287"/>
      <c r="D130" s="290"/>
      <c r="E130" s="16"/>
    </row>
    <row r="131" spans="1:5" x14ac:dyDescent="0.35">
      <c r="A131" s="21" t="s">
        <v>324</v>
      </c>
      <c r="B131" s="16"/>
      <c r="C131" s="17" t="s">
        <v>190</v>
      </c>
      <c r="D131" s="16"/>
      <c r="E131" s="16"/>
    </row>
    <row r="132" spans="1:5" x14ac:dyDescent="0.35">
      <c r="A132" s="16" t="s">
        <v>325</v>
      </c>
      <c r="B132" s="35" t="s">
        <v>294</v>
      </c>
      <c r="C132" s="287"/>
      <c r="D132" s="16"/>
      <c r="E132" s="16"/>
    </row>
    <row r="133" spans="1:5" x14ac:dyDescent="0.35">
      <c r="A133" s="16" t="s">
        <v>326</v>
      </c>
      <c r="B133" s="35" t="s">
        <v>294</v>
      </c>
      <c r="C133" s="287"/>
      <c r="D133" s="16"/>
      <c r="E133" s="16"/>
    </row>
    <row r="134" spans="1:5" x14ac:dyDescent="0.35">
      <c r="A134" s="16" t="s">
        <v>327</v>
      </c>
      <c r="B134" s="35" t="s">
        <v>294</v>
      </c>
      <c r="C134" s="291">
        <v>25</v>
      </c>
      <c r="D134" s="16"/>
      <c r="E134" s="16"/>
    </row>
    <row r="135" spans="1:5" x14ac:dyDescent="0.35">
      <c r="A135" s="16" t="s">
        <v>328</v>
      </c>
      <c r="B135" s="35" t="s">
        <v>294</v>
      </c>
      <c r="C135" s="287"/>
      <c r="D135" s="16"/>
      <c r="E135" s="16"/>
    </row>
    <row r="136" spans="1:5" x14ac:dyDescent="0.35">
      <c r="A136" s="16" t="s">
        <v>329</v>
      </c>
      <c r="B136" s="35" t="s">
        <v>294</v>
      </c>
      <c r="C136" s="287"/>
      <c r="D136" s="16"/>
      <c r="E136" s="16"/>
    </row>
    <row r="137" spans="1:5" x14ac:dyDescent="0.35">
      <c r="A137" s="16" t="s">
        <v>330</v>
      </c>
      <c r="B137" s="35" t="s">
        <v>294</v>
      </c>
      <c r="C137" s="287"/>
      <c r="D137" s="16"/>
      <c r="E137" s="16"/>
    </row>
    <row r="138" spans="1:5" x14ac:dyDescent="0.35">
      <c r="A138" s="16" t="s">
        <v>119</v>
      </c>
      <c r="B138" s="35" t="s">
        <v>294</v>
      </c>
      <c r="C138" s="287"/>
      <c r="D138" s="16"/>
      <c r="E138" s="16"/>
    </row>
    <row r="139" spans="1:5" x14ac:dyDescent="0.35">
      <c r="A139" s="16" t="s">
        <v>331</v>
      </c>
      <c r="B139" s="35" t="s">
        <v>294</v>
      </c>
      <c r="C139" s="289"/>
      <c r="D139" s="16"/>
      <c r="E139" s="16"/>
    </row>
    <row r="140" spans="1:5" x14ac:dyDescent="0.35">
      <c r="A140" s="16" t="s">
        <v>332</v>
      </c>
      <c r="B140" s="35"/>
      <c r="C140" s="287"/>
      <c r="D140" s="16"/>
      <c r="E140" s="16"/>
    </row>
    <row r="141" spans="1:5" x14ac:dyDescent="0.35">
      <c r="A141" s="16" t="s">
        <v>322</v>
      </c>
      <c r="B141" s="35" t="s">
        <v>294</v>
      </c>
      <c r="C141" s="287"/>
      <c r="D141" s="16"/>
      <c r="E141" s="16"/>
    </row>
    <row r="142" spans="1:5" x14ac:dyDescent="0.35">
      <c r="A142" s="16" t="s">
        <v>333</v>
      </c>
      <c r="B142" s="35" t="s">
        <v>294</v>
      </c>
      <c r="C142" s="287"/>
      <c r="D142" s="16"/>
      <c r="E142" s="16"/>
    </row>
    <row r="143" spans="1:5" x14ac:dyDescent="0.35">
      <c r="A143" s="16" t="s">
        <v>334</v>
      </c>
      <c r="B143" s="16"/>
      <c r="C143" s="22"/>
      <c r="D143" s="16"/>
      <c r="E143" s="25">
        <f>SUM(C132:C142)</f>
        <v>25</v>
      </c>
    </row>
    <row r="144" spans="1:5" x14ac:dyDescent="0.35">
      <c r="A144" s="16" t="s">
        <v>335</v>
      </c>
      <c r="B144" s="35" t="s">
        <v>294</v>
      </c>
      <c r="C144" s="289">
        <v>25</v>
      </c>
      <c r="D144" s="16"/>
      <c r="E144" s="16"/>
    </row>
    <row r="145" spans="1:6" x14ac:dyDescent="0.35">
      <c r="A145" s="16" t="s">
        <v>336</v>
      </c>
      <c r="B145" s="35" t="s">
        <v>294</v>
      </c>
      <c r="C145" s="287"/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337</v>
      </c>
      <c r="B147" s="35" t="s">
        <v>294</v>
      </c>
      <c r="C147" s="289"/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338</v>
      </c>
      <c r="B152" s="37"/>
      <c r="C152" s="37"/>
      <c r="D152" s="37"/>
      <c r="E152" s="37"/>
    </row>
    <row r="153" spans="1:6" x14ac:dyDescent="0.35">
      <c r="A153" s="38" t="s">
        <v>339</v>
      </c>
      <c r="B153" s="39" t="s">
        <v>340</v>
      </c>
      <c r="C153" s="40" t="s">
        <v>341</v>
      </c>
      <c r="D153" s="39" t="s">
        <v>155</v>
      </c>
      <c r="E153" s="39" t="s">
        <v>226</v>
      </c>
    </row>
    <row r="154" spans="1:6" x14ac:dyDescent="0.35">
      <c r="A154" s="16" t="s">
        <v>319</v>
      </c>
      <c r="B154" s="290">
        <v>59</v>
      </c>
      <c r="C154" s="290">
        <v>14</v>
      </c>
      <c r="D154" s="290">
        <v>10</v>
      </c>
      <c r="E154" s="25">
        <f>SUM(B154:D154)</f>
        <v>83</v>
      </c>
    </row>
    <row r="155" spans="1:6" x14ac:dyDescent="0.35">
      <c r="A155" s="16" t="s">
        <v>238</v>
      </c>
      <c r="B155" s="290">
        <v>237</v>
      </c>
      <c r="C155" s="290">
        <v>38</v>
      </c>
      <c r="D155" s="290">
        <f>309-B155-C155</f>
        <v>34</v>
      </c>
      <c r="E155" s="25">
        <f>SUM(B155:D155)</f>
        <v>309</v>
      </c>
    </row>
    <row r="156" spans="1:6" x14ac:dyDescent="0.35">
      <c r="A156" s="16" t="s">
        <v>342</v>
      </c>
      <c r="B156" s="290"/>
      <c r="C156" s="290"/>
      <c r="D156" s="290"/>
      <c r="E156" s="25">
        <f>SUM(B156:D156)</f>
        <v>0</v>
      </c>
    </row>
    <row r="157" spans="1:6" x14ac:dyDescent="0.35">
      <c r="A157" s="16" t="s">
        <v>283</v>
      </c>
      <c r="B157" s="290">
        <v>1115663</v>
      </c>
      <c r="C157" s="290">
        <v>192962</v>
      </c>
      <c r="D157" s="290">
        <v>285437</v>
      </c>
      <c r="E157" s="25">
        <f>SUM(B157:D157)</f>
        <v>1594062</v>
      </c>
      <c r="F157" s="14"/>
    </row>
    <row r="158" spans="1:6" x14ac:dyDescent="0.35">
      <c r="A158" s="16" t="s">
        <v>284</v>
      </c>
      <c r="B158" s="290">
        <v>9848290</v>
      </c>
      <c r="C158" s="290">
        <v>5529407</v>
      </c>
      <c r="D158" s="290">
        <v>6704244</v>
      </c>
      <c r="E158" s="25">
        <f>SUM(B158:D158)</f>
        <v>22081941</v>
      </c>
      <c r="F158" s="14"/>
    </row>
    <row r="159" spans="1:6" x14ac:dyDescent="0.35">
      <c r="A159" s="38" t="s">
        <v>343</v>
      </c>
      <c r="B159" s="39" t="s">
        <v>340</v>
      </c>
      <c r="C159" s="40" t="s">
        <v>341</v>
      </c>
      <c r="D159" s="39" t="s">
        <v>155</v>
      </c>
      <c r="E159" s="39" t="s">
        <v>226</v>
      </c>
    </row>
    <row r="160" spans="1:6" x14ac:dyDescent="0.35">
      <c r="A160" s="16" t="s">
        <v>319</v>
      </c>
      <c r="B160" s="272">
        <v>36</v>
      </c>
      <c r="C160" s="272">
        <v>7</v>
      </c>
      <c r="D160" s="272">
        <v>4</v>
      </c>
      <c r="E160" s="25">
        <f>SUM(B160:D160)</f>
        <v>47</v>
      </c>
    </row>
    <row r="161" spans="1:5" x14ac:dyDescent="0.35">
      <c r="A161" s="16" t="s">
        <v>238</v>
      </c>
      <c r="B161" s="272">
        <v>971</v>
      </c>
      <c r="C161" s="272">
        <v>2283</v>
      </c>
      <c r="D161" s="272">
        <v>847</v>
      </c>
      <c r="E161" s="25">
        <f>SUM(B161:D161)</f>
        <v>4101</v>
      </c>
    </row>
    <row r="162" spans="1:5" x14ac:dyDescent="0.35">
      <c r="A162" s="16" t="s">
        <v>342</v>
      </c>
      <c r="B162" s="290"/>
      <c r="C162" s="290"/>
      <c r="D162" s="290"/>
      <c r="E162" s="25">
        <f>SUM(B162:D162)</f>
        <v>0</v>
      </c>
    </row>
    <row r="163" spans="1:5" x14ac:dyDescent="0.35">
      <c r="A163" s="16" t="s">
        <v>283</v>
      </c>
      <c r="B163" s="272">
        <v>2179962</v>
      </c>
      <c r="C163" s="272">
        <v>526076</v>
      </c>
      <c r="D163" s="272">
        <v>307544</v>
      </c>
      <c r="E163" s="25">
        <f>SUM(B163:D163)</f>
        <v>3013582</v>
      </c>
    </row>
    <row r="164" spans="1:5" x14ac:dyDescent="0.35">
      <c r="A164" s="16" t="s">
        <v>284</v>
      </c>
      <c r="B164" s="290"/>
      <c r="C164" s="290"/>
      <c r="D164" s="290"/>
      <c r="E164" s="25">
        <f>SUM(B164:D164)</f>
        <v>0</v>
      </c>
    </row>
    <row r="165" spans="1:5" x14ac:dyDescent="0.35">
      <c r="A165" s="38" t="s">
        <v>344</v>
      </c>
      <c r="B165" s="39" t="s">
        <v>340</v>
      </c>
      <c r="C165" s="40" t="s">
        <v>341</v>
      </c>
      <c r="D165" s="39" t="s">
        <v>155</v>
      </c>
      <c r="E165" s="39" t="s">
        <v>226</v>
      </c>
    </row>
    <row r="166" spans="1:5" x14ac:dyDescent="0.35">
      <c r="A166" s="16" t="s">
        <v>319</v>
      </c>
      <c r="B166" s="290"/>
      <c r="C166" s="290"/>
      <c r="D166" s="290"/>
      <c r="E166" s="25">
        <f>SUM(B166:D166)</f>
        <v>0</v>
      </c>
    </row>
    <row r="167" spans="1:5" x14ac:dyDescent="0.35">
      <c r="A167" s="16" t="s">
        <v>238</v>
      </c>
      <c r="B167" s="290"/>
      <c r="C167" s="290"/>
      <c r="D167" s="290"/>
      <c r="E167" s="25">
        <f>SUM(B167:D167)</f>
        <v>0</v>
      </c>
    </row>
    <row r="168" spans="1:5" x14ac:dyDescent="0.35">
      <c r="A168" s="16" t="s">
        <v>342</v>
      </c>
      <c r="B168" s="290"/>
      <c r="C168" s="290"/>
      <c r="D168" s="290"/>
      <c r="E168" s="25">
        <f>SUM(B168:D168)</f>
        <v>0</v>
      </c>
    </row>
    <row r="169" spans="1:5" x14ac:dyDescent="0.35">
      <c r="A169" s="16" t="s">
        <v>283</v>
      </c>
      <c r="B169" s="290"/>
      <c r="C169" s="290"/>
      <c r="D169" s="290"/>
      <c r="E169" s="25">
        <f>SUM(B169:D169)</f>
        <v>0</v>
      </c>
    </row>
    <row r="170" spans="1:5" x14ac:dyDescent="0.35">
      <c r="A170" s="16" t="s">
        <v>284</v>
      </c>
      <c r="B170" s="290"/>
      <c r="C170" s="290"/>
      <c r="D170" s="290"/>
      <c r="E170" s="25">
        <f>SUM(B170:D170)</f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345</v>
      </c>
      <c r="B172" s="39" t="s">
        <v>346</v>
      </c>
      <c r="C172" s="40" t="s">
        <v>347</v>
      </c>
      <c r="D172" s="16"/>
      <c r="E172" s="16"/>
    </row>
    <row r="173" spans="1:5" x14ac:dyDescent="0.35">
      <c r="A173" s="20" t="s">
        <v>348</v>
      </c>
      <c r="B173" s="272">
        <v>1119416</v>
      </c>
      <c r="C173" s="272">
        <v>343261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349</v>
      </c>
      <c r="B179" s="30"/>
      <c r="C179" s="30"/>
      <c r="D179" s="30"/>
      <c r="E179" s="30"/>
    </row>
    <row r="180" spans="1:5" x14ac:dyDescent="0.35">
      <c r="A180" s="34" t="s">
        <v>350</v>
      </c>
      <c r="B180" s="34"/>
      <c r="C180" s="34"/>
      <c r="D180" s="34"/>
      <c r="E180" s="34"/>
    </row>
    <row r="181" spans="1:5" x14ac:dyDescent="0.35">
      <c r="A181" s="16" t="s">
        <v>351</v>
      </c>
      <c r="B181" s="35" t="s">
        <v>294</v>
      </c>
      <c r="C181" s="287">
        <v>617589</v>
      </c>
      <c r="D181" s="16"/>
      <c r="E181" s="16"/>
    </row>
    <row r="182" spans="1:5" x14ac:dyDescent="0.35">
      <c r="A182" s="16" t="s">
        <v>352</v>
      </c>
      <c r="B182" s="35" t="s">
        <v>294</v>
      </c>
      <c r="C182" s="287">
        <v>48888</v>
      </c>
      <c r="D182" s="16"/>
      <c r="E182" s="16"/>
    </row>
    <row r="183" spans="1:5" x14ac:dyDescent="0.35">
      <c r="A183" s="20" t="s">
        <v>353</v>
      </c>
      <c r="B183" s="35" t="s">
        <v>294</v>
      </c>
      <c r="C183" s="287">
        <v>59410</v>
      </c>
      <c r="D183" s="16"/>
      <c r="E183" s="16"/>
    </row>
    <row r="184" spans="1:5" x14ac:dyDescent="0.35">
      <c r="A184" s="16" t="s">
        <v>354</v>
      </c>
      <c r="B184" s="35" t="s">
        <v>294</v>
      </c>
      <c r="C184" s="287">
        <v>1188893</v>
      </c>
      <c r="D184" s="16"/>
      <c r="E184" s="16"/>
    </row>
    <row r="185" spans="1:5" x14ac:dyDescent="0.35">
      <c r="A185" s="16" t="s">
        <v>355</v>
      </c>
      <c r="B185" s="35" t="s">
        <v>294</v>
      </c>
      <c r="C185" s="287"/>
      <c r="D185" s="16"/>
      <c r="E185" s="16"/>
    </row>
    <row r="186" spans="1:5" x14ac:dyDescent="0.35">
      <c r="A186" s="16" t="s">
        <v>356</v>
      </c>
      <c r="B186" s="35" t="s">
        <v>294</v>
      </c>
      <c r="C186" s="287">
        <v>109856</v>
      </c>
      <c r="D186" s="16"/>
      <c r="E186" s="16"/>
    </row>
    <row r="187" spans="1:5" x14ac:dyDescent="0.35">
      <c r="A187" s="16" t="s">
        <v>357</v>
      </c>
      <c r="B187" s="35" t="s">
        <v>294</v>
      </c>
      <c r="C187" s="287">
        <v>12173</v>
      </c>
      <c r="D187" s="16"/>
      <c r="E187" s="16"/>
    </row>
    <row r="188" spans="1:5" x14ac:dyDescent="0.35">
      <c r="A188" s="16" t="s">
        <v>357</v>
      </c>
      <c r="B188" s="35" t="s">
        <v>294</v>
      </c>
      <c r="C188" s="287"/>
      <c r="D188" s="16"/>
      <c r="E188" s="16"/>
    </row>
    <row r="189" spans="1:5" x14ac:dyDescent="0.35">
      <c r="A189" s="16" t="s">
        <v>226</v>
      </c>
      <c r="B189" s="16"/>
      <c r="C189" s="22"/>
      <c r="D189" s="25">
        <f>SUM(C181:C188)</f>
        <v>2036809</v>
      </c>
      <c r="E189" s="16"/>
    </row>
    <row r="190" spans="1:5" x14ac:dyDescent="0.35">
      <c r="A190" s="34" t="s">
        <v>358</v>
      </c>
      <c r="B190" s="34"/>
      <c r="C190" s="34"/>
      <c r="D190" s="34"/>
      <c r="E190" s="34"/>
    </row>
    <row r="191" spans="1:5" x14ac:dyDescent="0.35">
      <c r="A191" s="16" t="s">
        <v>359</v>
      </c>
      <c r="B191" s="35" t="s">
        <v>294</v>
      </c>
      <c r="C191" s="287">
        <v>128675</v>
      </c>
      <c r="D191" s="16"/>
      <c r="E191" s="16"/>
    </row>
    <row r="192" spans="1:5" x14ac:dyDescent="0.35">
      <c r="A192" s="16" t="s">
        <v>360</v>
      </c>
      <c r="B192" s="35" t="s">
        <v>294</v>
      </c>
      <c r="C192" s="287">
        <v>55611</v>
      </c>
      <c r="D192" s="16"/>
      <c r="E192" s="16"/>
    </row>
    <row r="193" spans="1:5" x14ac:dyDescent="0.35">
      <c r="A193" s="16" t="s">
        <v>226</v>
      </c>
      <c r="B193" s="16"/>
      <c r="C193" s="22"/>
      <c r="D193" s="25">
        <f>SUM(C191:C192)</f>
        <v>184286</v>
      </c>
      <c r="E193" s="16"/>
    </row>
    <row r="194" spans="1:5" x14ac:dyDescent="0.35">
      <c r="A194" s="34" t="s">
        <v>361</v>
      </c>
      <c r="B194" s="34"/>
      <c r="C194" s="34"/>
      <c r="D194" s="34"/>
      <c r="E194" s="34"/>
    </row>
    <row r="195" spans="1:5" x14ac:dyDescent="0.35">
      <c r="A195" s="16" t="s">
        <v>362</v>
      </c>
      <c r="B195" s="35" t="s">
        <v>294</v>
      </c>
      <c r="C195" s="287">
        <v>70042</v>
      </c>
      <c r="D195" s="16"/>
      <c r="E195" s="16"/>
    </row>
    <row r="196" spans="1:5" x14ac:dyDescent="0.35">
      <c r="A196" s="16" t="s">
        <v>363</v>
      </c>
      <c r="B196" s="35" t="s">
        <v>294</v>
      </c>
      <c r="C196" s="287">
        <v>47035</v>
      </c>
      <c r="D196" s="16"/>
      <c r="E196" s="16"/>
    </row>
    <row r="197" spans="1:5" x14ac:dyDescent="0.35">
      <c r="A197" s="16" t="s">
        <v>226</v>
      </c>
      <c r="B197" s="16"/>
      <c r="C197" s="22"/>
      <c r="D197" s="25">
        <f>SUM(C195:C196)</f>
        <v>117077</v>
      </c>
      <c r="E197" s="16"/>
    </row>
    <row r="198" spans="1:5" x14ac:dyDescent="0.35">
      <c r="A198" s="34" t="s">
        <v>364</v>
      </c>
      <c r="B198" s="34"/>
      <c r="C198" s="34"/>
      <c r="D198" s="34"/>
      <c r="E198" s="34"/>
    </row>
    <row r="199" spans="1:5" x14ac:dyDescent="0.35">
      <c r="A199" s="16" t="s">
        <v>365</v>
      </c>
      <c r="B199" s="35" t="s">
        <v>294</v>
      </c>
      <c r="C199" s="287">
        <v>128010</v>
      </c>
      <c r="D199" s="16"/>
      <c r="E199" s="16"/>
    </row>
    <row r="200" spans="1:5" x14ac:dyDescent="0.35">
      <c r="A200" s="16" t="s">
        <v>366</v>
      </c>
      <c r="B200" s="35" t="s">
        <v>294</v>
      </c>
      <c r="C200" s="287"/>
      <c r="D200" s="16"/>
      <c r="E200" s="16"/>
    </row>
    <row r="201" spans="1:5" x14ac:dyDescent="0.35">
      <c r="A201" s="16" t="s">
        <v>155</v>
      </c>
      <c r="B201" s="35" t="s">
        <v>294</v>
      </c>
      <c r="C201" s="287"/>
      <c r="D201" s="16"/>
      <c r="E201" s="16"/>
    </row>
    <row r="202" spans="1:5" x14ac:dyDescent="0.35">
      <c r="A202" s="16" t="s">
        <v>226</v>
      </c>
      <c r="B202" s="16"/>
      <c r="C202" s="22"/>
      <c r="D202" s="25">
        <f>SUM(C199:C201)</f>
        <v>128010</v>
      </c>
      <c r="E202" s="16"/>
    </row>
    <row r="203" spans="1:5" x14ac:dyDescent="0.35">
      <c r="A203" s="34" t="s">
        <v>367</v>
      </c>
      <c r="B203" s="34"/>
      <c r="C203" s="34"/>
      <c r="D203" s="34"/>
      <c r="E203" s="34"/>
    </row>
    <row r="204" spans="1:5" x14ac:dyDescent="0.35">
      <c r="A204" s="16" t="s">
        <v>368</v>
      </c>
      <c r="B204" s="35" t="s">
        <v>294</v>
      </c>
      <c r="C204" s="287">
        <v>161112</v>
      </c>
      <c r="D204" s="16"/>
      <c r="E204" s="16"/>
    </row>
    <row r="205" spans="1:5" x14ac:dyDescent="0.35">
      <c r="A205" s="16" t="s">
        <v>369</v>
      </c>
      <c r="B205" s="35" t="s">
        <v>294</v>
      </c>
      <c r="C205" s="287"/>
      <c r="D205" s="16"/>
      <c r="E205" s="16"/>
    </row>
    <row r="206" spans="1:5" x14ac:dyDescent="0.35">
      <c r="A206" s="16" t="s">
        <v>226</v>
      </c>
      <c r="B206" s="16"/>
      <c r="C206" s="22"/>
      <c r="D206" s="25">
        <f>SUM(C204:C205)</f>
        <v>161112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370</v>
      </c>
      <c r="B208" s="30"/>
      <c r="C208" s="30"/>
      <c r="D208" s="30"/>
      <c r="E208" s="30"/>
    </row>
    <row r="209" spans="1:5" x14ac:dyDescent="0.35">
      <c r="A209" s="37" t="s">
        <v>371</v>
      </c>
      <c r="B209" s="30"/>
      <c r="C209" s="30"/>
      <c r="D209" s="30"/>
      <c r="E209" s="30"/>
    </row>
    <row r="210" spans="1:5" x14ac:dyDescent="0.35">
      <c r="A210" s="21"/>
      <c r="B210" s="18" t="s">
        <v>372</v>
      </c>
      <c r="C210" s="17" t="s">
        <v>373</v>
      </c>
      <c r="D210" s="18" t="s">
        <v>374</v>
      </c>
      <c r="E210" s="18" t="s">
        <v>375</v>
      </c>
    </row>
    <row r="211" spans="1:5" x14ac:dyDescent="0.35">
      <c r="A211" s="16" t="s">
        <v>376</v>
      </c>
      <c r="B211" s="287">
        <v>27282</v>
      </c>
      <c r="C211" s="287">
        <v>20000</v>
      </c>
      <c r="D211" s="290"/>
      <c r="E211" s="25">
        <f t="shared" ref="E211:E219" si="17">SUM(B211:C211)-D211</f>
        <v>47282</v>
      </c>
    </row>
    <row r="212" spans="1:5" x14ac:dyDescent="0.35">
      <c r="A212" s="16" t="s">
        <v>377</v>
      </c>
      <c r="B212" s="287">
        <v>556933</v>
      </c>
      <c r="C212" s="287">
        <v>114956</v>
      </c>
      <c r="D212" s="290"/>
      <c r="E212" s="25">
        <f t="shared" si="17"/>
        <v>671889</v>
      </c>
    </row>
    <row r="213" spans="1:5" x14ac:dyDescent="0.35">
      <c r="A213" s="16" t="s">
        <v>378</v>
      </c>
      <c r="B213" s="287">
        <v>8947146</v>
      </c>
      <c r="C213" s="287">
        <v>270085</v>
      </c>
      <c r="D213" s="290"/>
      <c r="E213" s="25">
        <f t="shared" si="17"/>
        <v>9217231</v>
      </c>
    </row>
    <row r="214" spans="1:5" x14ac:dyDescent="0.35">
      <c r="A214" s="16" t="s">
        <v>379</v>
      </c>
      <c r="B214" s="287"/>
      <c r="C214" s="287"/>
      <c r="D214" s="290"/>
      <c r="E214" s="25">
        <f t="shared" si="17"/>
        <v>0</v>
      </c>
    </row>
    <row r="215" spans="1:5" x14ac:dyDescent="0.35">
      <c r="A215" s="16" t="s">
        <v>380</v>
      </c>
      <c r="B215" s="287">
        <v>1826945</v>
      </c>
      <c r="C215" s="287">
        <v>290397</v>
      </c>
      <c r="D215" s="290"/>
      <c r="E215" s="25">
        <f t="shared" si="17"/>
        <v>2117342</v>
      </c>
    </row>
    <row r="216" spans="1:5" x14ac:dyDescent="0.35">
      <c r="A216" s="16" t="s">
        <v>381</v>
      </c>
      <c r="B216" s="287">
        <v>4471713</v>
      </c>
      <c r="C216" s="287">
        <v>884641</v>
      </c>
      <c r="D216" s="290">
        <v>15950</v>
      </c>
      <c r="E216" s="25">
        <f t="shared" si="17"/>
        <v>5340404</v>
      </c>
    </row>
    <row r="217" spans="1:5" x14ac:dyDescent="0.35">
      <c r="A217" s="16" t="s">
        <v>382</v>
      </c>
      <c r="B217" s="287"/>
      <c r="C217" s="287"/>
      <c r="D217" s="290"/>
      <c r="E217" s="25">
        <f t="shared" si="17"/>
        <v>0</v>
      </c>
    </row>
    <row r="218" spans="1:5" x14ac:dyDescent="0.35">
      <c r="A218" s="16" t="s">
        <v>383</v>
      </c>
      <c r="B218" s="287"/>
      <c r="C218" s="287"/>
      <c r="D218" s="290"/>
      <c r="E218" s="25">
        <f t="shared" si="17"/>
        <v>0</v>
      </c>
    </row>
    <row r="219" spans="1:5" x14ac:dyDescent="0.35">
      <c r="A219" s="16" t="s">
        <v>384</v>
      </c>
      <c r="B219" s="287"/>
      <c r="C219" s="287" t="s">
        <v>1341</v>
      </c>
      <c r="D219" s="290" t="s">
        <v>1341</v>
      </c>
      <c r="E219" s="25">
        <f t="shared" si="17"/>
        <v>0</v>
      </c>
    </row>
    <row r="220" spans="1:5" x14ac:dyDescent="0.35">
      <c r="A220" s="16" t="s">
        <v>226</v>
      </c>
      <c r="B220" s="25">
        <f>SUM(B211:B219)</f>
        <v>15830019</v>
      </c>
      <c r="C220" s="225">
        <f>SUM(C211:C219)</f>
        <v>1580079</v>
      </c>
      <c r="D220" s="25">
        <f>SUM(D211:D219)</f>
        <v>15950</v>
      </c>
      <c r="E220" s="25">
        <f>SUM(E211:E219)</f>
        <v>17394148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385</v>
      </c>
      <c r="B222" s="37"/>
      <c r="C222" s="37"/>
      <c r="D222" s="37"/>
      <c r="E222" s="37"/>
    </row>
    <row r="223" spans="1:5" x14ac:dyDescent="0.35">
      <c r="A223" s="21"/>
      <c r="B223" s="18" t="s">
        <v>372</v>
      </c>
      <c r="C223" s="17" t="s">
        <v>373</v>
      </c>
      <c r="D223" s="18" t="s">
        <v>374</v>
      </c>
      <c r="E223" s="18" t="s">
        <v>375</v>
      </c>
    </row>
    <row r="224" spans="1:5" x14ac:dyDescent="0.35">
      <c r="A224" s="16" t="s">
        <v>376</v>
      </c>
      <c r="B224" s="42"/>
      <c r="C224" s="41"/>
      <c r="D224" s="42"/>
      <c r="E224" s="16"/>
    </row>
    <row r="225" spans="1:6" x14ac:dyDescent="0.35">
      <c r="A225" s="16" t="s">
        <v>377</v>
      </c>
      <c r="B225" s="287">
        <v>219566</v>
      </c>
      <c r="C225" s="287">
        <v>26949</v>
      </c>
      <c r="D225" s="290"/>
      <c r="E225" s="25">
        <f t="shared" ref="E225:E232" si="18">SUM(B225:C225)-D225</f>
        <v>246515</v>
      </c>
    </row>
    <row r="226" spans="1:6" x14ac:dyDescent="0.35">
      <c r="A226" s="16" t="s">
        <v>378</v>
      </c>
      <c r="B226" s="287">
        <v>4786710</v>
      </c>
      <c r="C226" s="287">
        <v>452652</v>
      </c>
      <c r="D226" s="290"/>
      <c r="E226" s="25">
        <f t="shared" si="18"/>
        <v>5239362</v>
      </c>
    </row>
    <row r="227" spans="1:6" x14ac:dyDescent="0.35">
      <c r="A227" s="16" t="s">
        <v>379</v>
      </c>
      <c r="B227" s="287"/>
      <c r="C227" s="287"/>
      <c r="D227" s="290"/>
      <c r="E227" s="25">
        <f t="shared" si="18"/>
        <v>0</v>
      </c>
    </row>
    <row r="228" spans="1:6" x14ac:dyDescent="0.35">
      <c r="A228" s="16" t="s">
        <v>380</v>
      </c>
      <c r="B228" s="287">
        <v>1759948</v>
      </c>
      <c r="C228" s="287">
        <v>19505</v>
      </c>
      <c r="D228" s="290"/>
      <c r="E228" s="25">
        <f t="shared" si="18"/>
        <v>1779453</v>
      </c>
    </row>
    <row r="229" spans="1:6" x14ac:dyDescent="0.35">
      <c r="A229" s="16" t="s">
        <v>381</v>
      </c>
      <c r="B229" s="287">
        <v>3376250</v>
      </c>
      <c r="C229" s="287">
        <v>328777</v>
      </c>
      <c r="D229" s="290">
        <v>15950</v>
      </c>
      <c r="E229" s="25">
        <f t="shared" si="18"/>
        <v>3689077</v>
      </c>
    </row>
    <row r="230" spans="1:6" x14ac:dyDescent="0.35">
      <c r="A230" s="16" t="s">
        <v>382</v>
      </c>
      <c r="B230" s="287"/>
      <c r="C230" s="287"/>
      <c r="D230" s="290"/>
      <c r="E230" s="25">
        <f t="shared" si="18"/>
        <v>0</v>
      </c>
    </row>
    <row r="231" spans="1:6" x14ac:dyDescent="0.35">
      <c r="A231" s="16" t="s">
        <v>383</v>
      </c>
      <c r="B231" s="287"/>
      <c r="C231" s="287"/>
      <c r="D231" s="290"/>
      <c r="E231" s="25">
        <f t="shared" si="18"/>
        <v>0</v>
      </c>
    </row>
    <row r="232" spans="1:6" x14ac:dyDescent="0.35">
      <c r="A232" s="16" t="s">
        <v>384</v>
      </c>
      <c r="B232" s="287"/>
      <c r="C232" s="287"/>
      <c r="D232" s="290"/>
      <c r="E232" s="25">
        <f t="shared" si="18"/>
        <v>0</v>
      </c>
    </row>
    <row r="233" spans="1:6" x14ac:dyDescent="0.35">
      <c r="A233" s="16" t="s">
        <v>226</v>
      </c>
      <c r="B233" s="25">
        <f>SUM(B224:B232)</f>
        <v>10142474</v>
      </c>
      <c r="C233" s="225">
        <f>SUM(C224:C232)</f>
        <v>827883</v>
      </c>
      <c r="D233" s="25">
        <f>SUM(D224:D232)</f>
        <v>15950</v>
      </c>
      <c r="E233" s="25">
        <f>SUM(E224:E232)</f>
        <v>10954407</v>
      </c>
    </row>
    <row r="234" spans="1:6" x14ac:dyDescent="0.35">
      <c r="A234" s="16"/>
      <c r="B234" s="16"/>
      <c r="C234" s="22"/>
      <c r="D234" s="16"/>
      <c r="E234" s="16"/>
      <c r="F234" s="11">
        <f>E220-E233</f>
        <v>6439741</v>
      </c>
    </row>
    <row r="235" spans="1:6" x14ac:dyDescent="0.35">
      <c r="A235" s="30" t="s">
        <v>386</v>
      </c>
      <c r="B235" s="30"/>
      <c r="C235" s="30"/>
      <c r="D235" s="30"/>
      <c r="E235" s="30"/>
    </row>
    <row r="236" spans="1:6" x14ac:dyDescent="0.35">
      <c r="A236" s="30"/>
      <c r="B236" s="326" t="s">
        <v>387</v>
      </c>
      <c r="C236" s="326"/>
      <c r="D236" s="30"/>
      <c r="E236" s="30"/>
    </row>
    <row r="237" spans="1:6" x14ac:dyDescent="0.35">
      <c r="A237" s="43" t="s">
        <v>387</v>
      </c>
      <c r="B237" s="30"/>
      <c r="C237" s="287">
        <v>767783</v>
      </c>
      <c r="D237" s="32">
        <f>C237</f>
        <v>767783</v>
      </c>
      <c r="E237" s="30"/>
    </row>
    <row r="238" spans="1:6" x14ac:dyDescent="0.35">
      <c r="A238" s="34" t="s">
        <v>388</v>
      </c>
      <c r="B238" s="34"/>
      <c r="C238" s="34"/>
      <c r="D238" s="34"/>
      <c r="E238" s="34"/>
    </row>
    <row r="239" spans="1:6" x14ac:dyDescent="0.35">
      <c r="A239" s="16" t="s">
        <v>389</v>
      </c>
      <c r="B239" s="35" t="s">
        <v>294</v>
      </c>
      <c r="C239" s="287">
        <v>2843815</v>
      </c>
      <c r="D239" s="16"/>
      <c r="E239" s="16"/>
    </row>
    <row r="240" spans="1:6" x14ac:dyDescent="0.35">
      <c r="A240" s="16" t="s">
        <v>390</v>
      </c>
      <c r="B240" s="35" t="s">
        <v>294</v>
      </c>
      <c r="C240" s="287">
        <v>3374414</v>
      </c>
      <c r="D240" s="16"/>
      <c r="E240" s="16"/>
    </row>
    <row r="241" spans="1:5" x14ac:dyDescent="0.35">
      <c r="A241" s="16" t="s">
        <v>391</v>
      </c>
      <c r="B241" s="35" t="s">
        <v>294</v>
      </c>
      <c r="C241" s="287"/>
      <c r="D241" s="16"/>
      <c r="E241" s="16"/>
    </row>
    <row r="242" spans="1:5" x14ac:dyDescent="0.35">
      <c r="A242" s="16" t="s">
        <v>392</v>
      </c>
      <c r="B242" s="35" t="s">
        <v>294</v>
      </c>
      <c r="C242" s="287"/>
      <c r="D242" s="16"/>
      <c r="E242" s="16"/>
    </row>
    <row r="243" spans="1:5" x14ac:dyDescent="0.35">
      <c r="A243" s="16" t="s">
        <v>393</v>
      </c>
      <c r="B243" s="35" t="s">
        <v>294</v>
      </c>
      <c r="C243" s="287"/>
      <c r="D243" s="16"/>
      <c r="E243" s="16"/>
    </row>
    <row r="244" spans="1:5" x14ac:dyDescent="0.35">
      <c r="A244" s="16" t="s">
        <v>394</v>
      </c>
      <c r="B244" s="35" t="s">
        <v>294</v>
      </c>
      <c r="C244" s="287">
        <v>2145249</v>
      </c>
      <c r="D244" s="16"/>
      <c r="E244" s="16"/>
    </row>
    <row r="245" spans="1:5" x14ac:dyDescent="0.35">
      <c r="A245" s="16" t="s">
        <v>395</v>
      </c>
      <c r="B245" s="16"/>
      <c r="C245" s="22"/>
      <c r="D245" s="25">
        <f>SUM(C239:C244)</f>
        <v>8363478</v>
      </c>
      <c r="E245" s="16"/>
    </row>
    <row r="246" spans="1:5" x14ac:dyDescent="0.35">
      <c r="A246" s="34" t="s">
        <v>396</v>
      </c>
      <c r="B246" s="34"/>
      <c r="C246" s="34"/>
      <c r="D246" s="34"/>
      <c r="E246" s="34"/>
    </row>
    <row r="247" spans="1:5" x14ac:dyDescent="0.35">
      <c r="A247" s="21" t="s">
        <v>397</v>
      </c>
      <c r="B247" s="35" t="s">
        <v>294</v>
      </c>
      <c r="C247" s="289">
        <v>44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398</v>
      </c>
      <c r="B249" s="35" t="s">
        <v>294</v>
      </c>
      <c r="C249" s="287">
        <v>2253</v>
      </c>
      <c r="D249" s="16"/>
      <c r="E249" s="16"/>
    </row>
    <row r="250" spans="1:5" x14ac:dyDescent="0.35">
      <c r="A250" s="21" t="s">
        <v>399</v>
      </c>
      <c r="B250" s="35" t="s">
        <v>294</v>
      </c>
      <c r="C250" s="287">
        <v>92685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400</v>
      </c>
      <c r="B252" s="16"/>
      <c r="C252" s="22"/>
      <c r="D252" s="25">
        <f>SUM(C249:C251)</f>
        <v>94938</v>
      </c>
      <c r="E252" s="16"/>
    </row>
    <row r="253" spans="1:5" x14ac:dyDescent="0.35">
      <c r="A253" s="34" t="s">
        <v>401</v>
      </c>
      <c r="B253" s="34"/>
      <c r="C253" s="34"/>
      <c r="D253" s="34"/>
      <c r="E253" s="34"/>
    </row>
    <row r="254" spans="1:5" x14ac:dyDescent="0.35">
      <c r="A254" s="16" t="s">
        <v>402</v>
      </c>
      <c r="B254" s="35" t="s">
        <v>294</v>
      </c>
      <c r="C254" s="287"/>
      <c r="D254" s="16"/>
      <c r="E254" s="16"/>
    </row>
    <row r="255" spans="1:5" x14ac:dyDescent="0.35">
      <c r="A255" s="16" t="s">
        <v>401</v>
      </c>
      <c r="B255" s="35" t="s">
        <v>294</v>
      </c>
      <c r="C255" s="287"/>
      <c r="D255" s="16"/>
      <c r="E255" s="16"/>
    </row>
    <row r="256" spans="1:5" x14ac:dyDescent="0.35">
      <c r="A256" s="16" t="s">
        <v>403</v>
      </c>
      <c r="B256" s="16"/>
      <c r="C256" s="22"/>
      <c r="D256" s="25">
        <f>SUM(C254:C255)</f>
        <v>0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404</v>
      </c>
      <c r="B258" s="16"/>
      <c r="C258" s="22"/>
      <c r="D258" s="25">
        <f>D237+D245+D252+D256</f>
        <v>9226199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405</v>
      </c>
      <c r="B264" s="30"/>
      <c r="C264" s="30"/>
      <c r="D264" s="30"/>
      <c r="E264" s="30"/>
    </row>
    <row r="265" spans="1:5" x14ac:dyDescent="0.35">
      <c r="A265" s="34" t="s">
        <v>406</v>
      </c>
      <c r="B265" s="34"/>
      <c r="C265" s="34"/>
      <c r="D265" s="34"/>
      <c r="E265" s="34"/>
    </row>
    <row r="266" spans="1:5" x14ac:dyDescent="0.35">
      <c r="A266" s="16" t="s">
        <v>407</v>
      </c>
      <c r="B266" s="35" t="s">
        <v>294</v>
      </c>
      <c r="C266" s="287">
        <v>8106088</v>
      </c>
      <c r="D266" s="16"/>
      <c r="E266" s="16"/>
    </row>
    <row r="267" spans="1:5" x14ac:dyDescent="0.35">
      <c r="A267" s="16" t="s">
        <v>408</v>
      </c>
      <c r="B267" s="35" t="s">
        <v>294</v>
      </c>
      <c r="C267" s="287"/>
      <c r="D267" s="16"/>
      <c r="E267" s="16"/>
    </row>
    <row r="268" spans="1:5" x14ac:dyDescent="0.35">
      <c r="A268" s="16" t="s">
        <v>409</v>
      </c>
      <c r="B268" s="35" t="s">
        <v>294</v>
      </c>
      <c r="C268" s="287">
        <v>4539077</v>
      </c>
      <c r="D268" s="16"/>
      <c r="E268" s="16"/>
    </row>
    <row r="269" spans="1:5" x14ac:dyDescent="0.35">
      <c r="A269" s="16" t="s">
        <v>410</v>
      </c>
      <c r="B269" s="35" t="s">
        <v>294</v>
      </c>
      <c r="C269" s="287">
        <v>1962115</v>
      </c>
      <c r="D269" s="16"/>
      <c r="E269" s="16"/>
    </row>
    <row r="270" spans="1:5" x14ac:dyDescent="0.35">
      <c r="A270" s="16" t="s">
        <v>411</v>
      </c>
      <c r="B270" s="35" t="s">
        <v>294</v>
      </c>
      <c r="C270" s="287">
        <v>1930</v>
      </c>
      <c r="D270" s="16"/>
      <c r="E270" s="16"/>
    </row>
    <row r="271" spans="1:5" x14ac:dyDescent="0.35">
      <c r="A271" s="16" t="s">
        <v>412</v>
      </c>
      <c r="B271" s="35" t="s">
        <v>294</v>
      </c>
      <c r="C271" s="287">
        <v>150596</v>
      </c>
      <c r="D271" s="16"/>
      <c r="E271" s="16"/>
    </row>
    <row r="272" spans="1:5" x14ac:dyDescent="0.35">
      <c r="A272" s="16" t="s">
        <v>413</v>
      </c>
      <c r="B272" s="35" t="s">
        <v>294</v>
      </c>
      <c r="C272" s="287"/>
      <c r="D272" s="16"/>
      <c r="E272" s="16"/>
    </row>
    <row r="273" spans="1:5" x14ac:dyDescent="0.35">
      <c r="A273" s="16" t="s">
        <v>414</v>
      </c>
      <c r="B273" s="35" t="s">
        <v>294</v>
      </c>
      <c r="C273" s="287">
        <v>482978</v>
      </c>
      <c r="D273" s="16"/>
      <c r="E273" s="16"/>
    </row>
    <row r="274" spans="1:5" x14ac:dyDescent="0.35">
      <c r="A274" s="16" t="s">
        <v>415</v>
      </c>
      <c r="B274" s="35" t="s">
        <v>294</v>
      </c>
      <c r="C274" s="287">
        <v>128107</v>
      </c>
      <c r="D274" s="16"/>
      <c r="E274" s="16"/>
    </row>
    <row r="275" spans="1:5" x14ac:dyDescent="0.35">
      <c r="A275" s="16" t="s">
        <v>416</v>
      </c>
      <c r="B275" s="35" t="s">
        <v>294</v>
      </c>
      <c r="C275" s="287"/>
      <c r="D275" s="16"/>
      <c r="E275" s="16"/>
    </row>
    <row r="276" spans="1:5" x14ac:dyDescent="0.35">
      <c r="A276" s="16" t="s">
        <v>417</v>
      </c>
      <c r="B276" s="16"/>
      <c r="C276" s="22"/>
      <c r="D276" s="25">
        <f>SUM(C266:C268)-C269+SUM(C270:C275)</f>
        <v>11446661</v>
      </c>
      <c r="E276" s="16"/>
    </row>
    <row r="277" spans="1:5" x14ac:dyDescent="0.35">
      <c r="A277" s="34" t="s">
        <v>418</v>
      </c>
      <c r="B277" s="34"/>
      <c r="C277" s="34"/>
      <c r="D277" s="34"/>
      <c r="E277" s="34"/>
    </row>
    <row r="278" spans="1:5" x14ac:dyDescent="0.35">
      <c r="A278" s="16" t="s">
        <v>407</v>
      </c>
      <c r="B278" s="35" t="s">
        <v>294</v>
      </c>
      <c r="C278" s="287">
        <v>7066</v>
      </c>
      <c r="D278" s="16"/>
      <c r="E278" s="16"/>
    </row>
    <row r="279" spans="1:5" x14ac:dyDescent="0.35">
      <c r="A279" s="16" t="s">
        <v>408</v>
      </c>
      <c r="B279" s="35" t="s">
        <v>294</v>
      </c>
      <c r="C279" s="287"/>
      <c r="D279" s="16"/>
      <c r="E279" s="16"/>
    </row>
    <row r="280" spans="1:5" x14ac:dyDescent="0.35">
      <c r="A280" s="16" t="s">
        <v>419</v>
      </c>
      <c r="B280" s="35" t="s">
        <v>294</v>
      </c>
      <c r="C280" s="287"/>
      <c r="D280" s="16"/>
      <c r="E280" s="16"/>
    </row>
    <row r="281" spans="1:5" x14ac:dyDescent="0.35">
      <c r="A281" s="16" t="s">
        <v>420</v>
      </c>
      <c r="B281" s="16"/>
      <c r="C281" s="22"/>
      <c r="D281" s="25">
        <f>SUM(C278:C280)</f>
        <v>7066</v>
      </c>
      <c r="E281" s="16"/>
    </row>
    <row r="282" spans="1:5" x14ac:dyDescent="0.35">
      <c r="A282" s="34" t="s">
        <v>421</v>
      </c>
      <c r="B282" s="34"/>
      <c r="C282" s="34"/>
      <c r="D282" s="34"/>
      <c r="E282" s="34"/>
    </row>
    <row r="283" spans="1:5" x14ac:dyDescent="0.35">
      <c r="A283" s="16" t="s">
        <v>376</v>
      </c>
      <c r="B283" s="35" t="s">
        <v>294</v>
      </c>
      <c r="C283" s="287">
        <v>47282</v>
      </c>
      <c r="D283" s="16"/>
      <c r="E283" s="16"/>
    </row>
    <row r="284" spans="1:5" x14ac:dyDescent="0.35">
      <c r="A284" s="16" t="s">
        <v>377</v>
      </c>
      <c r="B284" s="35" t="s">
        <v>294</v>
      </c>
      <c r="C284" s="287">
        <v>671889</v>
      </c>
      <c r="D284" s="16"/>
      <c r="E284" s="16"/>
    </row>
    <row r="285" spans="1:5" x14ac:dyDescent="0.35">
      <c r="A285" s="16" t="s">
        <v>378</v>
      </c>
      <c r="B285" s="35" t="s">
        <v>294</v>
      </c>
      <c r="C285" s="287">
        <v>9217231</v>
      </c>
      <c r="D285" s="16"/>
      <c r="E285" s="16"/>
    </row>
    <row r="286" spans="1:5" x14ac:dyDescent="0.35">
      <c r="A286" s="16" t="s">
        <v>422</v>
      </c>
      <c r="B286" s="35" t="s">
        <v>294</v>
      </c>
      <c r="C286" s="287"/>
      <c r="D286" s="16"/>
      <c r="E286" s="16"/>
    </row>
    <row r="287" spans="1:5" x14ac:dyDescent="0.35">
      <c r="A287" s="16" t="s">
        <v>423</v>
      </c>
      <c r="B287" s="35" t="s">
        <v>294</v>
      </c>
      <c r="C287" s="287">
        <v>2117342</v>
      </c>
      <c r="D287" s="16"/>
      <c r="E287" s="16"/>
    </row>
    <row r="288" spans="1:5" x14ac:dyDescent="0.35">
      <c r="A288" s="16" t="s">
        <v>424</v>
      </c>
      <c r="B288" s="35" t="s">
        <v>294</v>
      </c>
      <c r="C288" s="287">
        <v>5340404</v>
      </c>
      <c r="D288" s="16"/>
      <c r="E288" s="16"/>
    </row>
    <row r="289" spans="1:5" x14ac:dyDescent="0.35">
      <c r="A289" s="16" t="s">
        <v>383</v>
      </c>
      <c r="B289" s="35" t="s">
        <v>294</v>
      </c>
      <c r="C289" s="287"/>
      <c r="D289" s="16"/>
      <c r="E289" s="16"/>
    </row>
    <row r="290" spans="1:5" x14ac:dyDescent="0.35">
      <c r="A290" s="16" t="s">
        <v>384</v>
      </c>
      <c r="B290" s="35" t="s">
        <v>294</v>
      </c>
      <c r="C290" s="287"/>
      <c r="D290" s="16"/>
      <c r="E290" s="16"/>
    </row>
    <row r="291" spans="1:5" x14ac:dyDescent="0.35">
      <c r="A291" s="16" t="s">
        <v>425</v>
      </c>
      <c r="B291" s="16"/>
      <c r="C291" s="22"/>
      <c r="D291" s="25">
        <f>SUM(C283:C290)</f>
        <v>17394148</v>
      </c>
      <c r="E291" s="16"/>
    </row>
    <row r="292" spans="1:5" x14ac:dyDescent="0.35">
      <c r="A292" s="16" t="s">
        <v>426</v>
      </c>
      <c r="B292" s="35" t="s">
        <v>294</v>
      </c>
      <c r="C292" s="287">
        <v>10954407</v>
      </c>
      <c r="D292" s="16"/>
      <c r="E292" s="16"/>
    </row>
    <row r="293" spans="1:5" x14ac:dyDescent="0.35">
      <c r="A293" s="16" t="s">
        <v>427</v>
      </c>
      <c r="B293" s="16"/>
      <c r="C293" s="22"/>
      <c r="D293" s="25">
        <f>D291-C292</f>
        <v>6439741</v>
      </c>
      <c r="E293" s="16"/>
    </row>
    <row r="294" spans="1:5" x14ac:dyDescent="0.35">
      <c r="A294" s="34" t="s">
        <v>428</v>
      </c>
      <c r="B294" s="34"/>
      <c r="C294" s="34"/>
      <c r="D294" s="34"/>
      <c r="E294" s="34"/>
    </row>
    <row r="295" spans="1:5" x14ac:dyDescent="0.35">
      <c r="A295" s="16" t="s">
        <v>429</v>
      </c>
      <c r="B295" s="35" t="s">
        <v>294</v>
      </c>
      <c r="C295" s="287"/>
      <c r="D295" s="16"/>
      <c r="E295" s="16"/>
    </row>
    <row r="296" spans="1:5" x14ac:dyDescent="0.35">
      <c r="A296" s="16" t="s">
        <v>430</v>
      </c>
      <c r="B296" s="35" t="s">
        <v>294</v>
      </c>
      <c r="C296" s="287"/>
      <c r="D296" s="16"/>
      <c r="E296" s="16"/>
    </row>
    <row r="297" spans="1:5" x14ac:dyDescent="0.35">
      <c r="A297" s="16" t="s">
        <v>431</v>
      </c>
      <c r="B297" s="35" t="s">
        <v>294</v>
      </c>
      <c r="C297" s="287"/>
      <c r="D297" s="16"/>
      <c r="E297" s="16"/>
    </row>
    <row r="298" spans="1:5" x14ac:dyDescent="0.35">
      <c r="A298" s="16" t="s">
        <v>419</v>
      </c>
      <c r="B298" s="35" t="s">
        <v>294</v>
      </c>
      <c r="C298" s="287"/>
      <c r="D298" s="16"/>
      <c r="E298" s="16"/>
    </row>
    <row r="299" spans="1:5" x14ac:dyDescent="0.35">
      <c r="A299" s="16" t="s">
        <v>432</v>
      </c>
      <c r="B299" s="16"/>
      <c r="C299" s="22"/>
      <c r="D299" s="25">
        <f>C295-C296+C297+C298</f>
        <v>0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433</v>
      </c>
      <c r="B301" s="34"/>
      <c r="C301" s="34"/>
      <c r="D301" s="34"/>
      <c r="E301" s="34"/>
    </row>
    <row r="302" spans="1:5" x14ac:dyDescent="0.35">
      <c r="A302" s="16" t="s">
        <v>434</v>
      </c>
      <c r="B302" s="35" t="s">
        <v>294</v>
      </c>
      <c r="C302" s="287"/>
      <c r="D302" s="16"/>
      <c r="E302" s="16"/>
    </row>
    <row r="303" spans="1:5" x14ac:dyDescent="0.35">
      <c r="A303" s="16" t="s">
        <v>435</v>
      </c>
      <c r="B303" s="35" t="s">
        <v>294</v>
      </c>
      <c r="C303" s="287"/>
      <c r="D303" s="16"/>
      <c r="E303" s="16"/>
    </row>
    <row r="304" spans="1:5" x14ac:dyDescent="0.35">
      <c r="A304" s="16" t="s">
        <v>436</v>
      </c>
      <c r="B304" s="35" t="s">
        <v>294</v>
      </c>
      <c r="C304" s="287"/>
      <c r="D304" s="16"/>
      <c r="E304" s="16"/>
    </row>
    <row r="305" spans="1:6" x14ac:dyDescent="0.35">
      <c r="A305" s="16" t="s">
        <v>437</v>
      </c>
      <c r="B305" s="35" t="s">
        <v>294</v>
      </c>
      <c r="C305" s="287">
        <v>436075</v>
      </c>
      <c r="D305" s="16"/>
      <c r="E305" s="16"/>
    </row>
    <row r="306" spans="1:6" x14ac:dyDescent="0.35">
      <c r="A306" s="16" t="s">
        <v>438</v>
      </c>
      <c r="B306" s="16"/>
      <c r="C306" s="22"/>
      <c r="D306" s="25">
        <f>SUM(C302:C305)</f>
        <v>436075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439</v>
      </c>
      <c r="B308" s="16"/>
      <c r="C308" s="22"/>
      <c r="D308" s="25">
        <f>D276+D281+D293+D299+D306</f>
        <v>18329543</v>
      </c>
      <c r="E308" s="16"/>
    </row>
    <row r="309" spans="1:6" x14ac:dyDescent="0.35">
      <c r="A309" s="16"/>
      <c r="B309" s="16"/>
      <c r="C309" s="22"/>
      <c r="D309" s="16"/>
      <c r="E309" s="16"/>
      <c r="F309" s="11">
        <f>D308-F308</f>
        <v>18329543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440</v>
      </c>
      <c r="B312" s="30"/>
      <c r="C312" s="30"/>
      <c r="D312" s="30"/>
      <c r="E312" s="30"/>
    </row>
    <row r="313" spans="1:6" x14ac:dyDescent="0.35">
      <c r="A313" s="34" t="s">
        <v>441</v>
      </c>
      <c r="B313" s="34"/>
      <c r="C313" s="34"/>
      <c r="D313" s="34"/>
      <c r="E313" s="34"/>
    </row>
    <row r="314" spans="1:6" x14ac:dyDescent="0.35">
      <c r="A314" s="16" t="s">
        <v>442</v>
      </c>
      <c r="B314" s="35" t="s">
        <v>294</v>
      </c>
      <c r="C314" s="287"/>
      <c r="D314" s="16"/>
      <c r="E314" s="16"/>
    </row>
    <row r="315" spans="1:6" x14ac:dyDescent="0.35">
      <c r="A315" s="16" t="s">
        <v>443</v>
      </c>
      <c r="B315" s="35" t="s">
        <v>294</v>
      </c>
      <c r="C315" s="287">
        <v>1218861</v>
      </c>
      <c r="D315" s="16"/>
      <c r="E315" s="16"/>
    </row>
    <row r="316" spans="1:6" x14ac:dyDescent="0.35">
      <c r="A316" s="16" t="s">
        <v>444</v>
      </c>
      <c r="B316" s="35" t="s">
        <v>294</v>
      </c>
      <c r="C316" s="287">
        <v>572276</v>
      </c>
      <c r="D316" s="16"/>
      <c r="E316" s="16"/>
    </row>
    <row r="317" spans="1:6" x14ac:dyDescent="0.35">
      <c r="A317" s="16" t="s">
        <v>445</v>
      </c>
      <c r="B317" s="35" t="s">
        <v>294</v>
      </c>
      <c r="C317" s="287" t="s">
        <v>1341</v>
      </c>
      <c r="D317" s="16"/>
      <c r="E317" s="16"/>
    </row>
    <row r="318" spans="1:6" x14ac:dyDescent="0.35">
      <c r="A318" s="16" t="s">
        <v>446</v>
      </c>
      <c r="B318" s="35" t="s">
        <v>294</v>
      </c>
      <c r="C318" s="287" t="s">
        <v>1341</v>
      </c>
      <c r="D318" s="16"/>
      <c r="E318" s="16"/>
    </row>
    <row r="319" spans="1:6" x14ac:dyDescent="0.35">
      <c r="A319" s="16" t="s">
        <v>447</v>
      </c>
      <c r="B319" s="35" t="s">
        <v>294</v>
      </c>
      <c r="C319" s="287">
        <v>74000</v>
      </c>
      <c r="D319" s="16"/>
      <c r="E319" s="16"/>
    </row>
    <row r="320" spans="1:6" x14ac:dyDescent="0.35">
      <c r="A320" s="16" t="s">
        <v>448</v>
      </c>
      <c r="B320" s="35" t="s">
        <v>294</v>
      </c>
      <c r="C320" s="287">
        <v>500</v>
      </c>
      <c r="D320" s="16"/>
      <c r="E320" s="16"/>
    </row>
    <row r="321" spans="1:5" x14ac:dyDescent="0.35">
      <c r="A321" s="16" t="s">
        <v>449</v>
      </c>
      <c r="B321" s="35" t="s">
        <v>294</v>
      </c>
      <c r="C321" s="287"/>
      <c r="D321" s="16"/>
      <c r="E321" s="16"/>
    </row>
    <row r="322" spans="1:5" x14ac:dyDescent="0.35">
      <c r="A322" s="16" t="s">
        <v>450</v>
      </c>
      <c r="B322" s="35" t="s">
        <v>294</v>
      </c>
      <c r="C322" s="287"/>
      <c r="D322" s="16"/>
      <c r="E322" s="16"/>
    </row>
    <row r="323" spans="1:5" x14ac:dyDescent="0.35">
      <c r="A323" s="16" t="s">
        <v>451</v>
      </c>
      <c r="B323" s="35" t="s">
        <v>294</v>
      </c>
      <c r="C323" s="287">
        <v>629598</v>
      </c>
      <c r="D323" s="16"/>
      <c r="E323" s="16"/>
    </row>
    <row r="324" spans="1:5" x14ac:dyDescent="0.35">
      <c r="A324" s="16" t="s">
        <v>452</v>
      </c>
      <c r="B324" s="16"/>
      <c r="C324" s="22"/>
      <c r="D324" s="25">
        <f>SUM(C314:C323)</f>
        <v>2495235</v>
      </c>
      <c r="E324" s="16"/>
    </row>
    <row r="325" spans="1:5" x14ac:dyDescent="0.35">
      <c r="A325" s="34" t="s">
        <v>453</v>
      </c>
      <c r="B325" s="34"/>
      <c r="C325" s="34"/>
      <c r="D325" s="34"/>
      <c r="E325" s="34"/>
    </row>
    <row r="326" spans="1:5" x14ac:dyDescent="0.35">
      <c r="A326" s="16" t="s">
        <v>454</v>
      </c>
      <c r="B326" s="35" t="s">
        <v>294</v>
      </c>
      <c r="C326" s="287"/>
      <c r="D326" s="16"/>
      <c r="E326" s="16"/>
    </row>
    <row r="327" spans="1:5" x14ac:dyDescent="0.35">
      <c r="A327" s="16" t="s">
        <v>455</v>
      </c>
      <c r="B327" s="35" t="s">
        <v>294</v>
      </c>
      <c r="C327" s="287"/>
      <c r="D327" s="16"/>
      <c r="E327" s="16"/>
    </row>
    <row r="328" spans="1:5" x14ac:dyDescent="0.35">
      <c r="A328" s="16" t="s">
        <v>456</v>
      </c>
      <c r="B328" s="35" t="s">
        <v>294</v>
      </c>
      <c r="C328" s="287"/>
      <c r="D328" s="16"/>
      <c r="E328" s="16"/>
    </row>
    <row r="329" spans="1:5" x14ac:dyDescent="0.35">
      <c r="A329" s="16" t="s">
        <v>457</v>
      </c>
      <c r="B329" s="16"/>
      <c r="C329" s="22"/>
      <c r="D329" s="25">
        <f>SUM(C326:C328)</f>
        <v>0</v>
      </c>
      <c r="E329" s="16"/>
    </row>
    <row r="330" spans="1:5" x14ac:dyDescent="0.35">
      <c r="A330" s="34" t="s">
        <v>458</v>
      </c>
      <c r="B330" s="34"/>
      <c r="C330" s="34"/>
      <c r="D330" s="34"/>
      <c r="E330" s="34"/>
    </row>
    <row r="331" spans="1:5" x14ac:dyDescent="0.35">
      <c r="A331" s="16" t="s">
        <v>459</v>
      </c>
      <c r="B331" s="35" t="s">
        <v>294</v>
      </c>
      <c r="C331" s="287"/>
      <c r="D331" s="16"/>
      <c r="E331" s="16"/>
    </row>
    <row r="332" spans="1:5" x14ac:dyDescent="0.35">
      <c r="A332" s="16" t="s">
        <v>460</v>
      </c>
      <c r="B332" s="35" t="s">
        <v>294</v>
      </c>
      <c r="C332" s="287"/>
      <c r="D332" s="16"/>
      <c r="E332" s="16"/>
    </row>
    <row r="333" spans="1:5" x14ac:dyDescent="0.35">
      <c r="A333" s="16" t="s">
        <v>461</v>
      </c>
      <c r="B333" s="35" t="s">
        <v>294</v>
      </c>
      <c r="C333" s="287">
        <v>2744600</v>
      </c>
      <c r="D333" s="16"/>
      <c r="E333" s="16"/>
    </row>
    <row r="334" spans="1:5" x14ac:dyDescent="0.35">
      <c r="A334" s="21" t="s">
        <v>462</v>
      </c>
      <c r="B334" s="35" t="s">
        <v>294</v>
      </c>
      <c r="C334" s="287">
        <v>54406</v>
      </c>
      <c r="D334" s="16"/>
      <c r="E334" s="16"/>
    </row>
    <row r="335" spans="1:5" x14ac:dyDescent="0.35">
      <c r="A335" s="16" t="s">
        <v>463</v>
      </c>
      <c r="B335" s="35" t="s">
        <v>294</v>
      </c>
      <c r="C335" s="287" t="s">
        <v>1341</v>
      </c>
      <c r="D335" s="16"/>
      <c r="E335" s="16"/>
    </row>
    <row r="336" spans="1:5" x14ac:dyDescent="0.35">
      <c r="A336" s="21" t="s">
        <v>464</v>
      </c>
      <c r="B336" s="35" t="s">
        <v>294</v>
      </c>
      <c r="C336" s="287"/>
      <c r="D336" s="16"/>
      <c r="E336" s="16"/>
    </row>
    <row r="337" spans="1:5" x14ac:dyDescent="0.35">
      <c r="A337" s="21" t="s">
        <v>465</v>
      </c>
      <c r="B337" s="35" t="s">
        <v>294</v>
      </c>
      <c r="C337" s="293"/>
      <c r="D337" s="16"/>
      <c r="E337" s="16"/>
    </row>
    <row r="338" spans="1:5" x14ac:dyDescent="0.35">
      <c r="A338" s="16" t="s">
        <v>466</v>
      </c>
      <c r="B338" s="35" t="s">
        <v>294</v>
      </c>
      <c r="C338" s="287">
        <v>897492</v>
      </c>
      <c r="D338" s="16"/>
      <c r="E338" s="16"/>
    </row>
    <row r="339" spans="1:5" x14ac:dyDescent="0.35">
      <c r="A339" s="16" t="s">
        <v>226</v>
      </c>
      <c r="B339" s="16"/>
      <c r="C339" s="22"/>
      <c r="D339" s="25">
        <f>SUM(C331:C338)</f>
        <v>3696498</v>
      </c>
      <c r="E339" s="16"/>
    </row>
    <row r="340" spans="1:5" x14ac:dyDescent="0.35">
      <c r="A340" s="16" t="s">
        <v>467</v>
      </c>
      <c r="B340" s="16"/>
      <c r="C340" s="22"/>
      <c r="D340" s="25">
        <f>C323</f>
        <v>629598</v>
      </c>
      <c r="E340" s="16"/>
    </row>
    <row r="341" spans="1:5" x14ac:dyDescent="0.35">
      <c r="A341" s="16" t="s">
        <v>468</v>
      </c>
      <c r="B341" s="16"/>
      <c r="C341" s="22"/>
      <c r="D341" s="25">
        <f>D339-D340</f>
        <v>3066900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469</v>
      </c>
      <c r="B343" s="35" t="s">
        <v>294</v>
      </c>
      <c r="C343" s="292">
        <v>12767408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470</v>
      </c>
      <c r="B345" s="35" t="s">
        <v>294</v>
      </c>
      <c r="C345" s="288"/>
      <c r="D345" s="16"/>
      <c r="E345" s="16"/>
    </row>
    <row r="346" spans="1:5" x14ac:dyDescent="0.35">
      <c r="A346" s="16" t="s">
        <v>471</v>
      </c>
      <c r="B346" s="35" t="s">
        <v>294</v>
      </c>
      <c r="C346" s="288"/>
      <c r="D346" s="16"/>
      <c r="E346" s="16"/>
    </row>
    <row r="347" spans="1:5" x14ac:dyDescent="0.35">
      <c r="A347" s="16" t="s">
        <v>472</v>
      </c>
      <c r="B347" s="35" t="s">
        <v>294</v>
      </c>
      <c r="C347" s="288"/>
      <c r="D347" s="16"/>
      <c r="E347" s="16"/>
    </row>
    <row r="348" spans="1:5" x14ac:dyDescent="0.35">
      <c r="A348" s="16" t="s">
        <v>473</v>
      </c>
      <c r="B348" s="35" t="s">
        <v>294</v>
      </c>
      <c r="C348" s="288"/>
      <c r="D348" s="16"/>
      <c r="E348" s="16"/>
    </row>
    <row r="349" spans="1:5" x14ac:dyDescent="0.35">
      <c r="A349" s="16" t="s">
        <v>474</v>
      </c>
      <c r="B349" s="35" t="s">
        <v>294</v>
      </c>
      <c r="C349" s="288"/>
      <c r="D349" s="16"/>
      <c r="E349" s="16"/>
    </row>
    <row r="350" spans="1:5" x14ac:dyDescent="0.35">
      <c r="A350" s="16" t="s">
        <v>475</v>
      </c>
      <c r="B350" s="16"/>
      <c r="C350" s="22"/>
      <c r="D350" s="25">
        <f>D324+D329+D341+C343+C347+C348</f>
        <v>18329543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476</v>
      </c>
      <c r="B352" s="16"/>
      <c r="C352" s="22"/>
      <c r="D352" s="25">
        <f>D308</f>
        <v>18329543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477</v>
      </c>
      <c r="B356" s="30"/>
      <c r="C356" s="30"/>
      <c r="D356" s="30"/>
      <c r="E356" s="30"/>
    </row>
    <row r="357" spans="1:5" x14ac:dyDescent="0.35">
      <c r="A357" s="34" t="s">
        <v>478</v>
      </c>
      <c r="B357" s="34"/>
      <c r="C357" s="34"/>
      <c r="D357" s="34"/>
      <c r="E357" s="34"/>
    </row>
    <row r="358" spans="1:5" x14ac:dyDescent="0.35">
      <c r="A358" s="16" t="s">
        <v>479</v>
      </c>
      <c r="B358" s="35" t="s">
        <v>294</v>
      </c>
      <c r="C358" s="287">
        <v>4607644</v>
      </c>
      <c r="D358" s="16"/>
      <c r="E358" s="16"/>
    </row>
    <row r="359" spans="1:5" x14ac:dyDescent="0.35">
      <c r="A359" s="16" t="s">
        <v>480</v>
      </c>
      <c r="B359" s="35" t="s">
        <v>294</v>
      </c>
      <c r="C359" s="287">
        <v>22081941</v>
      </c>
      <c r="D359" s="16"/>
      <c r="E359" s="16"/>
    </row>
    <row r="360" spans="1:5" x14ac:dyDescent="0.35">
      <c r="A360" s="16" t="s">
        <v>481</v>
      </c>
      <c r="B360" s="16"/>
      <c r="C360" s="22"/>
      <c r="D360" s="25">
        <f>SUM(C358:C359)</f>
        <v>26689585</v>
      </c>
      <c r="E360" s="16"/>
    </row>
    <row r="361" spans="1:5" x14ac:dyDescent="0.35">
      <c r="A361" s="34" t="s">
        <v>482</v>
      </c>
      <c r="B361" s="34"/>
      <c r="C361" s="34"/>
      <c r="D361" s="34"/>
      <c r="E361" s="34"/>
    </row>
    <row r="362" spans="1:5" x14ac:dyDescent="0.35">
      <c r="A362" s="16" t="s">
        <v>387</v>
      </c>
      <c r="B362" s="34"/>
      <c r="C362" s="287">
        <v>767783</v>
      </c>
      <c r="D362" s="16"/>
      <c r="E362" s="34"/>
    </row>
    <row r="363" spans="1:5" x14ac:dyDescent="0.35">
      <c r="A363" s="16" t="s">
        <v>483</v>
      </c>
      <c r="B363" s="35" t="s">
        <v>294</v>
      </c>
      <c r="C363" s="287">
        <f>D245</f>
        <v>8363478</v>
      </c>
      <c r="D363" s="16"/>
      <c r="E363" s="16"/>
    </row>
    <row r="364" spans="1:5" x14ac:dyDescent="0.35">
      <c r="A364" s="16" t="s">
        <v>484</v>
      </c>
      <c r="B364" s="35" t="s">
        <v>294</v>
      </c>
      <c r="C364" s="287">
        <v>94938</v>
      </c>
      <c r="D364" s="16"/>
      <c r="E364" s="16"/>
    </row>
    <row r="365" spans="1:5" x14ac:dyDescent="0.35">
      <c r="A365" s="16" t="s">
        <v>485</v>
      </c>
      <c r="B365" s="35" t="s">
        <v>294</v>
      </c>
      <c r="C365" s="287">
        <f>D256</f>
        <v>0</v>
      </c>
      <c r="D365" s="16"/>
      <c r="E365" s="16"/>
    </row>
    <row r="366" spans="1:5" x14ac:dyDescent="0.35">
      <c r="A366" s="16" t="s">
        <v>404</v>
      </c>
      <c r="B366" s="16"/>
      <c r="C366" s="22"/>
      <c r="D366" s="25">
        <f>SUM(C362:C365)</f>
        <v>9226199</v>
      </c>
      <c r="E366" s="16"/>
    </row>
    <row r="367" spans="1:5" x14ac:dyDescent="0.35">
      <c r="A367" s="16" t="s">
        <v>486</v>
      </c>
      <c r="B367" s="16"/>
      <c r="C367" s="22"/>
      <c r="D367" s="25">
        <f>D360-D366</f>
        <v>17463386</v>
      </c>
      <c r="E367" s="16"/>
    </row>
    <row r="368" spans="1:5" x14ac:dyDescent="0.35">
      <c r="A368" s="45" t="s">
        <v>487</v>
      </c>
      <c r="B368" s="34"/>
      <c r="C368" s="34"/>
      <c r="D368" s="34"/>
      <c r="E368" s="34"/>
    </row>
    <row r="369" spans="1:6" x14ac:dyDescent="0.35">
      <c r="A369" s="25" t="s">
        <v>488</v>
      </c>
      <c r="B369" s="16"/>
      <c r="C369" s="16"/>
      <c r="D369" s="16"/>
      <c r="E369" s="16"/>
    </row>
    <row r="370" spans="1:6" x14ac:dyDescent="0.35">
      <c r="A370" s="46" t="s">
        <v>489</v>
      </c>
      <c r="B370" s="32" t="s">
        <v>294</v>
      </c>
      <c r="C370" s="287">
        <v>2715</v>
      </c>
      <c r="D370" s="25">
        <v>0</v>
      </c>
      <c r="E370" s="25"/>
    </row>
    <row r="371" spans="1:6" x14ac:dyDescent="0.35">
      <c r="A371" s="46" t="s">
        <v>490</v>
      </c>
      <c r="B371" s="32" t="s">
        <v>294</v>
      </c>
      <c r="C371" s="287">
        <v>57719</v>
      </c>
      <c r="D371" s="25">
        <v>0</v>
      </c>
      <c r="E371" s="25"/>
    </row>
    <row r="372" spans="1:6" x14ac:dyDescent="0.35">
      <c r="A372" s="46" t="s">
        <v>491</v>
      </c>
      <c r="B372" s="32" t="s">
        <v>294</v>
      </c>
      <c r="C372" s="287"/>
      <c r="D372" s="25">
        <v>0</v>
      </c>
      <c r="E372" s="25"/>
    </row>
    <row r="373" spans="1:6" x14ac:dyDescent="0.35">
      <c r="A373" s="46" t="s">
        <v>492</v>
      </c>
      <c r="B373" s="32" t="s">
        <v>294</v>
      </c>
      <c r="C373" s="287"/>
      <c r="D373" s="25">
        <v>0</v>
      </c>
      <c r="E373" s="25"/>
    </row>
    <row r="374" spans="1:6" x14ac:dyDescent="0.35">
      <c r="A374" s="46" t="s">
        <v>493</v>
      </c>
      <c r="B374" s="32" t="s">
        <v>294</v>
      </c>
      <c r="C374" s="287">
        <v>2799285</v>
      </c>
      <c r="D374" s="25">
        <v>0</v>
      </c>
      <c r="E374" s="25"/>
    </row>
    <row r="375" spans="1:6" x14ac:dyDescent="0.35">
      <c r="A375" s="46" t="s">
        <v>494</v>
      </c>
      <c r="B375" s="32" t="s">
        <v>294</v>
      </c>
      <c r="C375" s="287"/>
      <c r="D375" s="25">
        <v>0</v>
      </c>
      <c r="E375" s="25"/>
    </row>
    <row r="376" spans="1:6" x14ac:dyDescent="0.35">
      <c r="A376" s="46" t="s">
        <v>495</v>
      </c>
      <c r="B376" s="32" t="s">
        <v>294</v>
      </c>
      <c r="C376" s="287"/>
      <c r="D376" s="25">
        <v>0</v>
      </c>
      <c r="E376" s="25"/>
    </row>
    <row r="377" spans="1:6" x14ac:dyDescent="0.35">
      <c r="A377" s="46" t="s">
        <v>496</v>
      </c>
      <c r="B377" s="32" t="s">
        <v>294</v>
      </c>
      <c r="C377" s="287"/>
      <c r="D377" s="25">
        <v>0</v>
      </c>
      <c r="E377" s="25"/>
    </row>
    <row r="378" spans="1:6" x14ac:dyDescent="0.35">
      <c r="A378" s="46" t="s">
        <v>497</v>
      </c>
      <c r="B378" s="32" t="s">
        <v>294</v>
      </c>
      <c r="C378" s="287"/>
      <c r="D378" s="25">
        <v>0</v>
      </c>
      <c r="E378" s="25"/>
    </row>
    <row r="379" spans="1:6" x14ac:dyDescent="0.35">
      <c r="A379" s="46" t="s">
        <v>498</v>
      </c>
      <c r="B379" s="32" t="s">
        <v>294</v>
      </c>
      <c r="C379" s="287">
        <v>8747</v>
      </c>
      <c r="D379" s="25">
        <v>0</v>
      </c>
      <c r="E379" s="25"/>
    </row>
    <row r="380" spans="1:6" x14ac:dyDescent="0.35">
      <c r="A380" s="46" t="s">
        <v>499</v>
      </c>
      <c r="B380" s="32" t="s">
        <v>294</v>
      </c>
      <c r="C380" s="289">
        <v>472917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35">
      <c r="A381" s="48" t="s">
        <v>500</v>
      </c>
      <c r="B381" s="35"/>
      <c r="C381" s="35"/>
      <c r="D381" s="25">
        <f>SUM(C370:C380)</f>
        <v>3341383</v>
      </c>
      <c r="E381" s="25"/>
      <c r="F381" s="47"/>
    </row>
    <row r="382" spans="1:6" x14ac:dyDescent="0.35">
      <c r="A382" s="43" t="s">
        <v>501</v>
      </c>
      <c r="B382" s="35" t="s">
        <v>294</v>
      </c>
      <c r="C382" s="287">
        <v>288600</v>
      </c>
      <c r="D382" s="25">
        <v>0</v>
      </c>
      <c r="E382" s="16"/>
    </row>
    <row r="383" spans="1:6" x14ac:dyDescent="0.35">
      <c r="A383" s="16" t="s">
        <v>502</v>
      </c>
      <c r="B383" s="16"/>
      <c r="C383" s="22"/>
      <c r="D383" s="25">
        <f>D381+C382</f>
        <v>3629983</v>
      </c>
      <c r="E383" s="16"/>
    </row>
    <row r="384" spans="1:6" x14ac:dyDescent="0.35">
      <c r="A384" s="16" t="s">
        <v>503</v>
      </c>
      <c r="B384" s="16"/>
      <c r="C384" s="22"/>
      <c r="D384" s="25">
        <f>D367+D383</f>
        <v>21093369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504</v>
      </c>
      <c r="B388" s="34"/>
      <c r="C388" s="34"/>
      <c r="D388" s="34"/>
      <c r="E388" s="34"/>
    </row>
    <row r="389" spans="1:5" x14ac:dyDescent="0.35">
      <c r="A389" s="16" t="s">
        <v>505</v>
      </c>
      <c r="B389" s="35" t="s">
        <v>294</v>
      </c>
      <c r="C389" s="287">
        <v>8296519</v>
      </c>
      <c r="D389" s="16"/>
      <c r="E389" s="16"/>
    </row>
    <row r="390" spans="1:5" x14ac:dyDescent="0.35">
      <c r="A390" s="16" t="s">
        <v>9</v>
      </c>
      <c r="B390" s="35" t="s">
        <v>294</v>
      </c>
      <c r="C390" s="287">
        <v>2036809</v>
      </c>
      <c r="D390" s="16"/>
      <c r="E390" s="16"/>
    </row>
    <row r="391" spans="1:5" x14ac:dyDescent="0.35">
      <c r="A391" s="16" t="s">
        <v>260</v>
      </c>
      <c r="B391" s="35" t="s">
        <v>294</v>
      </c>
      <c r="C391" s="287">
        <v>1783242</v>
      </c>
      <c r="D391" s="16"/>
      <c r="E391" s="16"/>
    </row>
    <row r="392" spans="1:5" x14ac:dyDescent="0.35">
      <c r="A392" s="16" t="s">
        <v>506</v>
      </c>
      <c r="B392" s="35" t="s">
        <v>294</v>
      </c>
      <c r="C392" s="287">
        <v>3489510</v>
      </c>
      <c r="D392" s="16"/>
      <c r="E392" s="16"/>
    </row>
    <row r="393" spans="1:5" x14ac:dyDescent="0.35">
      <c r="A393" s="16" t="s">
        <v>507</v>
      </c>
      <c r="B393" s="35" t="s">
        <v>294</v>
      </c>
      <c r="C393" s="287">
        <v>289232</v>
      </c>
      <c r="D393" s="16"/>
      <c r="E393" s="16"/>
    </row>
    <row r="394" spans="1:5" x14ac:dyDescent="0.35">
      <c r="A394" s="16" t="s">
        <v>508</v>
      </c>
      <c r="B394" s="35" t="s">
        <v>294</v>
      </c>
      <c r="C394" s="287">
        <v>1276219</v>
      </c>
      <c r="D394" s="16"/>
      <c r="E394" s="16"/>
    </row>
    <row r="395" spans="1:5" x14ac:dyDescent="0.35">
      <c r="A395" s="16" t="s">
        <v>14</v>
      </c>
      <c r="B395" s="35" t="s">
        <v>294</v>
      </c>
      <c r="C395" s="287">
        <v>859031</v>
      </c>
      <c r="D395" s="16"/>
      <c r="E395" s="16"/>
    </row>
    <row r="396" spans="1:5" x14ac:dyDescent="0.35">
      <c r="A396" s="16" t="s">
        <v>509</v>
      </c>
      <c r="B396" s="35" t="s">
        <v>294</v>
      </c>
      <c r="C396" s="287">
        <v>184286</v>
      </c>
      <c r="D396" s="16"/>
      <c r="E396" s="16"/>
    </row>
    <row r="397" spans="1:5" x14ac:dyDescent="0.35">
      <c r="A397" s="16" t="s">
        <v>510</v>
      </c>
      <c r="B397" s="35" t="s">
        <v>294</v>
      </c>
      <c r="C397" s="289">
        <v>117077</v>
      </c>
      <c r="D397" s="16"/>
      <c r="E397" s="16"/>
    </row>
    <row r="398" spans="1:5" x14ac:dyDescent="0.35">
      <c r="A398" s="16" t="s">
        <v>511</v>
      </c>
      <c r="B398" s="35" t="s">
        <v>294</v>
      </c>
      <c r="C398" s="289">
        <v>128010</v>
      </c>
      <c r="D398" s="16"/>
      <c r="E398" s="16"/>
    </row>
    <row r="399" spans="1:5" x14ac:dyDescent="0.35">
      <c r="A399" s="16" t="s">
        <v>512</v>
      </c>
      <c r="B399" s="35" t="s">
        <v>294</v>
      </c>
      <c r="C399" s="289">
        <v>161112</v>
      </c>
      <c r="D399" s="16"/>
      <c r="E399" s="16"/>
    </row>
    <row r="400" spans="1:5" x14ac:dyDescent="0.35">
      <c r="A400" s="25" t="s">
        <v>513</v>
      </c>
      <c r="B400" s="16"/>
      <c r="C400" s="16"/>
      <c r="D400" s="16"/>
      <c r="E400" s="16"/>
    </row>
    <row r="401" spans="1:9" x14ac:dyDescent="0.35">
      <c r="A401" s="26" t="s">
        <v>266</v>
      </c>
      <c r="B401" s="32" t="s">
        <v>294</v>
      </c>
      <c r="C401" s="287"/>
      <c r="D401" s="25">
        <v>0</v>
      </c>
      <c r="E401" s="25"/>
    </row>
    <row r="402" spans="1:9" x14ac:dyDescent="0.35">
      <c r="A402" s="26" t="s">
        <v>267</v>
      </c>
      <c r="B402" s="32" t="s">
        <v>294</v>
      </c>
      <c r="C402" s="287"/>
      <c r="D402" s="25">
        <v>0</v>
      </c>
      <c r="E402" s="25"/>
    </row>
    <row r="403" spans="1:9" x14ac:dyDescent="0.35">
      <c r="A403" s="26" t="s">
        <v>514</v>
      </c>
      <c r="B403" s="32" t="s">
        <v>294</v>
      </c>
      <c r="C403" s="287"/>
      <c r="D403" s="25">
        <v>0</v>
      </c>
      <c r="E403" s="25"/>
    </row>
    <row r="404" spans="1:9" x14ac:dyDescent="0.35">
      <c r="A404" s="26" t="s">
        <v>269</v>
      </c>
      <c r="B404" s="32" t="s">
        <v>294</v>
      </c>
      <c r="C404" s="287"/>
      <c r="D404" s="25">
        <v>0</v>
      </c>
      <c r="E404" s="25"/>
    </row>
    <row r="405" spans="1:9" x14ac:dyDescent="0.35">
      <c r="A405" s="26" t="s">
        <v>270</v>
      </c>
      <c r="B405" s="32" t="s">
        <v>294</v>
      </c>
      <c r="C405" s="287"/>
      <c r="D405" s="25">
        <v>0</v>
      </c>
      <c r="E405" s="25"/>
    </row>
    <row r="406" spans="1:9" x14ac:dyDescent="0.35">
      <c r="A406" s="26" t="s">
        <v>271</v>
      </c>
      <c r="B406" s="32" t="s">
        <v>294</v>
      </c>
      <c r="C406" s="287"/>
      <c r="D406" s="25">
        <v>0</v>
      </c>
      <c r="E406" s="25"/>
    </row>
    <row r="407" spans="1:9" x14ac:dyDescent="0.35">
      <c r="A407" s="26" t="s">
        <v>272</v>
      </c>
      <c r="B407" s="32" t="s">
        <v>294</v>
      </c>
      <c r="C407" s="287"/>
      <c r="D407" s="25">
        <v>0</v>
      </c>
      <c r="E407" s="25"/>
    </row>
    <row r="408" spans="1:9" x14ac:dyDescent="0.35">
      <c r="A408" s="26" t="s">
        <v>273</v>
      </c>
      <c r="B408" s="32" t="s">
        <v>294</v>
      </c>
      <c r="C408" s="287">
        <v>239293</v>
      </c>
      <c r="D408" s="25">
        <v>0</v>
      </c>
      <c r="E408" s="25"/>
    </row>
    <row r="409" spans="1:9" x14ac:dyDescent="0.35">
      <c r="A409" s="26" t="s">
        <v>274</v>
      </c>
      <c r="B409" s="32" t="s">
        <v>294</v>
      </c>
      <c r="C409" s="287"/>
      <c r="D409" s="25">
        <v>0</v>
      </c>
      <c r="E409" s="25"/>
    </row>
    <row r="410" spans="1:9" x14ac:dyDescent="0.35">
      <c r="A410" s="26" t="s">
        <v>275</v>
      </c>
      <c r="B410" s="32" t="s">
        <v>294</v>
      </c>
      <c r="C410" s="287"/>
      <c r="D410" s="25">
        <v>0</v>
      </c>
      <c r="E410" s="25"/>
    </row>
    <row r="411" spans="1:9" x14ac:dyDescent="0.35">
      <c r="A411" s="26" t="s">
        <v>276</v>
      </c>
      <c r="B411" s="32" t="s">
        <v>294</v>
      </c>
      <c r="C411" s="287"/>
      <c r="D411" s="25">
        <v>0</v>
      </c>
      <c r="E411" s="25"/>
    </row>
    <row r="412" spans="1:9" x14ac:dyDescent="0.35">
      <c r="A412" s="26" t="s">
        <v>277</v>
      </c>
      <c r="B412" s="32" t="s">
        <v>294</v>
      </c>
      <c r="C412" s="287"/>
      <c r="D412" s="25">
        <v>0</v>
      </c>
      <c r="E412" s="25"/>
    </row>
    <row r="413" spans="1:9" x14ac:dyDescent="0.35">
      <c r="A413" s="26" t="s">
        <v>278</v>
      </c>
      <c r="B413" s="32" t="s">
        <v>294</v>
      </c>
      <c r="C413" s="287"/>
      <c r="D413" s="25">
        <v>0</v>
      </c>
      <c r="E413" s="25"/>
    </row>
    <row r="414" spans="1:9" x14ac:dyDescent="0.35">
      <c r="A414" s="26" t="s">
        <v>279</v>
      </c>
      <c r="B414" s="32" t="s">
        <v>294</v>
      </c>
      <c r="C414" s="289">
        <v>480709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35">
      <c r="A415" s="49" t="s">
        <v>515</v>
      </c>
      <c r="B415" s="35"/>
      <c r="C415" s="35"/>
      <c r="D415" s="25">
        <f>SUM(C401:C414)</f>
        <v>720002</v>
      </c>
      <c r="E415" s="25"/>
      <c r="F415" s="47"/>
      <c r="G415" s="47"/>
      <c r="H415" s="47"/>
      <c r="I415" s="47"/>
    </row>
    <row r="416" spans="1:9" x14ac:dyDescent="0.35">
      <c r="A416" s="25" t="s">
        <v>516</v>
      </c>
      <c r="B416" s="16"/>
      <c r="C416" s="22"/>
      <c r="D416" s="25">
        <f>SUM(C389:C399,D415)</f>
        <v>19341049</v>
      </c>
      <c r="E416" s="25"/>
    </row>
    <row r="417" spans="1:13" x14ac:dyDescent="0.35">
      <c r="A417" s="25" t="s">
        <v>517</v>
      </c>
      <c r="B417" s="16"/>
      <c r="C417" s="22"/>
      <c r="D417" s="25">
        <f>D384-D416</f>
        <v>1752320</v>
      </c>
      <c r="E417" s="25"/>
    </row>
    <row r="418" spans="1:13" x14ac:dyDescent="0.35">
      <c r="A418" s="25" t="s">
        <v>518</v>
      </c>
      <c r="B418" s="16"/>
      <c r="C418" s="289">
        <v>2909096</v>
      </c>
      <c r="D418" s="25">
        <v>0</v>
      </c>
      <c r="E418" s="25"/>
    </row>
    <row r="419" spans="1:13" x14ac:dyDescent="0.35">
      <c r="A419" s="46" t="s">
        <v>519</v>
      </c>
      <c r="B419" s="35" t="s">
        <v>294</v>
      </c>
      <c r="C419" s="287"/>
      <c r="D419" s="25">
        <v>0</v>
      </c>
      <c r="E419" s="25"/>
    </row>
    <row r="420" spans="1:13" x14ac:dyDescent="0.35">
      <c r="A420" s="48" t="s">
        <v>520</v>
      </c>
      <c r="B420" s="16"/>
      <c r="C420" s="16"/>
      <c r="D420" s="25">
        <f>SUM(C418:C419)</f>
        <v>2909096</v>
      </c>
      <c r="E420" s="25"/>
      <c r="F420" s="11">
        <f>D420-C399</f>
        <v>2747984</v>
      </c>
    </row>
    <row r="421" spans="1:13" x14ac:dyDescent="0.35">
      <c r="A421" s="25" t="s">
        <v>521</v>
      </c>
      <c r="B421" s="16"/>
      <c r="C421" s="22"/>
      <c r="D421" s="25">
        <f>D417+D420</f>
        <v>4661416</v>
      </c>
      <c r="E421" s="25"/>
      <c r="F421" s="50"/>
    </row>
    <row r="422" spans="1:13" x14ac:dyDescent="0.35">
      <c r="A422" s="25" t="s">
        <v>522</v>
      </c>
      <c r="B422" s="35" t="s">
        <v>294</v>
      </c>
      <c r="C422" s="287"/>
      <c r="D422" s="25">
        <v>0</v>
      </c>
      <c r="E422" s="16"/>
    </row>
    <row r="423" spans="1:13" x14ac:dyDescent="0.35">
      <c r="A423" s="16" t="s">
        <v>523</v>
      </c>
      <c r="B423" s="35" t="s">
        <v>294</v>
      </c>
      <c r="C423" s="287"/>
      <c r="D423" s="25">
        <v>0</v>
      </c>
      <c r="E423" s="16"/>
    </row>
    <row r="424" spans="1:13" x14ac:dyDescent="0.35">
      <c r="A424" s="16" t="s">
        <v>524</v>
      </c>
      <c r="B424" s="16"/>
      <c r="C424" s="22"/>
      <c r="D424" s="25">
        <f>D421+C422-C423</f>
        <v>4661416</v>
      </c>
      <c r="E424" s="16"/>
    </row>
    <row r="426" spans="1:13" ht="29.15" customHeight="1" x14ac:dyDescent="0.35">
      <c r="A426" s="327" t="s">
        <v>1344</v>
      </c>
      <c r="B426" s="327"/>
      <c r="C426" s="327"/>
      <c r="D426" s="327"/>
      <c r="E426" s="327"/>
    </row>
    <row r="427" spans="1:13" x14ac:dyDescent="0.35">
      <c r="A427" s="301"/>
      <c r="B427" s="301"/>
      <c r="C427" s="301"/>
      <c r="D427" s="301"/>
      <c r="E427" s="301"/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525</v>
      </c>
      <c r="D612" s="217">
        <f>CE90-(BE90+CD90)</f>
        <v>30431.97</v>
      </c>
      <c r="E612" s="219">
        <f>SUM(C624:D647)+SUM(C668:D713)</f>
        <v>15336660.389190864</v>
      </c>
      <c r="F612" s="219">
        <f>CE64-(AX64+BD64+BE64+BG64+BJ64+BN64+BP64+BQ64+CB64+CC64+CD64)</f>
        <v>3423405.98</v>
      </c>
      <c r="G612" s="217">
        <f>CE91-(AX91+AY91+BD91+BE91+BG91+BJ91+BN91+BP91+BQ91+CB91+CC91+CD91)</f>
        <v>24599.98</v>
      </c>
      <c r="H612" s="222">
        <f>CE60-(AX60+AY60+AZ60+BD60+BE60+BG60+BJ60+BN60+BO60+BP60+BQ60+BR60+CB60+CC60+CD60)</f>
        <v>110.07999999999996</v>
      </c>
      <c r="I612" s="217">
        <f>CE92-(AX92+AY92+AZ92+BD92+BE92+BF92+BG92+BJ92+BN92+BO92+BP92+BQ92+BR92+CB92+CC92+CD92)</f>
        <v>10983.939999999999</v>
      </c>
      <c r="J612" s="217">
        <f>CE93-(AX93+AY93+AZ93+BA93+BD93+BE93+BF93+BG93+BJ93+BN93+BO93+BP93+BQ93+BR93+CB93+CC93+CD93)</f>
        <v>56546.97</v>
      </c>
      <c r="K612" s="217">
        <f>CE89-(AW89+AX89+AY89+AZ89+BA89+BB89+BC89+BD89+BE89+BF89+BG89+BH89+BI89+BJ89+BK89+BL89+BM89+BN89+BO89+BP89+BQ89+BR89+BS89+BT89+BU89+BV89+BW89+BX89+CB89+CC89+CD89)</f>
        <v>26689583</v>
      </c>
      <c r="L612" s="223">
        <f>CE94-(AW94+AX94+AY94+AZ94+BA94+BB94+BC94+BD94+BE94+BF94+BG94+BH94+BI94+BJ94+BK94+BL94+BM94+BN94+BO94+BP94+BQ94+BR94+BS94+BT94+BU94+BV94+BW94+BX94+BY94+BZ94+CA94+CB94+CC94+CD94)</f>
        <v>32.879999999999995</v>
      </c>
    </row>
    <row r="613" spans="1:14" s="202" customFormat="1" ht="12.65" customHeight="1" x14ac:dyDescent="0.3">
      <c r="A613" s="212"/>
      <c r="C613" s="210" t="s">
        <v>526</v>
      </c>
      <c r="D613" s="218" t="s">
        <v>527</v>
      </c>
      <c r="E613" s="220" t="s">
        <v>528</v>
      </c>
      <c r="F613" s="221" t="s">
        <v>529</v>
      </c>
      <c r="G613" s="218" t="s">
        <v>530</v>
      </c>
      <c r="H613" s="221" t="s">
        <v>531</v>
      </c>
      <c r="I613" s="218" t="s">
        <v>532</v>
      </c>
      <c r="J613" s="218" t="s">
        <v>533</v>
      </c>
      <c r="K613" s="210" t="s">
        <v>534</v>
      </c>
      <c r="L613" s="211" t="s">
        <v>535</v>
      </c>
    </row>
    <row r="614" spans="1:14" s="202" customFormat="1" ht="12.65" customHeight="1" x14ac:dyDescent="0.3">
      <c r="A614" s="212">
        <v>8430</v>
      </c>
      <c r="B614" s="211" t="s">
        <v>163</v>
      </c>
      <c r="C614" s="217">
        <f>BE85</f>
        <v>601227</v>
      </c>
      <c r="D614" s="217"/>
      <c r="E614" s="219"/>
      <c r="F614" s="219"/>
      <c r="G614" s="217"/>
      <c r="H614" s="219"/>
      <c r="I614" s="217"/>
      <c r="J614" s="217"/>
      <c r="N614" s="213" t="s">
        <v>536</v>
      </c>
    </row>
    <row r="615" spans="1:14" s="202" customFormat="1" ht="12.65" customHeight="1" x14ac:dyDescent="0.3">
      <c r="A615" s="212"/>
      <c r="B615" s="211" t="s">
        <v>537</v>
      </c>
      <c r="C615" s="217">
        <f>CD69-CD84</f>
        <v>-2926437</v>
      </c>
      <c r="D615" s="217">
        <f>SUM(C614:C615)</f>
        <v>-2325210</v>
      </c>
      <c r="E615" s="219"/>
      <c r="F615" s="219"/>
      <c r="G615" s="217"/>
      <c r="H615" s="219"/>
      <c r="I615" s="217"/>
      <c r="J615" s="217"/>
      <c r="N615" s="213" t="s">
        <v>538</v>
      </c>
    </row>
    <row r="616" spans="1:14" s="202" customFormat="1" ht="12.65" customHeight="1" x14ac:dyDescent="0.3">
      <c r="A616" s="212">
        <v>8310</v>
      </c>
      <c r="B616" s="216" t="s">
        <v>539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540</v>
      </c>
    </row>
    <row r="617" spans="1:14" s="202" customFormat="1" ht="12.65" customHeight="1" x14ac:dyDescent="0.3">
      <c r="A617" s="212">
        <v>8510</v>
      </c>
      <c r="B617" s="216" t="s">
        <v>168</v>
      </c>
      <c r="C617" s="217">
        <f>BJ85</f>
        <v>330061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541</v>
      </c>
    </row>
    <row r="618" spans="1:14" s="202" customFormat="1" ht="12.65" customHeight="1" x14ac:dyDescent="0.3">
      <c r="A618" s="212">
        <v>8470</v>
      </c>
      <c r="B618" s="216" t="s">
        <v>542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543</v>
      </c>
    </row>
    <row r="619" spans="1:14" s="202" customFormat="1" ht="12.65" customHeight="1" x14ac:dyDescent="0.3">
      <c r="A619" s="212">
        <v>8610</v>
      </c>
      <c r="B619" s="216" t="s">
        <v>544</v>
      </c>
      <c r="C619" s="217">
        <f>BN85</f>
        <v>512348</v>
      </c>
      <c r="D619" s="217">
        <f>(D615/D612)*BN90</f>
        <v>-179403.2091908608</v>
      </c>
      <c r="E619" s="219"/>
      <c r="F619" s="219"/>
      <c r="G619" s="217"/>
      <c r="H619" s="219"/>
      <c r="I619" s="217"/>
      <c r="J619" s="217"/>
      <c r="N619" s="213" t="s">
        <v>545</v>
      </c>
    </row>
    <row r="620" spans="1:14" s="202" customFormat="1" ht="12.65" customHeight="1" x14ac:dyDescent="0.3">
      <c r="A620" s="212">
        <v>8790</v>
      </c>
      <c r="B620" s="216" t="s">
        <v>546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547</v>
      </c>
    </row>
    <row r="621" spans="1:14" s="202" customFormat="1" ht="12.65" customHeight="1" x14ac:dyDescent="0.3">
      <c r="A621" s="212">
        <v>8630</v>
      </c>
      <c r="B621" s="216" t="s">
        <v>548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549</v>
      </c>
    </row>
    <row r="622" spans="1:14" s="202" customFormat="1" ht="12.65" customHeight="1" x14ac:dyDescent="0.3">
      <c r="A622" s="212">
        <v>8770</v>
      </c>
      <c r="B622" s="211" t="s">
        <v>550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551</v>
      </c>
    </row>
    <row r="623" spans="1:14" s="202" customFormat="1" ht="12.65" customHeight="1" x14ac:dyDescent="0.3">
      <c r="A623" s="212">
        <v>8640</v>
      </c>
      <c r="B623" s="216" t="s">
        <v>552</v>
      </c>
      <c r="C623" s="217">
        <f>BQ85</f>
        <v>0</v>
      </c>
      <c r="D623" s="217">
        <f>(D615/D612)*BQ90</f>
        <v>0</v>
      </c>
      <c r="E623" s="219">
        <f>SUM(C616:D623)</f>
        <v>663005.79080913914</v>
      </c>
      <c r="F623" s="219"/>
      <c r="G623" s="217"/>
      <c r="H623" s="219"/>
      <c r="I623" s="217"/>
      <c r="J623" s="217"/>
      <c r="N623" s="213" t="s">
        <v>553</v>
      </c>
    </row>
    <row r="624" spans="1:14" s="202" customFormat="1" ht="12.65" customHeight="1" x14ac:dyDescent="0.3">
      <c r="A624" s="212">
        <v>8420</v>
      </c>
      <c r="B624" s="216" t="s">
        <v>162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554</v>
      </c>
    </row>
    <row r="625" spans="1:14" s="202" customFormat="1" ht="12.65" customHeight="1" x14ac:dyDescent="0.3">
      <c r="A625" s="212">
        <v>8320</v>
      </c>
      <c r="B625" s="216" t="s">
        <v>158</v>
      </c>
      <c r="C625" s="217">
        <f>AY85</f>
        <v>377670</v>
      </c>
      <c r="D625" s="217">
        <f>(D615/D612)*AY90</f>
        <v>-72433.663676718919</v>
      </c>
      <c r="E625" s="219">
        <f>(E623/E612)*SUM(C625:D625)</f>
        <v>13195.405871432888</v>
      </c>
      <c r="F625" s="219">
        <f>(F624/F612)*AY64</f>
        <v>0</v>
      </c>
      <c r="G625" s="217">
        <f>SUM(C625:F625)</f>
        <v>318431.74219471397</v>
      </c>
      <c r="H625" s="219"/>
      <c r="I625" s="217"/>
      <c r="J625" s="217"/>
      <c r="N625" s="213" t="s">
        <v>555</v>
      </c>
    </row>
    <row r="626" spans="1:14" s="202" customFormat="1" ht="12.65" customHeight="1" x14ac:dyDescent="0.3">
      <c r="A626" s="212">
        <v>8650</v>
      </c>
      <c r="B626" s="216" t="s">
        <v>175</v>
      </c>
      <c r="C626" s="217">
        <f>BR85</f>
        <v>252004</v>
      </c>
      <c r="D626" s="217">
        <f>(D615/D612)*BR90</f>
        <v>-30868.35456265237</v>
      </c>
      <c r="E626" s="219">
        <f>(E623/E612)*SUM(C626:D626)</f>
        <v>9559.7222445253083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556</v>
      </c>
    </row>
    <row r="627" spans="1:14" s="202" customFormat="1" ht="12.65" customHeight="1" x14ac:dyDescent="0.3">
      <c r="A627" s="212">
        <v>8620</v>
      </c>
      <c r="B627" s="211" t="s">
        <v>557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558</v>
      </c>
    </row>
    <row r="628" spans="1:14" s="202" customFormat="1" ht="12.65" customHeight="1" x14ac:dyDescent="0.3">
      <c r="A628" s="212">
        <v>8330</v>
      </c>
      <c r="B628" s="216" t="s">
        <v>159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230695.36768187294</v>
      </c>
      <c r="I628" s="217"/>
      <c r="J628" s="217"/>
      <c r="N628" s="213" t="s">
        <v>559</v>
      </c>
    </row>
    <row r="629" spans="1:14" s="202" customFormat="1" ht="12.65" customHeight="1" x14ac:dyDescent="0.3">
      <c r="A629" s="212">
        <v>8460</v>
      </c>
      <c r="B629" s="216" t="s">
        <v>164</v>
      </c>
      <c r="C629" s="217">
        <f>BF85</f>
        <v>293970</v>
      </c>
      <c r="D629" s="217">
        <f>(D615/D612)*BF90</f>
        <v>-55929.790940251325</v>
      </c>
      <c r="E629" s="219">
        <f>(E623/E612)*SUM(C629:D629)</f>
        <v>10290.508692704898</v>
      </c>
      <c r="F629" s="219">
        <f>(F624/F612)*BF64</f>
        <v>0</v>
      </c>
      <c r="G629" s="217">
        <f>(G625/G612)*BF91</f>
        <v>0</v>
      </c>
      <c r="H629" s="219">
        <f>(H628/H612)*BF60</f>
        <v>11463.514364279119</v>
      </c>
      <c r="I629" s="217">
        <f>SUM(C629:H629)</f>
        <v>259794.23211673269</v>
      </c>
      <c r="J629" s="217"/>
      <c r="N629" s="213" t="s">
        <v>560</v>
      </c>
    </row>
    <row r="630" spans="1:14" s="202" customFormat="1" ht="12.65" customHeight="1" x14ac:dyDescent="0.3">
      <c r="A630" s="212">
        <v>8350</v>
      </c>
      <c r="B630" s="216" t="s">
        <v>561</v>
      </c>
      <c r="C630" s="217">
        <f>BA85</f>
        <v>95009</v>
      </c>
      <c r="D630" s="217">
        <f>(D615/D612)*BA90</f>
        <v>0</v>
      </c>
      <c r="E630" s="219">
        <f>(E623/E612)*SUM(C630:D630)</f>
        <v>4107.2512255263437</v>
      </c>
      <c r="F630" s="219">
        <f>(F624/F612)*BA64</f>
        <v>0</v>
      </c>
      <c r="G630" s="217">
        <f>(G625/G612)*BA91</f>
        <v>0</v>
      </c>
      <c r="H630" s="219">
        <f>(H628/H612)*BA60</f>
        <v>1781.3504953633001</v>
      </c>
      <c r="I630" s="217">
        <f>(I629/I612)*BA92</f>
        <v>0</v>
      </c>
      <c r="J630" s="217">
        <f>SUM(C630:I630)</f>
        <v>100897.60172088964</v>
      </c>
      <c r="N630" s="213" t="s">
        <v>562</v>
      </c>
    </row>
    <row r="631" spans="1:14" s="202" customFormat="1" ht="12.65" customHeight="1" x14ac:dyDescent="0.3">
      <c r="A631" s="212">
        <v>8200</v>
      </c>
      <c r="B631" s="216" t="s">
        <v>563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564</v>
      </c>
    </row>
    <row r="632" spans="1:14" s="202" customFormat="1" ht="12.65" customHeight="1" x14ac:dyDescent="0.3">
      <c r="A632" s="212">
        <v>8360</v>
      </c>
      <c r="B632" s="216" t="s">
        <v>565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566</v>
      </c>
    </row>
    <row r="633" spans="1:14" s="202" customFormat="1" ht="12.65" customHeight="1" x14ac:dyDescent="0.3">
      <c r="A633" s="212">
        <v>8370</v>
      </c>
      <c r="B633" s="216" t="s">
        <v>567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568</v>
      </c>
    </row>
    <row r="634" spans="1:14" s="202" customFormat="1" ht="12.65" customHeight="1" x14ac:dyDescent="0.3">
      <c r="A634" s="212">
        <v>8490</v>
      </c>
      <c r="B634" s="216" t="s">
        <v>569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570</v>
      </c>
    </row>
    <row r="635" spans="1:14" s="202" customFormat="1" ht="12.65" customHeight="1" x14ac:dyDescent="0.3">
      <c r="A635" s="212">
        <v>8530</v>
      </c>
      <c r="B635" s="216" t="s">
        <v>571</v>
      </c>
      <c r="C635" s="217">
        <f>BK85</f>
        <v>821767</v>
      </c>
      <c r="D635" s="217">
        <f>(D615/D612)*BK90</f>
        <v>0</v>
      </c>
      <c r="E635" s="219">
        <f>(E623/E612)*SUM(C635:D635)</f>
        <v>35525.09254751767</v>
      </c>
      <c r="F635" s="219">
        <f>(F624/F612)*BK64</f>
        <v>0</v>
      </c>
      <c r="G635" s="217">
        <f>(G625/G612)*BK91</f>
        <v>0</v>
      </c>
      <c r="H635" s="219">
        <f>(H628/H612)*BK60</f>
        <v>11882.655657305779</v>
      </c>
      <c r="I635" s="217">
        <f>(I629/I612)*BK92</f>
        <v>0</v>
      </c>
      <c r="J635" s="217">
        <f>(J630/J612)*BK93</f>
        <v>0</v>
      </c>
      <c r="N635" s="213" t="s">
        <v>572</v>
      </c>
    </row>
    <row r="636" spans="1:14" s="202" customFormat="1" ht="12.65" customHeight="1" x14ac:dyDescent="0.3">
      <c r="A636" s="212">
        <v>8480</v>
      </c>
      <c r="B636" s="216" t="s">
        <v>573</v>
      </c>
      <c r="C636" s="217">
        <f>BH85</f>
        <v>758848</v>
      </c>
      <c r="D636" s="217">
        <f>(D615/D612)*BH90</f>
        <v>0</v>
      </c>
      <c r="E636" s="219">
        <f>(E623/E612)*SUM(C636:D636)</f>
        <v>32805.096127611221</v>
      </c>
      <c r="F636" s="219">
        <f>(F624/F612)*BH64</f>
        <v>0</v>
      </c>
      <c r="G636" s="217">
        <f>(G625/G612)*BH91</f>
        <v>0</v>
      </c>
      <c r="H636" s="219">
        <f>(H628/H612)*BH60</f>
        <v>4652.4683525959135</v>
      </c>
      <c r="I636" s="217">
        <f>(I629/I612)*BH92</f>
        <v>0</v>
      </c>
      <c r="J636" s="217">
        <f>(J630/J612)*BH93</f>
        <v>0</v>
      </c>
      <c r="N636" s="213" t="s">
        <v>574</v>
      </c>
    </row>
    <row r="637" spans="1:14" s="202" customFormat="1" ht="12.65" customHeight="1" x14ac:dyDescent="0.3">
      <c r="A637" s="212">
        <v>8560</v>
      </c>
      <c r="B637" s="216" t="s">
        <v>170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575</v>
      </c>
    </row>
    <row r="638" spans="1:14" s="202" customFormat="1" ht="12.65" customHeight="1" x14ac:dyDescent="0.3">
      <c r="A638" s="212">
        <v>8590</v>
      </c>
      <c r="B638" s="216" t="s">
        <v>576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577</v>
      </c>
    </row>
    <row r="639" spans="1:14" s="202" customFormat="1" ht="12.65" customHeight="1" x14ac:dyDescent="0.3">
      <c r="A639" s="212">
        <v>8660</v>
      </c>
      <c r="B639" s="216" t="s">
        <v>578</v>
      </c>
      <c r="C639" s="217">
        <f>BS85</f>
        <v>114125</v>
      </c>
      <c r="D639" s="217">
        <f>(D615/D612)*BS90</f>
        <v>0</v>
      </c>
      <c r="E639" s="219">
        <f>(E623/E612)*SUM(C639:D639)</f>
        <v>4933.63835124245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579</v>
      </c>
    </row>
    <row r="640" spans="1:14" s="202" customFormat="1" ht="12.65" customHeight="1" x14ac:dyDescent="0.3">
      <c r="A640" s="212">
        <v>8670</v>
      </c>
      <c r="B640" s="216" t="s">
        <v>580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581</v>
      </c>
    </row>
    <row r="641" spans="1:14" s="202" customFormat="1" ht="12.65" customHeight="1" x14ac:dyDescent="0.3">
      <c r="A641" s="212">
        <v>8680</v>
      </c>
      <c r="B641" s="216" t="s">
        <v>582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583</v>
      </c>
    </row>
    <row r="642" spans="1:14" s="202" customFormat="1" ht="12.65" customHeight="1" x14ac:dyDescent="0.3">
      <c r="A642" s="212">
        <v>8690</v>
      </c>
      <c r="B642" s="216" t="s">
        <v>584</v>
      </c>
      <c r="C642" s="217">
        <f>BV85</f>
        <v>338189</v>
      </c>
      <c r="D642" s="217">
        <f>(D615/D612)*BV90</f>
        <v>-58833.250032778029</v>
      </c>
      <c r="E642" s="219">
        <f>(E623/E612)*SUM(C642:D642)</f>
        <v>12076.584812077837</v>
      </c>
      <c r="F642" s="219">
        <f>(F624/F612)*BV64</f>
        <v>0</v>
      </c>
      <c r="G642" s="217">
        <f>(G625/G612)*BV91</f>
        <v>0</v>
      </c>
      <c r="H642" s="219">
        <f>(H628/H612)*BV60</f>
        <v>6685.3036237752094</v>
      </c>
      <c r="I642" s="217">
        <f>(I629/I612)*BV92</f>
        <v>7686.9616401708436</v>
      </c>
      <c r="J642" s="217">
        <f>(J630/J612)*BV93</f>
        <v>0</v>
      </c>
      <c r="N642" s="213" t="s">
        <v>585</v>
      </c>
    </row>
    <row r="643" spans="1:14" s="202" customFormat="1" ht="12.65" customHeight="1" x14ac:dyDescent="0.3">
      <c r="A643" s="212">
        <v>8700</v>
      </c>
      <c r="B643" s="216" t="s">
        <v>586</v>
      </c>
      <c r="C643" s="217">
        <f>BW85</f>
        <v>2114293</v>
      </c>
      <c r="D643" s="217">
        <f>(D615/D612)*BW90</f>
        <v>0</v>
      </c>
      <c r="E643" s="219">
        <f>(E623/E612)*SUM(C643:D643)</f>
        <v>91401.156894312837</v>
      </c>
      <c r="F643" s="219">
        <f>(F624/F612)*BW64</f>
        <v>0</v>
      </c>
      <c r="G643" s="217">
        <f>(G625/G612)*BW91</f>
        <v>0</v>
      </c>
      <c r="H643" s="219">
        <f>(H628/H612)*BW60</f>
        <v>12616.152920102431</v>
      </c>
      <c r="I643" s="217">
        <f>(I629/I612)*BW92</f>
        <v>0</v>
      </c>
      <c r="J643" s="217">
        <f>(J630/J612)*BW93</f>
        <v>0</v>
      </c>
      <c r="N643" s="213" t="s">
        <v>587</v>
      </c>
    </row>
    <row r="644" spans="1:14" s="202" customFormat="1" ht="12.65" customHeight="1" x14ac:dyDescent="0.3">
      <c r="A644" s="212">
        <v>8710</v>
      </c>
      <c r="B644" s="216" t="s">
        <v>588</v>
      </c>
      <c r="C644" s="217">
        <f>BX85</f>
        <v>15967</v>
      </c>
      <c r="D644" s="217">
        <f>(D615/D612)*BX90</f>
        <v>0</v>
      </c>
      <c r="E644" s="219">
        <f>(E623/E612)*SUM(C644:D644)</f>
        <v>690.25545283056465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4325311.1163467644</v>
      </c>
      <c r="L644" s="219"/>
      <c r="N644" s="213" t="s">
        <v>589</v>
      </c>
    </row>
    <row r="645" spans="1:14" s="202" customFormat="1" ht="12.65" customHeight="1" x14ac:dyDescent="0.3">
      <c r="A645" s="212">
        <v>8720</v>
      </c>
      <c r="B645" s="216" t="s">
        <v>590</v>
      </c>
      <c r="C645" s="217">
        <f>BY85</f>
        <v>759540</v>
      </c>
      <c r="D645" s="217">
        <f>(D615/D612)*BY90</f>
        <v>-23304.07955843805</v>
      </c>
      <c r="E645" s="219">
        <f>(E623/E612)*SUM(C645:D645)</f>
        <v>31827.573035292662</v>
      </c>
      <c r="F645" s="219">
        <f>(F624/F612)*BY64</f>
        <v>0</v>
      </c>
      <c r="G645" s="217">
        <f>(G625/G612)*BY91</f>
        <v>0</v>
      </c>
      <c r="H645" s="219">
        <f>(H628/H612)*BY60</f>
        <v>2619.6330814166181</v>
      </c>
      <c r="I645" s="217">
        <f>(I629/I612)*BY92</f>
        <v>3051.1324664062736</v>
      </c>
      <c r="J645" s="217">
        <f>(J630/J612)*BY93</f>
        <v>0</v>
      </c>
      <c r="K645" s="219">
        <v>0</v>
      </c>
      <c r="L645" s="219"/>
      <c r="N645" s="213" t="s">
        <v>591</v>
      </c>
    </row>
    <row r="646" spans="1:14" s="202" customFormat="1" ht="12.65" customHeight="1" x14ac:dyDescent="0.3">
      <c r="A646" s="212">
        <v>8730</v>
      </c>
      <c r="B646" s="216" t="s">
        <v>592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593</v>
      </c>
    </row>
    <row r="647" spans="1:14" s="202" customFormat="1" ht="12.65" customHeight="1" x14ac:dyDescent="0.3">
      <c r="A647" s="212">
        <v>8740</v>
      </c>
      <c r="B647" s="216" t="s">
        <v>594</v>
      </c>
      <c r="C647" s="217">
        <f>CA85</f>
        <v>26436</v>
      </c>
      <c r="D647" s="217">
        <f>(D615/D612)*CA90</f>
        <v>0</v>
      </c>
      <c r="E647" s="219">
        <f>(E623/E612)*SUM(C647:D647)</f>
        <v>1142.831662242676</v>
      </c>
      <c r="F647" s="219">
        <f>(F624/F612)*CA64</f>
        <v>0</v>
      </c>
      <c r="G647" s="217">
        <f>(G625/G612)*CA91</f>
        <v>0</v>
      </c>
      <c r="H647" s="219">
        <f>(H628/H612)*CA60</f>
        <v>146.69945255933061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801459.79013947956</v>
      </c>
      <c r="N647" s="213" t="s">
        <v>595</v>
      </c>
    </row>
    <row r="648" spans="1:14" s="202" customFormat="1" ht="12.65" customHeight="1" x14ac:dyDescent="0.3">
      <c r="A648" s="212"/>
      <c r="B648" s="212"/>
      <c r="C648" s="202">
        <f>SUM(C614:C647)</f>
        <v>4485017</v>
      </c>
      <c r="L648" s="215"/>
    </row>
    <row r="666" spans="1:14" s="202" customFormat="1" ht="12.65" customHeight="1" x14ac:dyDescent="0.3">
      <c r="C666" s="210" t="s">
        <v>596</v>
      </c>
      <c r="M666" s="210" t="s">
        <v>597</v>
      </c>
    </row>
    <row r="667" spans="1:14" s="202" customFormat="1" ht="12.65" customHeight="1" x14ac:dyDescent="0.3">
      <c r="C667" s="210" t="s">
        <v>526</v>
      </c>
      <c r="D667" s="210" t="s">
        <v>527</v>
      </c>
      <c r="E667" s="211" t="s">
        <v>528</v>
      </c>
      <c r="F667" s="210" t="s">
        <v>529</v>
      </c>
      <c r="G667" s="210" t="s">
        <v>530</v>
      </c>
      <c r="H667" s="210" t="s">
        <v>531</v>
      </c>
      <c r="I667" s="210" t="s">
        <v>532</v>
      </c>
      <c r="J667" s="210" t="s">
        <v>533</v>
      </c>
      <c r="K667" s="210" t="s">
        <v>534</v>
      </c>
      <c r="L667" s="211" t="s">
        <v>535</v>
      </c>
      <c r="M667" s="210" t="s">
        <v>598</v>
      </c>
    </row>
    <row r="668" spans="1:14" s="202" customFormat="1" ht="12.65" customHeight="1" x14ac:dyDescent="0.3">
      <c r="A668" s="212">
        <v>6010</v>
      </c>
      <c r="B668" s="211" t="s">
        <v>325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19">ROUND(SUM(D668:L668),0)</f>
        <v>0</v>
      </c>
      <c r="N668" s="211" t="s">
        <v>599</v>
      </c>
    </row>
    <row r="669" spans="1:14" s="202" customFormat="1" ht="12.65" customHeight="1" x14ac:dyDescent="0.3">
      <c r="A669" s="212">
        <v>6030</v>
      </c>
      <c r="B669" s="211" t="s">
        <v>326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19"/>
        <v>0</v>
      </c>
      <c r="N669" s="211" t="s">
        <v>600</v>
      </c>
    </row>
    <row r="670" spans="1:14" s="202" customFormat="1" ht="12.65" customHeight="1" x14ac:dyDescent="0.3">
      <c r="A670" s="212">
        <v>6070</v>
      </c>
      <c r="B670" s="211" t="s">
        <v>601</v>
      </c>
      <c r="C670" s="217">
        <f>E85</f>
        <v>222508</v>
      </c>
      <c r="D670" s="217">
        <f>(D615/D612)*E90</f>
        <v>-34688.695473871725</v>
      </c>
      <c r="E670" s="219">
        <f>(E623/E612)*SUM(C670:D670)</f>
        <v>8119.4525644143805</v>
      </c>
      <c r="F670" s="219">
        <f>(F624/F612)*E64</f>
        <v>0</v>
      </c>
      <c r="G670" s="217">
        <f>(G625/G612)*E91</f>
        <v>11934.727845450536</v>
      </c>
      <c r="H670" s="219">
        <f>(H628/H612)*E60</f>
        <v>4715.3395465499125</v>
      </c>
      <c r="I670" s="217">
        <f>(I629/I612)*E92</f>
        <v>4541.2204151163141</v>
      </c>
      <c r="J670" s="217">
        <f>(J630/J612)*E93</f>
        <v>4301.9832494838347</v>
      </c>
      <c r="K670" s="217">
        <f>(K644/K612)*E89</f>
        <v>144569.74615999643</v>
      </c>
      <c r="L670" s="217">
        <f>(L647/L612)*E94</f>
        <v>54844.419945676076</v>
      </c>
      <c r="M670" s="202">
        <f t="shared" si="19"/>
        <v>198338</v>
      </c>
      <c r="N670" s="211" t="s">
        <v>602</v>
      </c>
    </row>
    <row r="671" spans="1:14" s="202" customFormat="1" ht="12.65" customHeight="1" x14ac:dyDescent="0.3">
      <c r="A671" s="212">
        <v>6100</v>
      </c>
      <c r="B671" s="211" t="s">
        <v>603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19"/>
        <v>0</v>
      </c>
      <c r="N671" s="211" t="s">
        <v>604</v>
      </c>
    </row>
    <row r="672" spans="1:14" s="202" customFormat="1" ht="12.65" customHeight="1" x14ac:dyDescent="0.3">
      <c r="A672" s="212">
        <v>6120</v>
      </c>
      <c r="B672" s="211" t="s">
        <v>605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19"/>
        <v>0</v>
      </c>
      <c r="N672" s="211" t="s">
        <v>606</v>
      </c>
    </row>
    <row r="673" spans="1:14" s="202" customFormat="1" ht="12.65" customHeight="1" x14ac:dyDescent="0.3">
      <c r="A673" s="212">
        <v>6140</v>
      </c>
      <c r="B673" s="211" t="s">
        <v>607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19"/>
        <v>0</v>
      </c>
      <c r="N673" s="211" t="s">
        <v>608</v>
      </c>
    </row>
    <row r="674" spans="1:14" s="202" customFormat="1" ht="12.65" customHeight="1" x14ac:dyDescent="0.3">
      <c r="A674" s="212">
        <v>6150</v>
      </c>
      <c r="B674" s="211" t="s">
        <v>609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19"/>
        <v>0</v>
      </c>
      <c r="N674" s="211" t="s">
        <v>610</v>
      </c>
    </row>
    <row r="675" spans="1:14" s="202" customFormat="1" ht="12.65" customHeight="1" x14ac:dyDescent="0.3">
      <c r="A675" s="212">
        <v>6170</v>
      </c>
      <c r="B675" s="211" t="s">
        <v>121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19"/>
        <v>0</v>
      </c>
      <c r="N675" s="211" t="s">
        <v>611</v>
      </c>
    </row>
    <row r="676" spans="1:14" s="202" customFormat="1" ht="12.65" customHeight="1" x14ac:dyDescent="0.3">
      <c r="A676" s="212">
        <v>6200</v>
      </c>
      <c r="B676" s="211" t="s">
        <v>331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19"/>
        <v>0</v>
      </c>
      <c r="N676" s="211" t="s">
        <v>612</v>
      </c>
    </row>
    <row r="677" spans="1:14" s="202" customFormat="1" ht="12.65" customHeight="1" x14ac:dyDescent="0.3">
      <c r="A677" s="212">
        <v>6210</v>
      </c>
      <c r="B677" s="211" t="s">
        <v>332</v>
      </c>
      <c r="C677" s="217">
        <f>L85</f>
        <v>2953242</v>
      </c>
      <c r="D677" s="217">
        <f>(D615/D612)*L90</f>
        <v>-460809.52071127831</v>
      </c>
      <c r="E677" s="219">
        <f>(E623/E612)*SUM(C677:D677)</f>
        <v>107748.17496342729</v>
      </c>
      <c r="F677" s="219">
        <f>(F624/F612)*L64</f>
        <v>0</v>
      </c>
      <c r="G677" s="217">
        <f>(G625/G612)*L91</f>
        <v>158309.89322110635</v>
      </c>
      <c r="H677" s="219">
        <f>(H628/H612)*L60</f>
        <v>62452.052660972171</v>
      </c>
      <c r="I677" s="217">
        <f>(I629/I612)*L92</f>
        <v>60265.779258939416</v>
      </c>
      <c r="J677" s="217">
        <f>(J630/J612)*L93</f>
        <v>57092.724194829636</v>
      </c>
      <c r="K677" s="217">
        <f>(K644/K612)*L89</f>
        <v>359581.42023239157</v>
      </c>
      <c r="L677" s="217">
        <f>(L647/L612)*L94</f>
        <v>726383.87305828754</v>
      </c>
      <c r="M677" s="202">
        <f t="shared" si="19"/>
        <v>1071024</v>
      </c>
      <c r="N677" s="211" t="s">
        <v>613</v>
      </c>
    </row>
    <row r="678" spans="1:14" s="202" customFormat="1" ht="12.65" customHeight="1" x14ac:dyDescent="0.3">
      <c r="A678" s="212">
        <v>6330</v>
      </c>
      <c r="B678" s="211" t="s">
        <v>614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19"/>
        <v>0</v>
      </c>
      <c r="N678" s="211" t="s">
        <v>615</v>
      </c>
    </row>
    <row r="679" spans="1:14" s="202" customFormat="1" ht="12.65" customHeight="1" x14ac:dyDescent="0.3">
      <c r="A679" s="212">
        <v>6400</v>
      </c>
      <c r="B679" s="211" t="s">
        <v>616</v>
      </c>
      <c r="C679" s="217">
        <f>N85</f>
        <v>1489579</v>
      </c>
      <c r="D679" s="217">
        <f>(D615/D612)*N90</f>
        <v>-793637.62089670834</v>
      </c>
      <c r="E679" s="219">
        <f>(E623/E612)*SUM(C679:D679)</f>
        <v>30085.634857923862</v>
      </c>
      <c r="F679" s="219">
        <f>(F624/F612)*N64</f>
        <v>0</v>
      </c>
      <c r="G679" s="217">
        <f>(G625/G612)*N91</f>
        <v>143786.28731807435</v>
      </c>
      <c r="H679" s="219">
        <f>(H628/H612)*N60</f>
        <v>32651.106726776728</v>
      </c>
      <c r="I679" s="217">
        <f>(I629/I612)*N92</f>
        <v>103785.80823713742</v>
      </c>
      <c r="J679" s="217">
        <f>(J630/J612)*N93</f>
        <v>0</v>
      </c>
      <c r="K679" s="217">
        <f>(K644/K612)*N89</f>
        <v>95309.371122693381</v>
      </c>
      <c r="L679" s="217">
        <f>(L647/L612)*N94</f>
        <v>0</v>
      </c>
      <c r="M679" s="202">
        <f t="shared" si="19"/>
        <v>-388019</v>
      </c>
      <c r="N679" s="211" t="s">
        <v>617</v>
      </c>
    </row>
    <row r="680" spans="1:14" s="202" customFormat="1" ht="12.65" customHeight="1" x14ac:dyDescent="0.3">
      <c r="A680" s="212">
        <v>7010</v>
      </c>
      <c r="B680" s="211" t="s">
        <v>618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19"/>
        <v>0</v>
      </c>
      <c r="N680" s="211" t="s">
        <v>619</v>
      </c>
    </row>
    <row r="681" spans="1:14" s="202" customFormat="1" ht="12.65" customHeight="1" x14ac:dyDescent="0.3">
      <c r="A681" s="212">
        <v>7020</v>
      </c>
      <c r="B681" s="211" t="s">
        <v>620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19"/>
        <v>0</v>
      </c>
      <c r="N681" s="211" t="s">
        <v>621</v>
      </c>
    </row>
    <row r="682" spans="1:14" s="202" customFormat="1" ht="12.65" customHeight="1" x14ac:dyDescent="0.3">
      <c r="A682" s="212">
        <v>7030</v>
      </c>
      <c r="B682" s="211" t="s">
        <v>622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19"/>
        <v>0</v>
      </c>
      <c r="N682" s="211" t="s">
        <v>623</v>
      </c>
    </row>
    <row r="683" spans="1:14" s="202" customFormat="1" ht="12.65" customHeight="1" x14ac:dyDescent="0.3">
      <c r="A683" s="212">
        <v>7040</v>
      </c>
      <c r="B683" s="211" t="s">
        <v>129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19"/>
        <v>0</v>
      </c>
      <c r="N683" s="211" t="s">
        <v>624</v>
      </c>
    </row>
    <row r="684" spans="1:14" s="202" customFormat="1" ht="12.65" customHeight="1" x14ac:dyDescent="0.3">
      <c r="A684" s="212">
        <v>7050</v>
      </c>
      <c r="B684" s="211" t="s">
        <v>625</v>
      </c>
      <c r="C684" s="217">
        <f>S85</f>
        <v>163529</v>
      </c>
      <c r="D684" s="217">
        <f>(D615/D612)*S90</f>
        <v>-61583.895488855967</v>
      </c>
      <c r="E684" s="219">
        <f>(E623/E612)*SUM(C684:D684)</f>
        <v>4407.0999109537779</v>
      </c>
      <c r="F684" s="219">
        <f>(F624/F612)*S64</f>
        <v>0</v>
      </c>
      <c r="G684" s="217">
        <f>(G625/G612)*S91</f>
        <v>0</v>
      </c>
      <c r="H684" s="219">
        <f>(H628/H612)*S60</f>
        <v>3918.9710897992609</v>
      </c>
      <c r="I684" s="217">
        <f>(I629/I612)*S92</f>
        <v>8065.3966747638697</v>
      </c>
      <c r="J684" s="217">
        <f>(J630/J612)*S93</f>
        <v>0</v>
      </c>
      <c r="K684" s="217">
        <f>(K644/K612)*S89</f>
        <v>153627.76007598641</v>
      </c>
      <c r="L684" s="217">
        <f>(L647/L612)*S94</f>
        <v>0</v>
      </c>
      <c r="M684" s="202">
        <f t="shared" si="19"/>
        <v>108435</v>
      </c>
      <c r="N684" s="211" t="s">
        <v>626</v>
      </c>
    </row>
    <row r="685" spans="1:14" s="202" customFormat="1" ht="12.65" customHeight="1" x14ac:dyDescent="0.3">
      <c r="A685" s="212">
        <v>7060</v>
      </c>
      <c r="B685" s="211" t="s">
        <v>627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19"/>
        <v>0</v>
      </c>
      <c r="N685" s="211" t="s">
        <v>628</v>
      </c>
    </row>
    <row r="686" spans="1:14" s="202" customFormat="1" ht="12.65" customHeight="1" x14ac:dyDescent="0.3">
      <c r="A686" s="212">
        <v>7070</v>
      </c>
      <c r="B686" s="211" t="s">
        <v>132</v>
      </c>
      <c r="C686" s="217">
        <f>U85</f>
        <v>1036449</v>
      </c>
      <c r="D686" s="217">
        <f>(D615/D612)*U90</f>
        <v>-71287.561403353116</v>
      </c>
      <c r="E686" s="219">
        <f>(E623/E612)*SUM(C686:D686)</f>
        <v>41724.052474048207</v>
      </c>
      <c r="F686" s="219">
        <f>(F624/F612)*U64</f>
        <v>0</v>
      </c>
      <c r="G686" s="217">
        <f>(G625/G612)*U91</f>
        <v>0</v>
      </c>
      <c r="H686" s="219">
        <f>(H628/H612)*U60</f>
        <v>13244.864859642421</v>
      </c>
      <c r="I686" s="217">
        <f>(I629/I612)*U92</f>
        <v>9318.9627268532695</v>
      </c>
      <c r="J686" s="217">
        <f>(J630/J612)*U93</f>
        <v>0</v>
      </c>
      <c r="K686" s="217">
        <f>(K644/K612)*U89</f>
        <v>581341.59260492551</v>
      </c>
      <c r="L686" s="217">
        <f>(L647/L612)*U94</f>
        <v>0</v>
      </c>
      <c r="M686" s="202">
        <f t="shared" si="19"/>
        <v>574342</v>
      </c>
      <c r="N686" s="211" t="s">
        <v>629</v>
      </c>
    </row>
    <row r="687" spans="1:14" s="202" customFormat="1" ht="12.65" customHeight="1" x14ac:dyDescent="0.3">
      <c r="A687" s="212">
        <v>7110</v>
      </c>
      <c r="B687" s="211" t="s">
        <v>630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19"/>
        <v>0</v>
      </c>
      <c r="N687" s="211" t="s">
        <v>631</v>
      </c>
    </row>
    <row r="688" spans="1:14" s="202" customFormat="1" ht="12.65" customHeight="1" x14ac:dyDescent="0.3">
      <c r="A688" s="212">
        <v>7120</v>
      </c>
      <c r="B688" s="211" t="s">
        <v>632</v>
      </c>
      <c r="C688" s="217">
        <f>W85</f>
        <v>144686</v>
      </c>
      <c r="D688" s="217">
        <f>(D615/D612)*W90</f>
        <v>-4789.1793663045801</v>
      </c>
      <c r="E688" s="219">
        <f>(E623/E612)*SUM(C688:D688)</f>
        <v>6047.757454504148</v>
      </c>
      <c r="F688" s="219">
        <f>(F624/F612)*W64</f>
        <v>0</v>
      </c>
      <c r="G688" s="217">
        <f>(G625/G612)*W91</f>
        <v>0</v>
      </c>
      <c r="H688" s="219">
        <f>(H628/H612)*W60</f>
        <v>775.41139209931896</v>
      </c>
      <c r="I688" s="217">
        <f>(I629/I612)*W92</f>
        <v>624.6543289751138</v>
      </c>
      <c r="J688" s="217">
        <f>(J630/J612)*W93</f>
        <v>540.84369255538991</v>
      </c>
      <c r="K688" s="217">
        <f>(K644/K612)*W89</f>
        <v>68722.958567276699</v>
      </c>
      <c r="L688" s="217">
        <f>(L647/L612)*W94</f>
        <v>0</v>
      </c>
      <c r="M688" s="202">
        <f t="shared" si="19"/>
        <v>71922</v>
      </c>
      <c r="N688" s="211" t="s">
        <v>633</v>
      </c>
    </row>
    <row r="689" spans="1:14" s="202" customFormat="1" ht="12.65" customHeight="1" x14ac:dyDescent="0.3">
      <c r="A689" s="212">
        <v>7130</v>
      </c>
      <c r="B689" s="211" t="s">
        <v>634</v>
      </c>
      <c r="C689" s="217">
        <f>X85</f>
        <v>317589.32999999996</v>
      </c>
      <c r="D689" s="217">
        <f>(D615/D612)*X90</f>
        <v>-21416.067080113447</v>
      </c>
      <c r="E689" s="219">
        <f>(E623/E612)*SUM(C689:D689)</f>
        <v>12803.608048667385</v>
      </c>
      <c r="F689" s="219">
        <f>(F624/F612)*X64</f>
        <v>0</v>
      </c>
      <c r="G689" s="217">
        <f>(G625/G612)*X91</f>
        <v>0</v>
      </c>
      <c r="H689" s="219">
        <f>(H628/H612)*X60</f>
        <v>3499.8297967726016</v>
      </c>
      <c r="I689" s="217">
        <f>(I629/I612)*X92</f>
        <v>2803.4940406444621</v>
      </c>
      <c r="J689" s="217">
        <f>(J630/J612)*X93</f>
        <v>2419.5310187889172</v>
      </c>
      <c r="K689" s="217">
        <f>(K644/K612)*X89</f>
        <v>307329.74358556065</v>
      </c>
      <c r="L689" s="217">
        <f>(L647/L612)*X94</f>
        <v>0</v>
      </c>
      <c r="M689" s="202">
        <f t="shared" si="19"/>
        <v>307440</v>
      </c>
      <c r="N689" s="211" t="s">
        <v>635</v>
      </c>
    </row>
    <row r="690" spans="1:14" s="202" customFormat="1" ht="12.65" customHeight="1" x14ac:dyDescent="0.3">
      <c r="A690" s="212">
        <v>7140</v>
      </c>
      <c r="B690" s="211" t="s">
        <v>636</v>
      </c>
      <c r="C690" s="217">
        <f>Y85</f>
        <v>485634.85000000003</v>
      </c>
      <c r="D690" s="217">
        <f>(D615/D612)*Y90</f>
        <v>-41336.088659393397</v>
      </c>
      <c r="E690" s="219">
        <f>(E623/E612)*SUM(C690:D690)</f>
        <v>19207.092296688134</v>
      </c>
      <c r="F690" s="219">
        <f>(F624/F612)*Y64</f>
        <v>0</v>
      </c>
      <c r="G690" s="217">
        <f>(G625/G612)*Y91</f>
        <v>0</v>
      </c>
      <c r="H690" s="219">
        <f>(H628/H612)*Y60</f>
        <v>6748.1748177292084</v>
      </c>
      <c r="I690" s="217">
        <f>(I629/I612)*Y92</f>
        <v>5392.6992429506226</v>
      </c>
      <c r="J690" s="217">
        <f>(J630/J612)*Y93</f>
        <v>4668.4993752725004</v>
      </c>
      <c r="K690" s="217">
        <f>(K644/K612)*Y89</f>
        <v>593217.50403887359</v>
      </c>
      <c r="L690" s="217">
        <f>(L647/L612)*Y94</f>
        <v>0</v>
      </c>
      <c r="M690" s="202">
        <f t="shared" si="19"/>
        <v>587898</v>
      </c>
      <c r="N690" s="211" t="s">
        <v>637</v>
      </c>
    </row>
    <row r="691" spans="1:14" s="202" customFormat="1" ht="12.65" customHeight="1" x14ac:dyDescent="0.3">
      <c r="A691" s="212">
        <v>7150</v>
      </c>
      <c r="B691" s="211" t="s">
        <v>638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19"/>
        <v>0</v>
      </c>
      <c r="N691" s="211" t="s">
        <v>639</v>
      </c>
    </row>
    <row r="692" spans="1:14" s="202" customFormat="1" ht="12.65" customHeight="1" x14ac:dyDescent="0.3">
      <c r="A692" s="212">
        <v>7160</v>
      </c>
      <c r="B692" s="211" t="s">
        <v>640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19"/>
        <v>0</v>
      </c>
      <c r="N692" s="211" t="s">
        <v>641</v>
      </c>
    </row>
    <row r="693" spans="1:14" s="202" customFormat="1" ht="12.65" customHeight="1" x14ac:dyDescent="0.3">
      <c r="A693" s="212">
        <v>7170</v>
      </c>
      <c r="B693" s="211" t="s">
        <v>138</v>
      </c>
      <c r="C693" s="217">
        <f>AB85</f>
        <v>2347358</v>
      </c>
      <c r="D693" s="217">
        <f>(D615/D612)*AB90</f>
        <v>-7640.6818224387052</v>
      </c>
      <c r="E693" s="219">
        <f>(E623/E612)*SUM(C693:D693)</f>
        <v>101146.27901009376</v>
      </c>
      <c r="F693" s="219">
        <f>(F624/F612)*AB64</f>
        <v>0</v>
      </c>
      <c r="G693" s="217">
        <f>(G625/G612)*AB91</f>
        <v>0</v>
      </c>
      <c r="H693" s="219">
        <f>(H628/H612)*AB60</f>
        <v>0</v>
      </c>
      <c r="I693" s="217">
        <f>(I629/I612)*AB92</f>
        <v>993.39196580669363</v>
      </c>
      <c r="J693" s="217">
        <f>(J630/J612)*AB93</f>
        <v>0</v>
      </c>
      <c r="K693" s="217">
        <f>(K644/K612)*AB89</f>
        <v>224545.65791075939</v>
      </c>
      <c r="L693" s="217">
        <f>(L647/L612)*AB94</f>
        <v>0</v>
      </c>
      <c r="M693" s="202">
        <f t="shared" si="19"/>
        <v>319045</v>
      </c>
      <c r="N693" s="211" t="s">
        <v>642</v>
      </c>
    </row>
    <row r="694" spans="1:14" s="202" customFormat="1" ht="12.65" customHeight="1" x14ac:dyDescent="0.3">
      <c r="A694" s="212">
        <v>7180</v>
      </c>
      <c r="B694" s="211" t="s">
        <v>643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19"/>
        <v>0</v>
      </c>
      <c r="N694" s="211" t="s">
        <v>644</v>
      </c>
    </row>
    <row r="695" spans="1:14" s="202" customFormat="1" ht="12.65" customHeight="1" x14ac:dyDescent="0.3">
      <c r="A695" s="212">
        <v>7190</v>
      </c>
      <c r="B695" s="211" t="s">
        <v>140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19"/>
        <v>0</v>
      </c>
      <c r="N695" s="211" t="s">
        <v>645</v>
      </c>
    </row>
    <row r="696" spans="1:14" s="202" customFormat="1" ht="12.65" customHeight="1" x14ac:dyDescent="0.3">
      <c r="A696" s="212">
        <v>7200</v>
      </c>
      <c r="B696" s="211" t="s">
        <v>646</v>
      </c>
      <c r="C696" s="217">
        <f>AE85</f>
        <v>685287</v>
      </c>
      <c r="D696" s="217">
        <f>(D615/D612)*AE90</f>
        <v>-144256.07280764275</v>
      </c>
      <c r="E696" s="219">
        <f>(E623/E612)*SUM(C696:D696)</f>
        <v>23388.836202448852</v>
      </c>
      <c r="F696" s="219">
        <f>(F624/F612)*AE64</f>
        <v>0</v>
      </c>
      <c r="G696" s="217">
        <f>(G625/G612)*AE91</f>
        <v>0</v>
      </c>
      <c r="H696" s="219">
        <f>(H628/H612)*AE60</f>
        <v>14104.104510347071</v>
      </c>
      <c r="I696" s="217">
        <f>(I629/I612)*AE92</f>
        <v>18874.44735032718</v>
      </c>
      <c r="J696" s="217">
        <f>(J630/J612)*AE93</f>
        <v>5540.2977974480737</v>
      </c>
      <c r="K696" s="217">
        <f>(K644/K612)*AE89</f>
        <v>233202.5735775576</v>
      </c>
      <c r="L696" s="217">
        <f>(L647/L612)*AE94</f>
        <v>0</v>
      </c>
      <c r="M696" s="202">
        <f t="shared" si="19"/>
        <v>150854</v>
      </c>
      <c r="N696" s="211" t="s">
        <v>647</v>
      </c>
    </row>
    <row r="697" spans="1:14" s="202" customFormat="1" ht="12.65" customHeight="1" x14ac:dyDescent="0.3">
      <c r="A697" s="212">
        <v>7220</v>
      </c>
      <c r="B697" s="211" t="s">
        <v>648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19"/>
        <v>0</v>
      </c>
      <c r="N697" s="211" t="s">
        <v>649</v>
      </c>
    </row>
    <row r="698" spans="1:14" s="202" customFormat="1" ht="12.65" customHeight="1" x14ac:dyDescent="0.3">
      <c r="A698" s="212">
        <v>7230</v>
      </c>
      <c r="B698" s="211" t="s">
        <v>650</v>
      </c>
      <c r="C698" s="217">
        <f>AG85</f>
        <v>518572</v>
      </c>
      <c r="D698" s="217">
        <f>(D615/D612)*AG90</f>
        <v>-76177.597769713888</v>
      </c>
      <c r="E698" s="219">
        <f>(E623/E612)*SUM(C698:D698)</f>
        <v>19124.766608703772</v>
      </c>
      <c r="F698" s="219">
        <f>(F624/F612)*AG64</f>
        <v>0</v>
      </c>
      <c r="G698" s="217">
        <f>(G625/G612)*AG91</f>
        <v>0</v>
      </c>
      <c r="H698" s="219">
        <f>(H628/H612)*AG60</f>
        <v>6706.2606884265424</v>
      </c>
      <c r="I698" s="217">
        <f>(I629/I612)*AG92</f>
        <v>9957.5718477290011</v>
      </c>
      <c r="J698" s="217">
        <f>(J630/J612)*AG93</f>
        <v>24000.819862632539</v>
      </c>
      <c r="K698" s="217">
        <f>(K644/K612)*AG89</f>
        <v>986060.90817242209</v>
      </c>
      <c r="L698" s="217">
        <f>(L647/L612)*AG94</f>
        <v>0</v>
      </c>
      <c r="M698" s="202">
        <f t="shared" si="19"/>
        <v>969673</v>
      </c>
      <c r="N698" s="211" t="s">
        <v>651</v>
      </c>
    </row>
    <row r="699" spans="1:14" s="202" customFormat="1" ht="12.65" customHeight="1" x14ac:dyDescent="0.3">
      <c r="A699" s="212">
        <v>7240</v>
      </c>
      <c r="B699" s="211" t="s">
        <v>142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19"/>
        <v>0</v>
      </c>
      <c r="N699" s="211" t="s">
        <v>652</v>
      </c>
    </row>
    <row r="700" spans="1:14" s="202" customFormat="1" ht="12.65" customHeight="1" x14ac:dyDescent="0.3">
      <c r="A700" s="212">
        <v>7250</v>
      </c>
      <c r="B700" s="211" t="s">
        <v>653</v>
      </c>
      <c r="C700" s="217">
        <f>AI85</f>
        <v>42775</v>
      </c>
      <c r="D700" s="217">
        <f>(D615/D612)*AI90</f>
        <v>-28958.184107042693</v>
      </c>
      <c r="E700" s="219">
        <f>(E623/E612)*SUM(C700:D700)</f>
        <v>597.30271878685971</v>
      </c>
      <c r="F700" s="219">
        <f>(F624/F612)*AI64</f>
        <v>0</v>
      </c>
      <c r="G700" s="217">
        <f>(G625/G612)*AI91</f>
        <v>0</v>
      </c>
      <c r="H700" s="219">
        <f>(H628/H612)*AI60</f>
        <v>41.914129302665891</v>
      </c>
      <c r="I700" s="217">
        <f>(I629/I612)*AI92</f>
        <v>3784.3503459302615</v>
      </c>
      <c r="J700" s="217">
        <f>(J630/J612)*AI93</f>
        <v>704.80438969146189</v>
      </c>
      <c r="K700" s="217">
        <f>(K644/K612)*AI89</f>
        <v>49854.162506005523</v>
      </c>
      <c r="L700" s="217">
        <f>(L647/L612)*AI94</f>
        <v>0</v>
      </c>
      <c r="M700" s="202">
        <f t="shared" si="19"/>
        <v>26024</v>
      </c>
      <c r="N700" s="211" t="s">
        <v>654</v>
      </c>
    </row>
    <row r="701" spans="1:14" s="202" customFormat="1" ht="12.65" customHeight="1" x14ac:dyDescent="0.3">
      <c r="A701" s="212">
        <v>7260</v>
      </c>
      <c r="B701" s="211" t="s">
        <v>144</v>
      </c>
      <c r="C701" s="217">
        <f>AJ85</f>
        <v>851782</v>
      </c>
      <c r="D701" s="217">
        <f>(D615/D612)*AJ90</f>
        <v>-145020.14098988663</v>
      </c>
      <c r="E701" s="219">
        <f>(E623/E612)*SUM(C701:D701)</f>
        <v>30553.405588676491</v>
      </c>
      <c r="F701" s="219">
        <f>(F624/F612)*AJ64</f>
        <v>0</v>
      </c>
      <c r="G701" s="217">
        <f>(G625/G612)*AJ91</f>
        <v>0</v>
      </c>
      <c r="H701" s="219">
        <f>(H628/H612)*AJ60</f>
        <v>25022.735193691533</v>
      </c>
      <c r="I701" s="217">
        <f>(I629/I612)*AJ92</f>
        <v>18969.056108975437</v>
      </c>
      <c r="J701" s="217">
        <f>(J630/J612)*AJ93</f>
        <v>41.039242944059808</v>
      </c>
      <c r="K701" s="217">
        <f>(K644/K612)*AJ89</f>
        <v>385934.46653373307</v>
      </c>
      <c r="L701" s="217">
        <f>(L647/L612)*AJ94</f>
        <v>0</v>
      </c>
      <c r="M701" s="202">
        <f t="shared" si="19"/>
        <v>315501</v>
      </c>
      <c r="N701" s="211" t="s">
        <v>655</v>
      </c>
    </row>
    <row r="702" spans="1:14" s="202" customFormat="1" ht="12.65" customHeight="1" x14ac:dyDescent="0.3">
      <c r="A702" s="212">
        <v>7310</v>
      </c>
      <c r="B702" s="211" t="s">
        <v>656</v>
      </c>
      <c r="C702" s="217">
        <f>AK85</f>
        <v>173555</v>
      </c>
      <c r="D702" s="217">
        <f>(D615/D612)*AK90</f>
        <v>0</v>
      </c>
      <c r="E702" s="219">
        <f>(E623/E612)*SUM(C702:D702)</f>
        <v>7502.8048547634908</v>
      </c>
      <c r="F702" s="219">
        <f>(F624/F612)*AK64</f>
        <v>0</v>
      </c>
      <c r="G702" s="217">
        <f>(G625/G612)*AK91</f>
        <v>0</v>
      </c>
      <c r="H702" s="219">
        <f>(H628/H612)*AK60</f>
        <v>3227.3879563052733</v>
      </c>
      <c r="I702" s="217">
        <f>(I629/I612)*AK92</f>
        <v>0</v>
      </c>
      <c r="J702" s="217">
        <f>(J630/J612)*AK93</f>
        <v>0</v>
      </c>
      <c r="K702" s="217">
        <f>(K644/K612)*AK89</f>
        <v>78753.331875246717</v>
      </c>
      <c r="L702" s="217">
        <f>(L647/L612)*AK94</f>
        <v>0</v>
      </c>
      <c r="M702" s="202">
        <f t="shared" si="19"/>
        <v>89484</v>
      </c>
      <c r="N702" s="211" t="s">
        <v>657</v>
      </c>
    </row>
    <row r="703" spans="1:14" s="202" customFormat="1" ht="12.65" customHeight="1" x14ac:dyDescent="0.3">
      <c r="A703" s="212">
        <v>7320</v>
      </c>
      <c r="B703" s="211" t="s">
        <v>658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19"/>
        <v>0</v>
      </c>
      <c r="N703" s="211" t="s">
        <v>659</v>
      </c>
    </row>
    <row r="704" spans="1:14" s="202" customFormat="1" ht="12.65" customHeight="1" x14ac:dyDescent="0.3">
      <c r="A704" s="212">
        <v>7330</v>
      </c>
      <c r="B704" s="211" t="s">
        <v>660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19"/>
        <v>0</v>
      </c>
      <c r="N704" s="211" t="s">
        <v>661</v>
      </c>
    </row>
    <row r="705" spans="1:14" s="202" customFormat="1" ht="12.65" customHeight="1" x14ac:dyDescent="0.3">
      <c r="A705" s="212">
        <v>7340</v>
      </c>
      <c r="B705" s="211" t="s">
        <v>662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19"/>
        <v>0</v>
      </c>
      <c r="N705" s="211" t="s">
        <v>663</v>
      </c>
    </row>
    <row r="706" spans="1:14" s="202" customFormat="1" ht="12.65" customHeight="1" x14ac:dyDescent="0.3">
      <c r="A706" s="212">
        <v>7350</v>
      </c>
      <c r="B706" s="211" t="s">
        <v>664</v>
      </c>
      <c r="C706" s="217">
        <f>AO85</f>
        <v>82103</v>
      </c>
      <c r="D706" s="217">
        <f>(D615/D612)*AO90</f>
        <v>-12836.345461697025</v>
      </c>
      <c r="E706" s="219">
        <f>(E623/E612)*SUM(C706:D706)</f>
        <v>2994.4063377212133</v>
      </c>
      <c r="F706" s="219">
        <f>(F624/F612)*AO64</f>
        <v>0</v>
      </c>
      <c r="G706" s="217">
        <f>(G625/G612)*AO91</f>
        <v>4400.8338100827259</v>
      </c>
      <c r="H706" s="219">
        <f>(H628/H612)*AO60</f>
        <v>1739.4363660606343</v>
      </c>
      <c r="I706" s="217">
        <f>(I629/I612)*AO92</f>
        <v>1679.3054660065536</v>
      </c>
      <c r="J706" s="217">
        <f>(J630/J612)*AO93</f>
        <v>1587.0588972432172</v>
      </c>
      <c r="K706" s="217">
        <f>(K644/K612)*AO89</f>
        <v>63259.919383335553</v>
      </c>
      <c r="L706" s="217">
        <f>(L647/L612)*AO94</f>
        <v>20231.497135516063</v>
      </c>
      <c r="M706" s="202">
        <f t="shared" si="19"/>
        <v>83056</v>
      </c>
      <c r="N706" s="211" t="s">
        <v>665</v>
      </c>
    </row>
    <row r="707" spans="1:14" s="202" customFormat="1" ht="12.65" customHeight="1" x14ac:dyDescent="0.3">
      <c r="A707" s="212">
        <v>7380</v>
      </c>
      <c r="B707" s="211" t="s">
        <v>666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19"/>
        <v>0</v>
      </c>
      <c r="N707" s="211" t="s">
        <v>667</v>
      </c>
    </row>
    <row r="708" spans="1:14" s="202" customFormat="1" ht="12.65" customHeight="1" x14ac:dyDescent="0.3">
      <c r="A708" s="212">
        <v>7390</v>
      </c>
      <c r="B708" s="211" t="s">
        <v>668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19"/>
        <v>0</v>
      </c>
      <c r="N708" s="211" t="s">
        <v>669</v>
      </c>
    </row>
    <row r="709" spans="1:14" s="202" customFormat="1" ht="12.65" customHeight="1" x14ac:dyDescent="0.3">
      <c r="A709" s="212">
        <v>7400</v>
      </c>
      <c r="B709" s="211" t="s">
        <v>670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19"/>
        <v>0</v>
      </c>
      <c r="N709" s="211" t="s">
        <v>671</v>
      </c>
    </row>
    <row r="710" spans="1:14" s="202" customFormat="1" ht="12.65" customHeight="1" x14ac:dyDescent="0.3">
      <c r="A710" s="212">
        <v>7410</v>
      </c>
      <c r="B710" s="211" t="s">
        <v>152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19"/>
        <v>0</v>
      </c>
      <c r="N710" s="211" t="s">
        <v>672</v>
      </c>
    </row>
    <row r="711" spans="1:14" s="202" customFormat="1" ht="12.65" customHeight="1" x14ac:dyDescent="0.3">
      <c r="A711" s="212">
        <v>7420</v>
      </c>
      <c r="B711" s="211" t="s">
        <v>673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19"/>
        <v>0</v>
      </c>
      <c r="N711" s="211" t="s">
        <v>674</v>
      </c>
    </row>
    <row r="712" spans="1:14" s="202" customFormat="1" ht="12.65" customHeight="1" x14ac:dyDescent="0.3">
      <c r="A712" s="212">
        <v>7430</v>
      </c>
      <c r="B712" s="211" t="s">
        <v>675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19"/>
        <v>0</v>
      </c>
      <c r="N712" s="211" t="s">
        <v>676</v>
      </c>
    </row>
    <row r="713" spans="1:14" s="202" customFormat="1" ht="12.65" customHeight="1" x14ac:dyDescent="0.3">
      <c r="A713" s="212">
        <v>7490</v>
      </c>
      <c r="B713" s="211" t="s">
        <v>677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19"/>
        <v>0</v>
      </c>
      <c r="N713" s="213" t="s">
        <v>678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15999666.18</v>
      </c>
      <c r="D715" s="202">
        <f>SUM(D616:D647)+SUM(D668:D713)</f>
        <v>-2325210</v>
      </c>
      <c r="E715" s="202">
        <f>SUM(E624:E647)+SUM(E668:E713)</f>
        <v>663005.79080913903</v>
      </c>
      <c r="F715" s="202">
        <f>SUM(F625:F648)+SUM(F668:F713)</f>
        <v>0</v>
      </c>
      <c r="G715" s="202">
        <f>SUM(G626:G647)+SUM(G668:G713)</f>
        <v>318431.74219471402</v>
      </c>
      <c r="H715" s="202">
        <f>SUM(H629:H647)+SUM(H668:H713)</f>
        <v>230695.36768187303</v>
      </c>
      <c r="I715" s="202">
        <f>SUM(I630:I647)+SUM(I668:I713)</f>
        <v>259794.23211673275</v>
      </c>
      <c r="J715" s="202">
        <f>SUM(J631:J647)+SUM(J668:J713)</f>
        <v>100897.60172088964</v>
      </c>
      <c r="K715" s="202">
        <f>SUM(K668:K713)</f>
        <v>4325311.1163467644</v>
      </c>
      <c r="L715" s="202">
        <f>SUM(L668:L713)</f>
        <v>801459.79013947968</v>
      </c>
      <c r="M715" s="202">
        <f>SUM(M668:M713)</f>
        <v>4485017</v>
      </c>
      <c r="N715" s="211" t="s">
        <v>679</v>
      </c>
    </row>
    <row r="716" spans="1:14" s="202" customFormat="1" ht="12.65" customHeight="1" x14ac:dyDescent="0.3">
      <c r="C716" s="214">
        <f>CE85</f>
        <v>15999666.18</v>
      </c>
      <c r="D716" s="202">
        <f>D615</f>
        <v>-2325210</v>
      </c>
      <c r="E716" s="202">
        <f>E623</f>
        <v>663005.79080913914</v>
      </c>
      <c r="F716" s="202">
        <f>F624</f>
        <v>0</v>
      </c>
      <c r="G716" s="202">
        <f>G625</f>
        <v>318431.74219471397</v>
      </c>
      <c r="H716" s="202">
        <f>H628</f>
        <v>230695.36768187294</v>
      </c>
      <c r="I716" s="202">
        <f>I629</f>
        <v>259794.23211673269</v>
      </c>
      <c r="J716" s="202">
        <f>J630</f>
        <v>100897.60172088964</v>
      </c>
      <c r="K716" s="202">
        <f>K644</f>
        <v>4325311.1163467644</v>
      </c>
      <c r="L716" s="202">
        <f>L647</f>
        <v>801459.79013947956</v>
      </c>
      <c r="M716" s="202">
        <f>C648</f>
        <v>4485017</v>
      </c>
      <c r="N716" s="211" t="s">
        <v>680</v>
      </c>
    </row>
  </sheetData>
  <sheetProtection algorithmName="SHA-512" hashValue="mry091rCxk63854n0rXzWv/+P0+liih+QMR1piXsvAxT0GuW5WzW42RwtDYpbWq04AA3ITTZlDQ2qzJ8fBS+/A==" saltValue="MEwT0/plMZdvnx18CeoC+w==" spinCount="100000" sheet="1" objects="1" scenarios="1"/>
  <mergeCells count="2">
    <mergeCell ref="B236:C236"/>
    <mergeCell ref="A426:E426"/>
  </mergeCells>
  <hyperlinks>
    <hyperlink ref="C30" r:id="rId1" xr:uid="{7F72D394-06EA-4FF5-8CA8-21BA604F550E}"/>
    <hyperlink ref="F42" r:id="rId2" xr:uid="{CA737F24-B471-4707-844D-87B9379E9D21}"/>
    <hyperlink ref="A43" r:id="rId3" xr:uid="{FD55AA3C-8004-4773-A348-D08DCFD8A85F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D18" sqref="D18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1036</v>
      </c>
      <c r="B1" s="11" t="s">
        <v>1037</v>
      </c>
      <c r="C1" s="11" t="s">
        <v>1038</v>
      </c>
      <c r="D1" s="11" t="s">
        <v>1039</v>
      </c>
      <c r="E1" s="11" t="s">
        <v>1040</v>
      </c>
      <c r="F1" s="11" t="s">
        <v>1041</v>
      </c>
      <c r="G1" s="11" t="s">
        <v>1042</v>
      </c>
      <c r="H1" s="11" t="s">
        <v>1043</v>
      </c>
      <c r="I1" s="11" t="s">
        <v>1044</v>
      </c>
      <c r="J1" s="11" t="s">
        <v>1045</v>
      </c>
      <c r="K1" s="11" t="s">
        <v>1046</v>
      </c>
      <c r="L1" s="11" t="s">
        <v>1047</v>
      </c>
      <c r="M1" s="11" t="s">
        <v>1048</v>
      </c>
      <c r="N1" s="11" t="s">
        <v>1049</v>
      </c>
    </row>
    <row r="2" spans="1:14" x14ac:dyDescent="0.35">
      <c r="A2" s="11" t="str">
        <f>MONTH(data!C96) &amp; "-" &amp; DAY(data!C96)</f>
        <v>12-31</v>
      </c>
      <c r="B2" s="201" t="str">
        <f>RIGHT(data!C97, 3)</f>
        <v>167</v>
      </c>
      <c r="C2" s="11" t="str">
        <f>SUBSTITUTE(LEFT(data!C98,49),",","")</f>
        <v>Ferry County Public Hospital District No. 1</v>
      </c>
      <c r="D2" s="11" t="str">
        <f>LEFT(data!C99, 49)</f>
        <v>36 Klondike Road</v>
      </c>
      <c r="E2" s="11" t="str">
        <f>LEFT(data!C100, 100)</f>
        <v xml:space="preserve">Republic </v>
      </c>
      <c r="F2" s="11" t="str">
        <f>LEFT(data!C101, 2)</f>
        <v>Wa</v>
      </c>
      <c r="G2" s="11" t="str">
        <f>LEFT(data!C102, 100)</f>
        <v>99166</v>
      </c>
      <c r="H2" s="11" t="str">
        <f>LEFT(data!C103, 100)</f>
        <v xml:space="preserve">Ferry  </v>
      </c>
      <c r="I2" s="11" t="str">
        <f>LEFT(data!C104, 49)</f>
        <v>Brain Lady</v>
      </c>
      <c r="J2" s="11" t="str">
        <f>LEFT(data!C105, 49)</f>
        <v>Lance Spindler</v>
      </c>
      <c r="K2" s="11" t="str">
        <f>LEFT(data!C107, 49)</f>
        <v>509-775-3333</v>
      </c>
      <c r="L2" s="11" t="str">
        <f>LEFT(data!C108, 49)</f>
        <v>509-775-3866</v>
      </c>
      <c r="M2" s="11" t="str">
        <f>LEFT(data!C109, 49)</f>
        <v>Jeannette Ring</v>
      </c>
      <c r="N2" s="11" t="str">
        <f>LEFT(data!C110, 49)</f>
        <v>jring@dza.cpa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2" t="s">
        <v>1050</v>
      </c>
      <c r="B1" s="12" t="s">
        <v>1051</v>
      </c>
      <c r="C1" s="12" t="s">
        <v>1052</v>
      </c>
      <c r="D1" s="12" t="s">
        <v>1053</v>
      </c>
      <c r="E1" s="12" t="s">
        <v>1054</v>
      </c>
      <c r="F1" s="12" t="s">
        <v>1055</v>
      </c>
      <c r="G1" s="12" t="s">
        <v>1056</v>
      </c>
      <c r="H1" s="12" t="s">
        <v>1057</v>
      </c>
      <c r="I1" s="12" t="s">
        <v>1058</v>
      </c>
      <c r="J1" s="12" t="s">
        <v>1059</v>
      </c>
      <c r="K1" s="12" t="s">
        <v>1060</v>
      </c>
      <c r="L1" s="12" t="s">
        <v>1061</v>
      </c>
      <c r="M1" s="12" t="s">
        <v>1062</v>
      </c>
      <c r="N1" s="12" t="s">
        <v>1063</v>
      </c>
      <c r="O1" s="12" t="s">
        <v>1064</v>
      </c>
      <c r="P1" s="12" t="s">
        <v>1065</v>
      </c>
      <c r="Q1" s="12" t="s">
        <v>1066</v>
      </c>
      <c r="R1" s="12" t="s">
        <v>1067</v>
      </c>
      <c r="S1" s="12" t="s">
        <v>1068</v>
      </c>
      <c r="T1" s="12" t="s">
        <v>1069</v>
      </c>
      <c r="U1" s="12" t="s">
        <v>1070</v>
      </c>
      <c r="V1" s="12" t="s">
        <v>1071</v>
      </c>
      <c r="W1" s="12" t="s">
        <v>1072</v>
      </c>
      <c r="X1" s="12" t="s">
        <v>1073</v>
      </c>
      <c r="Y1" s="12" t="s">
        <v>1074</v>
      </c>
      <c r="Z1" s="12" t="s">
        <v>1075</v>
      </c>
      <c r="AA1" s="12" t="s">
        <v>1076</v>
      </c>
      <c r="AB1" s="12" t="s">
        <v>1077</v>
      </c>
      <c r="AC1" s="12" t="s">
        <v>1078</v>
      </c>
      <c r="AD1" s="12" t="s">
        <v>1079</v>
      </c>
      <c r="AE1" s="12" t="s">
        <v>1080</v>
      </c>
      <c r="AF1" s="12" t="s">
        <v>1081</v>
      </c>
      <c r="AG1" s="12" t="s">
        <v>1082</v>
      </c>
      <c r="AH1" s="12" t="s">
        <v>1083</v>
      </c>
      <c r="AI1" s="12" t="s">
        <v>1084</v>
      </c>
      <c r="AJ1" s="12" t="s">
        <v>1085</v>
      </c>
      <c r="AK1" s="12" t="s">
        <v>1086</v>
      </c>
      <c r="AL1" s="12" t="s">
        <v>1087</v>
      </c>
      <c r="AM1" s="12" t="s">
        <v>1088</v>
      </c>
      <c r="AN1" s="12" t="s">
        <v>1089</v>
      </c>
      <c r="AO1" s="12" t="s">
        <v>1090</v>
      </c>
      <c r="AP1" s="12" t="s">
        <v>1091</v>
      </c>
      <c r="AQ1" s="12" t="s">
        <v>1092</v>
      </c>
      <c r="AR1" s="12" t="s">
        <v>1093</v>
      </c>
      <c r="AS1" s="12" t="s">
        <v>1094</v>
      </c>
      <c r="AT1" s="12" t="s">
        <v>1095</v>
      </c>
      <c r="AU1" s="12" t="s">
        <v>1096</v>
      </c>
      <c r="AV1" s="12" t="s">
        <v>1097</v>
      </c>
      <c r="AW1" s="12" t="s">
        <v>1098</v>
      </c>
      <c r="AX1" s="12" t="s">
        <v>1099</v>
      </c>
      <c r="AY1" s="12" t="s">
        <v>1100</v>
      </c>
      <c r="AZ1" s="12" t="s">
        <v>1101</v>
      </c>
      <c r="BA1" s="12" t="s">
        <v>1102</v>
      </c>
      <c r="BB1" s="12" t="s">
        <v>1103</v>
      </c>
      <c r="BC1" s="12" t="s">
        <v>1104</v>
      </c>
      <c r="BD1" s="12" t="s">
        <v>1105</v>
      </c>
      <c r="BE1" s="12" t="s">
        <v>1106</v>
      </c>
      <c r="BF1" s="12" t="s">
        <v>1107</v>
      </c>
      <c r="BG1" s="12" t="s">
        <v>1108</v>
      </c>
      <c r="BH1" s="12" t="s">
        <v>1109</v>
      </c>
      <c r="BI1" s="12" t="s">
        <v>1110</v>
      </c>
      <c r="BJ1" s="12" t="s">
        <v>1111</v>
      </c>
      <c r="BK1" s="12" t="s">
        <v>1112</v>
      </c>
      <c r="BL1" s="12" t="s">
        <v>1113</v>
      </c>
      <c r="BM1" s="12" t="s">
        <v>1114</v>
      </c>
      <c r="BN1" s="12" t="s">
        <v>1115</v>
      </c>
      <c r="BO1" s="12" t="s">
        <v>1116</v>
      </c>
      <c r="BP1" s="12" t="s">
        <v>1117</v>
      </c>
      <c r="BQ1" s="12" t="s">
        <v>1118</v>
      </c>
      <c r="BR1" s="12" t="s">
        <v>1119</v>
      </c>
      <c r="BS1" s="12" t="s">
        <v>1120</v>
      </c>
      <c r="BT1" s="12" t="s">
        <v>1121</v>
      </c>
      <c r="BU1" s="12" t="s">
        <v>1122</v>
      </c>
      <c r="BV1" s="12" t="s">
        <v>1123</v>
      </c>
      <c r="BW1" s="12" t="s">
        <v>1124</v>
      </c>
      <c r="BX1" s="12" t="s">
        <v>1125</v>
      </c>
      <c r="BY1" s="12" t="s">
        <v>1126</v>
      </c>
      <c r="BZ1" s="12" t="s">
        <v>1127</v>
      </c>
      <c r="CA1" s="12" t="s">
        <v>1128</v>
      </c>
      <c r="CB1" s="12" t="s">
        <v>1129</v>
      </c>
      <c r="CC1" s="12" t="s">
        <v>1130</v>
      </c>
      <c r="CD1" s="12" t="s">
        <v>1131</v>
      </c>
      <c r="CE1" s="12" t="s">
        <v>1132</v>
      </c>
      <c r="CF1" s="12" t="s">
        <v>1133</v>
      </c>
    </row>
    <row r="2" spans="1:84" s="169" customFormat="1" ht="12.65" customHeight="1" x14ac:dyDescent="0.35">
      <c r="A2" s="12" t="str">
        <f>RIGHT(data!C97,3)</f>
        <v>167</v>
      </c>
      <c r="B2" s="200" t="str">
        <f>RIGHT(data!C96,4)</f>
        <v>2022</v>
      </c>
      <c r="C2" s="12" t="s">
        <v>1134</v>
      </c>
      <c r="D2" s="199">
        <f>ROUND(N(data!C181),0)</f>
        <v>681455</v>
      </c>
      <c r="E2" s="199">
        <f>ROUND(N(data!C182),0)</f>
        <v>53489</v>
      </c>
      <c r="F2" s="199">
        <f>ROUND(N(data!C183),0)</f>
        <v>85869</v>
      </c>
      <c r="G2" s="199">
        <f>ROUND(N(data!C184),0)</f>
        <v>1167201</v>
      </c>
      <c r="H2" s="199">
        <f>ROUND(N(data!C185),0)</f>
        <v>0</v>
      </c>
      <c r="I2" s="199">
        <f>ROUND(N(data!C186),0)</f>
        <v>101670</v>
      </c>
      <c r="J2" s="199">
        <f>ROUND(N(data!C187)+N(data!C188),0)</f>
        <v>14344</v>
      </c>
      <c r="K2" s="199">
        <f>ROUND(N(data!C191),0)</f>
        <v>206835</v>
      </c>
      <c r="L2" s="199">
        <f>ROUND(N(data!C192),0)</f>
        <v>48086</v>
      </c>
      <c r="M2" s="199">
        <f>ROUND(N(data!C195),0)</f>
        <v>85661</v>
      </c>
      <c r="N2" s="199">
        <f>ROUND(N(data!C196),0)</f>
        <v>55987</v>
      </c>
      <c r="O2" s="199">
        <f>ROUND(N(data!C199),0)</f>
        <v>143710</v>
      </c>
      <c r="P2" s="199">
        <f>ROUND(N(data!C200),0)</f>
        <v>0</v>
      </c>
      <c r="Q2" s="199">
        <f>ROUND(N(data!C201),0)</f>
        <v>0</v>
      </c>
      <c r="R2" s="199">
        <f>ROUND(N(data!C204),0)</f>
        <v>48067</v>
      </c>
      <c r="S2" s="199">
        <f>ROUND(N(data!C205),0)</f>
        <v>0</v>
      </c>
      <c r="T2" s="199">
        <f>ROUND(N(data!B211),0)</f>
        <v>47282</v>
      </c>
      <c r="U2" s="199">
        <f>ROUND(N(data!C211),0)</f>
        <v>0</v>
      </c>
      <c r="V2" s="199">
        <f>ROUND(N(data!D211),0)</f>
        <v>0</v>
      </c>
      <c r="W2" s="199">
        <f>ROUND(N(data!B212),0)</f>
        <v>671889</v>
      </c>
      <c r="X2" s="199">
        <f>ROUND(N(data!C212),0)</f>
        <v>139501</v>
      </c>
      <c r="Y2" s="199">
        <f>ROUND(N(data!D212),0)</f>
        <v>0</v>
      </c>
      <c r="Z2" s="199">
        <f>ROUND(N(data!B213),0)</f>
        <v>9217231</v>
      </c>
      <c r="AA2" s="199">
        <f>ROUND(N(data!C213),0)</f>
        <v>0</v>
      </c>
      <c r="AB2" s="199">
        <f>ROUND(N(data!D213),0)</f>
        <v>0</v>
      </c>
      <c r="AC2" s="199">
        <f>ROUND(N(data!B214),0)</f>
        <v>2117342</v>
      </c>
      <c r="AD2" s="199">
        <f>ROUND(N(data!C214),0)</f>
        <v>30866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5340404</v>
      </c>
      <c r="AJ2" s="199">
        <f>ROUND(N(data!C216),0)</f>
        <v>456642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0</v>
      </c>
      <c r="AS2" s="199">
        <f>ROUND(N(data!C219),0)</f>
        <v>56478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246515</v>
      </c>
      <c r="AY2" s="199">
        <f>ROUND(N(data!C225),0)</f>
        <v>40332</v>
      </c>
      <c r="AZ2" s="199">
        <f>ROUND(N(data!D225),0)</f>
        <v>0</v>
      </c>
      <c r="BA2" s="199">
        <f>ROUND(N(data!B226),0)</f>
        <v>5239362</v>
      </c>
      <c r="BB2" s="199">
        <f>ROUND(N(data!C226),0)</f>
        <v>474096</v>
      </c>
      <c r="BC2" s="199">
        <f>ROUND(N(data!D226),0)</f>
        <v>0</v>
      </c>
      <c r="BD2" s="199">
        <f>ROUND(N(data!B227),0)</f>
        <v>1779453</v>
      </c>
      <c r="BE2" s="199">
        <f>ROUND(N(data!C227),0)</f>
        <v>31994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3689077</v>
      </c>
      <c r="BK2" s="199">
        <f>ROUND(N(data!C229),0)</f>
        <v>390096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4617237</v>
      </c>
      <c r="BW2" s="199">
        <f>ROUND(N(data!C240),0)</f>
        <v>2917918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2817215</v>
      </c>
      <c r="CB2" s="199">
        <f>ROUND(N(data!C247),0)</f>
        <v>81</v>
      </c>
      <c r="CC2" s="199">
        <f>ROUND(N(data!C249),0)</f>
        <v>79161</v>
      </c>
      <c r="CD2" s="199">
        <f>ROUND(N(data!C250),0)</f>
        <v>337279</v>
      </c>
      <c r="CE2" s="199">
        <f>ROUND(N(data!C254)+N(data!C255),0)</f>
        <v>0</v>
      </c>
      <c r="CF2" s="199">
        <f>ROUND(N(data!D237),0)</f>
        <v>322454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1135</v>
      </c>
      <c r="B1" s="12" t="s">
        <v>1136</v>
      </c>
      <c r="C1" s="12" t="s">
        <v>1137</v>
      </c>
      <c r="D1" s="10" t="s">
        <v>1138</v>
      </c>
      <c r="E1" s="10" t="s">
        <v>1139</v>
      </c>
      <c r="F1" s="10" t="s">
        <v>1140</v>
      </c>
      <c r="G1" s="10" t="s">
        <v>1141</v>
      </c>
      <c r="H1" s="10" t="s">
        <v>1142</v>
      </c>
      <c r="I1" s="10" t="s">
        <v>1143</v>
      </c>
      <c r="J1" s="10" t="s">
        <v>1144</v>
      </c>
      <c r="K1" s="10" t="s">
        <v>1145</v>
      </c>
      <c r="L1" s="10" t="s">
        <v>1146</v>
      </c>
      <c r="M1" s="10" t="s">
        <v>1147</v>
      </c>
      <c r="N1" s="10" t="s">
        <v>1148</v>
      </c>
      <c r="O1" s="10" t="s">
        <v>1149</v>
      </c>
      <c r="P1" s="10" t="s">
        <v>1150</v>
      </c>
      <c r="Q1" s="10" t="s">
        <v>1151</v>
      </c>
      <c r="R1" s="10" t="s">
        <v>1152</v>
      </c>
      <c r="S1" s="10" t="s">
        <v>1153</v>
      </c>
      <c r="T1" s="10" t="s">
        <v>1154</v>
      </c>
      <c r="U1" s="10" t="s">
        <v>1155</v>
      </c>
      <c r="V1" s="10" t="s">
        <v>1156</v>
      </c>
      <c r="W1" s="10" t="s">
        <v>1157</v>
      </c>
      <c r="X1" s="10" t="s">
        <v>1158</v>
      </c>
      <c r="Y1" s="10" t="s">
        <v>1159</v>
      </c>
      <c r="Z1" s="10" t="s">
        <v>1160</v>
      </c>
      <c r="AA1" s="10" t="s">
        <v>1161</v>
      </c>
      <c r="AB1" s="10" t="s">
        <v>1162</v>
      </c>
      <c r="AC1" s="10" t="s">
        <v>1163</v>
      </c>
      <c r="AD1" s="10" t="s">
        <v>1164</v>
      </c>
      <c r="AE1" s="10" t="s">
        <v>1165</v>
      </c>
      <c r="AF1" s="10" t="s">
        <v>1166</v>
      </c>
      <c r="AG1" s="10" t="s">
        <v>1167</v>
      </c>
      <c r="AH1" s="10" t="s">
        <v>1168</v>
      </c>
      <c r="AI1" s="10" t="s">
        <v>1169</v>
      </c>
      <c r="AJ1" s="10" t="s">
        <v>1170</v>
      </c>
      <c r="AK1" s="10" t="s">
        <v>1171</v>
      </c>
      <c r="AL1" s="10" t="s">
        <v>1172</v>
      </c>
      <c r="AM1" s="10" t="s">
        <v>1173</v>
      </c>
      <c r="AN1" s="10" t="s">
        <v>1174</v>
      </c>
      <c r="AO1" s="10" t="s">
        <v>1175</v>
      </c>
      <c r="AP1" s="10" t="s">
        <v>1176</v>
      </c>
      <c r="AQ1" s="10" t="s">
        <v>1177</v>
      </c>
      <c r="AR1" s="10" t="s">
        <v>1178</v>
      </c>
      <c r="AS1" s="10" t="s">
        <v>1179</v>
      </c>
      <c r="AT1" s="10" t="s">
        <v>1180</v>
      </c>
      <c r="AU1" s="10" t="s">
        <v>1181</v>
      </c>
      <c r="AV1" s="10" t="s">
        <v>1182</v>
      </c>
      <c r="AW1" s="10" t="s">
        <v>1183</v>
      </c>
      <c r="AX1" s="10" t="s">
        <v>1184</v>
      </c>
      <c r="AY1" s="10" t="s">
        <v>1185</v>
      </c>
      <c r="AZ1" s="10" t="s">
        <v>1186</v>
      </c>
      <c r="BA1" s="10" t="s">
        <v>1187</v>
      </c>
      <c r="BB1" s="10" t="s">
        <v>1188</v>
      </c>
      <c r="BC1" s="10" t="s">
        <v>1189</v>
      </c>
      <c r="BD1" s="10" t="s">
        <v>1190</v>
      </c>
      <c r="BE1" s="10" t="s">
        <v>1191</v>
      </c>
      <c r="BF1" s="10" t="s">
        <v>1192</v>
      </c>
      <c r="BG1" s="10" t="s">
        <v>1193</v>
      </c>
      <c r="BH1" s="10" t="s">
        <v>1194</v>
      </c>
      <c r="BI1" s="10" t="s">
        <v>1195</v>
      </c>
      <c r="BJ1" s="10" t="s">
        <v>1196</v>
      </c>
      <c r="BK1" s="10" t="s">
        <v>1197</v>
      </c>
      <c r="BL1" s="10" t="s">
        <v>1198</v>
      </c>
      <c r="BM1" s="10" t="s">
        <v>1199</v>
      </c>
      <c r="BN1" s="10" t="s">
        <v>1200</v>
      </c>
      <c r="BO1" s="10" t="s">
        <v>1201</v>
      </c>
      <c r="BP1" s="10" t="s">
        <v>1202</v>
      </c>
      <c r="BQ1" s="10" t="s">
        <v>1203</v>
      </c>
      <c r="BR1" s="10" t="s">
        <v>1204</v>
      </c>
      <c r="BS1" s="10" t="s">
        <v>1205</v>
      </c>
    </row>
    <row r="2" spans="1:87" s="169" customFormat="1" ht="12.65" customHeight="1" x14ac:dyDescent="0.35">
      <c r="A2" s="12" t="str">
        <f>RIGHT(data!C97,3)</f>
        <v>167</v>
      </c>
      <c r="B2" s="12" t="str">
        <f>RIGHT(data!C96,4)</f>
        <v>2022</v>
      </c>
      <c r="C2" s="12" t="s">
        <v>1134</v>
      </c>
      <c r="D2" s="198">
        <f>ROUND(N(data!C127),0)</f>
        <v>97</v>
      </c>
      <c r="E2" s="198">
        <f>ROUND(N(data!C128),0)</f>
        <v>46</v>
      </c>
      <c r="F2" s="198">
        <f>ROUND(N(data!C129),0)</f>
        <v>0</v>
      </c>
      <c r="G2" s="198">
        <f>ROUND(N(data!C130),0)</f>
        <v>0</v>
      </c>
      <c r="H2" s="198">
        <f>ROUND(N(data!D127),0)</f>
        <v>354</v>
      </c>
      <c r="I2" s="198">
        <f>ROUND(N(data!D128),0)</f>
        <v>4052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25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25</v>
      </c>
      <c r="X2" s="198">
        <f>ROUND(N(data!C145),0)</f>
        <v>0</v>
      </c>
      <c r="Y2" s="198">
        <f>ROUND(N(data!B154),0)</f>
        <v>78</v>
      </c>
      <c r="Z2" s="198">
        <f>ROUND(N(data!B155),0)</f>
        <v>318</v>
      </c>
      <c r="AA2" s="198">
        <f>ROUND(N(data!B156),0)</f>
        <v>0</v>
      </c>
      <c r="AB2" s="198">
        <f>ROUND(N(data!B157),0)</f>
        <v>1537946</v>
      </c>
      <c r="AC2" s="198">
        <f>ROUND(N(data!B158),0)</f>
        <v>11162177</v>
      </c>
      <c r="AD2" s="198">
        <f>ROUND(N(data!C154),0)</f>
        <v>7</v>
      </c>
      <c r="AE2" s="198">
        <f>ROUND(N(data!C155),0)</f>
        <v>12</v>
      </c>
      <c r="AF2" s="198">
        <f>ROUND(N(data!C156),0)</f>
        <v>0</v>
      </c>
      <c r="AG2" s="198">
        <f>ROUND(N(data!C157),0)</f>
        <v>574768</v>
      </c>
      <c r="AH2" s="198">
        <f>ROUND(N(data!C158),0)</f>
        <v>5398709</v>
      </c>
      <c r="AI2" s="198">
        <f>ROUND(N(data!D154),0)</f>
        <v>12</v>
      </c>
      <c r="AJ2" s="198">
        <f>ROUND(N(data!D155),0)</f>
        <v>24</v>
      </c>
      <c r="AK2" s="198">
        <f>ROUND(N(data!D156),0)</f>
        <v>0</v>
      </c>
      <c r="AL2" s="198">
        <f>ROUND(N(data!D157),0)</f>
        <v>375526</v>
      </c>
      <c r="AM2" s="198">
        <f>ROUND(N(data!D158),0)</f>
        <v>8250823</v>
      </c>
      <c r="AN2" s="198">
        <f>ROUND(N(data!B160),0)</f>
        <v>42</v>
      </c>
      <c r="AO2" s="198">
        <f>ROUND(N(data!B161),0)</f>
        <v>770</v>
      </c>
      <c r="AP2" s="198">
        <f>ROUND(N(data!B162),0)</f>
        <v>0</v>
      </c>
      <c r="AQ2" s="198">
        <f>ROUND(N(data!B163),0)</f>
        <v>1645317</v>
      </c>
      <c r="AR2" s="198">
        <f>ROUND(N(data!B164),0)</f>
        <v>0</v>
      </c>
      <c r="AS2" s="198">
        <f>ROUND(N(data!C160),0)</f>
        <v>3</v>
      </c>
      <c r="AT2" s="198">
        <f>ROUND(N(data!C161),0)</f>
        <v>2460</v>
      </c>
      <c r="AU2" s="198">
        <f>ROUND(N(data!C162),0)</f>
        <v>0</v>
      </c>
      <c r="AV2" s="198">
        <f>ROUND(N(data!C163),0)</f>
        <v>79088</v>
      </c>
      <c r="AW2" s="198">
        <f>ROUND(N(data!C164),0)</f>
        <v>0</v>
      </c>
      <c r="AX2" s="198">
        <f>ROUND(N(data!D160),0)</f>
        <v>1</v>
      </c>
      <c r="AY2" s="198">
        <f>ROUND(N(data!D161),0)</f>
        <v>822</v>
      </c>
      <c r="AZ2" s="198">
        <f>ROUND(N(data!D162),0)</f>
        <v>0</v>
      </c>
      <c r="BA2" s="198">
        <f>ROUND(N(data!D163),0)</f>
        <v>18413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1389955</v>
      </c>
      <c r="BS2" s="198">
        <f>ROUND(N(data!C173),0)</f>
        <v>230839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D2" sqref="D2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1206</v>
      </c>
      <c r="B1" s="12" t="s">
        <v>1207</v>
      </c>
      <c r="C1" s="12" t="s">
        <v>1208</v>
      </c>
      <c r="D1" s="10" t="s">
        <v>1209</v>
      </c>
      <c r="E1" s="10" t="s">
        <v>1210</v>
      </c>
      <c r="F1" s="10" t="s">
        <v>1211</v>
      </c>
      <c r="G1" s="10" t="s">
        <v>1212</v>
      </c>
      <c r="H1" s="10" t="s">
        <v>1213</v>
      </c>
      <c r="I1" s="10" t="s">
        <v>1214</v>
      </c>
      <c r="J1" s="10" t="s">
        <v>1215</v>
      </c>
      <c r="K1" s="10" t="s">
        <v>1216</v>
      </c>
      <c r="L1" s="10" t="s">
        <v>1217</v>
      </c>
      <c r="M1" s="10" t="s">
        <v>1218</v>
      </c>
      <c r="N1" s="10" t="s">
        <v>1219</v>
      </c>
      <c r="O1" s="10" t="s">
        <v>1220</v>
      </c>
      <c r="P1" s="10" t="s">
        <v>1221</v>
      </c>
      <c r="Q1" s="10" t="s">
        <v>1222</v>
      </c>
      <c r="R1" s="10" t="s">
        <v>1223</v>
      </c>
      <c r="S1" s="10" t="s">
        <v>1224</v>
      </c>
      <c r="T1" s="10" t="s">
        <v>1225</v>
      </c>
      <c r="U1" s="10" t="s">
        <v>1226</v>
      </c>
      <c r="V1" s="10" t="s">
        <v>1227</v>
      </c>
      <c r="W1" s="10" t="s">
        <v>1228</v>
      </c>
      <c r="X1" s="10" t="s">
        <v>1229</v>
      </c>
      <c r="Y1" s="10" t="s">
        <v>1230</v>
      </c>
      <c r="Z1" s="10" t="s">
        <v>1231</v>
      </c>
      <c r="AA1" s="10" t="s">
        <v>1232</v>
      </c>
      <c r="AB1" s="10" t="s">
        <v>1233</v>
      </c>
      <c r="AC1" s="10" t="s">
        <v>1234</v>
      </c>
      <c r="AD1" s="10" t="s">
        <v>1235</v>
      </c>
      <c r="AE1" s="10" t="s">
        <v>1236</v>
      </c>
      <c r="AF1" s="10" t="s">
        <v>1237</v>
      </c>
      <c r="AG1" s="10" t="s">
        <v>1238</v>
      </c>
      <c r="AH1" s="10" t="s">
        <v>1239</v>
      </c>
      <c r="AI1" s="10" t="s">
        <v>1240</v>
      </c>
      <c r="AJ1" s="10" t="s">
        <v>1241</v>
      </c>
      <c r="AK1" s="10" t="s">
        <v>1242</v>
      </c>
      <c r="AL1" s="10" t="s">
        <v>1243</v>
      </c>
      <c r="AM1" s="10" t="s">
        <v>1244</v>
      </c>
      <c r="AN1" s="10" t="s">
        <v>1245</v>
      </c>
      <c r="AO1" s="10" t="s">
        <v>1246</v>
      </c>
      <c r="AP1" s="10" t="s">
        <v>1247</v>
      </c>
      <c r="AQ1" s="10" t="s">
        <v>1248</v>
      </c>
      <c r="AR1" s="10" t="s">
        <v>1249</v>
      </c>
      <c r="AS1" s="10" t="s">
        <v>1250</v>
      </c>
      <c r="AT1" s="10" t="s">
        <v>1251</v>
      </c>
      <c r="AU1" s="10" t="s">
        <v>1252</v>
      </c>
      <c r="AV1" s="10" t="s">
        <v>1253</v>
      </c>
      <c r="AW1" s="10" t="s">
        <v>1254</v>
      </c>
      <c r="AX1" s="10" t="s">
        <v>1255</v>
      </c>
      <c r="AY1" s="10" t="s">
        <v>1256</v>
      </c>
      <c r="AZ1" s="10" t="s">
        <v>1257</v>
      </c>
      <c r="BA1" s="10" t="s">
        <v>1258</v>
      </c>
      <c r="BB1" s="10" t="s">
        <v>1259</v>
      </c>
      <c r="BC1" s="10" t="s">
        <v>1260</v>
      </c>
      <c r="BD1" s="10" t="s">
        <v>1261</v>
      </c>
      <c r="BE1" s="10" t="s">
        <v>1262</v>
      </c>
      <c r="BF1" s="10" t="s">
        <v>1263</v>
      </c>
      <c r="BG1" s="10" t="s">
        <v>1264</v>
      </c>
      <c r="BH1" s="10" t="s">
        <v>1265</v>
      </c>
      <c r="BI1" s="10" t="s">
        <v>1266</v>
      </c>
      <c r="BJ1" s="10" t="s">
        <v>1267</v>
      </c>
      <c r="BK1" s="10" t="s">
        <v>1268</v>
      </c>
      <c r="BL1" s="10" t="s">
        <v>1269</v>
      </c>
      <c r="BM1" s="10" t="s">
        <v>1270</v>
      </c>
      <c r="BN1" s="10" t="s">
        <v>1271</v>
      </c>
      <c r="BO1" s="10" t="s">
        <v>1272</v>
      </c>
      <c r="BP1" s="10" t="s">
        <v>1273</v>
      </c>
      <c r="BQ1" s="10" t="s">
        <v>1274</v>
      </c>
      <c r="BR1" s="10" t="s">
        <v>1275</v>
      </c>
      <c r="BS1" s="10" t="s">
        <v>1276</v>
      </c>
      <c r="BT1" s="10" t="s">
        <v>1277</v>
      </c>
      <c r="BU1" s="10" t="s">
        <v>1278</v>
      </c>
      <c r="BV1" s="10" t="s">
        <v>1279</v>
      </c>
      <c r="BW1" s="10" t="s">
        <v>1280</v>
      </c>
      <c r="BX1" s="10" t="s">
        <v>1281</v>
      </c>
      <c r="BY1" s="10" t="s">
        <v>1282</v>
      </c>
      <c r="BZ1" s="10" t="s">
        <v>1283</v>
      </c>
      <c r="CA1" s="10" t="s">
        <v>1284</v>
      </c>
      <c r="CB1" s="10" t="s">
        <v>1285</v>
      </c>
      <c r="CC1" s="10" t="s">
        <v>1286</v>
      </c>
      <c r="CD1" s="10" t="s">
        <v>1287</v>
      </c>
      <c r="CE1" s="10" t="s">
        <v>1288</v>
      </c>
      <c r="CF1" s="10" t="s">
        <v>1289</v>
      </c>
      <c r="CG1" s="10" t="s">
        <v>1290</v>
      </c>
      <c r="CH1" s="10" t="s">
        <v>1291</v>
      </c>
      <c r="CI1" s="10" t="s">
        <v>1292</v>
      </c>
      <c r="CJ1" s="10" t="s">
        <v>1293</v>
      </c>
      <c r="CK1" s="10" t="s">
        <v>1294</v>
      </c>
      <c r="CL1" s="10" t="s">
        <v>1295</v>
      </c>
      <c r="CM1" s="10" t="s">
        <v>1296</v>
      </c>
      <c r="CN1" s="10" t="s">
        <v>1297</v>
      </c>
      <c r="CO1" s="10" t="s">
        <v>1298</v>
      </c>
      <c r="CP1" s="10" t="s">
        <v>1299</v>
      </c>
      <c r="CQ1" s="197" t="s">
        <v>1300</v>
      </c>
      <c r="CR1" s="197" t="s">
        <v>1301</v>
      </c>
      <c r="CS1" s="197" t="s">
        <v>1302</v>
      </c>
      <c r="CT1" s="197" t="s">
        <v>1303</v>
      </c>
      <c r="CU1" s="197" t="s">
        <v>1304</v>
      </c>
      <c r="CV1" s="197" t="s">
        <v>1305</v>
      </c>
      <c r="CW1" s="197" t="s">
        <v>1306</v>
      </c>
      <c r="CX1" s="197" t="s">
        <v>1307</v>
      </c>
      <c r="CY1" s="197" t="s">
        <v>1308</v>
      </c>
      <c r="CZ1" s="197" t="s">
        <v>1309</v>
      </c>
      <c r="DA1" s="197" t="s">
        <v>1310</v>
      </c>
      <c r="DB1" s="197" t="s">
        <v>1311</v>
      </c>
      <c r="DC1" s="197" t="s">
        <v>1312</v>
      </c>
      <c r="DD1" s="197" t="s">
        <v>1313</v>
      </c>
      <c r="DE1" s="10" t="s">
        <v>1314</v>
      </c>
      <c r="DF1" s="10" t="s">
        <v>1315</v>
      </c>
      <c r="DG1" s="10" t="s">
        <v>1316</v>
      </c>
      <c r="DH1" s="10" t="s">
        <v>1317</v>
      </c>
    </row>
    <row r="2" spans="1:112" s="169" customFormat="1" ht="12.65" customHeight="1" x14ac:dyDescent="0.35">
      <c r="A2" s="199" t="str">
        <f>RIGHT(data!C97,3)</f>
        <v>167</v>
      </c>
      <c r="B2" s="200" t="str">
        <f>RIGHT(data!C96,4)</f>
        <v>2022</v>
      </c>
      <c r="C2" s="12" t="s">
        <v>1134</v>
      </c>
      <c r="D2" s="198">
        <f>ROUND(N(data!C266),0)</f>
        <v>6463271</v>
      </c>
      <c r="E2" s="198">
        <f>ROUND(N(data!C267),0)</f>
        <v>0</v>
      </c>
      <c r="F2" s="198">
        <f>ROUND(N(data!C268),0)</f>
        <v>6128272</v>
      </c>
      <c r="G2" s="198">
        <f>ROUND(N(data!C269),0)</f>
        <v>2850448</v>
      </c>
      <c r="H2" s="198">
        <f>ROUND(N(data!C270),0)</f>
        <v>492775</v>
      </c>
      <c r="I2" s="198">
        <f>ROUND(N(data!C271),0)</f>
        <v>432095</v>
      </c>
      <c r="J2" s="198">
        <f>ROUND(N(data!C272),0)</f>
        <v>0</v>
      </c>
      <c r="K2" s="198">
        <f>ROUND(N(data!C273),0)</f>
        <v>543686</v>
      </c>
      <c r="L2" s="198">
        <f>ROUND(N(data!C274),0)</f>
        <v>160192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47282</v>
      </c>
      <c r="R2" s="198">
        <f>ROUND(N(data!C284),0)</f>
        <v>811390</v>
      </c>
      <c r="S2" s="198">
        <f>ROUND(N(data!C285),0)</f>
        <v>9217231</v>
      </c>
      <c r="T2" s="198">
        <f>ROUND(N(data!C286),0)</f>
        <v>2148208</v>
      </c>
      <c r="U2" s="198">
        <f>ROUND(N(data!C287),0)</f>
        <v>0</v>
      </c>
      <c r="V2" s="198">
        <f>ROUND(N(data!C288),0)</f>
        <v>5797046</v>
      </c>
      <c r="W2" s="198">
        <f>ROUND(N(data!C289),0)</f>
        <v>0</v>
      </c>
      <c r="X2" s="198">
        <f>ROUND(N(data!C290),0)</f>
        <v>56478</v>
      </c>
      <c r="Y2" s="198">
        <f>ROUND(N(data!C291),0)</f>
        <v>0</v>
      </c>
      <c r="Z2" s="198">
        <f>ROUND(N(data!C292),0)</f>
        <v>11890925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404927</v>
      </c>
      <c r="AI2" s="198">
        <f>ROUND(N(data!C314),0)</f>
        <v>0</v>
      </c>
      <c r="AJ2" s="198">
        <f>ROUND(N(data!C315),0)</f>
        <v>553374</v>
      </c>
      <c r="AK2" s="198">
        <f>ROUND(N(data!C316),0)</f>
        <v>679554</v>
      </c>
      <c r="AL2" s="198">
        <f>ROUND(N(data!C317),0)</f>
        <v>1046706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22865</v>
      </c>
      <c r="AR2" s="198">
        <f>ROUND(N(data!C323),0)</f>
        <v>621524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2132731</v>
      </c>
      <c r="AY2" s="198">
        <f>ROUND(N(data!C334),0)</f>
        <v>12846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3789</v>
      </c>
      <c r="BD2" s="198">
        <f>ROUND(N(data!C339),0)</f>
        <v>0</v>
      </c>
      <c r="BE2" s="198">
        <f>ROUND(N(data!C343),0)</f>
        <v>13509615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127.09</v>
      </c>
      <c r="BL2" s="198">
        <f>ROUND(N(data!C358),0)</f>
        <v>4231057</v>
      </c>
      <c r="BM2" s="198">
        <f>ROUND(N(data!C359),0)</f>
        <v>24811710</v>
      </c>
      <c r="BN2" s="198">
        <f>ROUND(N(data!C363),0)</f>
        <v>10352370</v>
      </c>
      <c r="BO2" s="198">
        <f>ROUND(N(data!C364),0)</f>
        <v>416440</v>
      </c>
      <c r="BP2" s="198">
        <f>ROUND(N(data!C365),0)</f>
        <v>0</v>
      </c>
      <c r="BQ2" s="198">
        <f>ROUND(N(data!D381),0)</f>
        <v>3924740</v>
      </c>
      <c r="BR2" s="198">
        <f>ROUND(N(data!C370),0)</f>
        <v>5357</v>
      </c>
      <c r="BS2" s="198">
        <f>ROUND(N(data!C371),0)</f>
        <v>117020</v>
      </c>
      <c r="BT2" s="198">
        <f>ROUND(N(data!C372),0)</f>
        <v>0</v>
      </c>
      <c r="BU2" s="198">
        <f>ROUND(N(data!C373),0)</f>
        <v>0</v>
      </c>
      <c r="BV2" s="198">
        <f>ROUND(N(data!C374),0)</f>
        <v>3256445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9627</v>
      </c>
      <c r="CB2" s="198">
        <f>ROUND(N(data!C380),0)</f>
        <v>536291</v>
      </c>
      <c r="CC2" s="198">
        <f>ROUND(N(data!C382),0)</f>
        <v>389476</v>
      </c>
      <c r="CD2" s="198">
        <f>ROUND(N(data!C389),0)</f>
        <v>9135573</v>
      </c>
      <c r="CE2" s="198">
        <f>ROUND(N(data!C390),0)</f>
        <v>3150734</v>
      </c>
      <c r="CF2" s="198">
        <f>ROUND(N(data!C391),0)</f>
        <v>1926510</v>
      </c>
      <c r="CG2" s="198">
        <f>ROUND(N(data!C392),0)</f>
        <v>3739759</v>
      </c>
      <c r="CH2" s="198">
        <f>ROUND(N(data!C393),0)</f>
        <v>295176</v>
      </c>
      <c r="CI2" s="198">
        <f>ROUND(N(data!C394),0)</f>
        <v>2169702</v>
      </c>
      <c r="CJ2" s="198">
        <f>ROUND(N(data!C395),0)</f>
        <v>967666</v>
      </c>
      <c r="CK2" s="198">
        <f>ROUND(N(data!C396),0)</f>
        <v>254921</v>
      </c>
      <c r="CL2" s="198">
        <f>ROUND(N(data!C397),0)</f>
        <v>141648</v>
      </c>
      <c r="CM2" s="198">
        <f>ROUND(N(data!C398),0)</f>
        <v>143710</v>
      </c>
      <c r="CN2" s="198">
        <f>ROUND(N(data!C399),0)</f>
        <v>48067</v>
      </c>
      <c r="CO2" s="198">
        <f>ROUND(N(data!C362),0)</f>
        <v>322454</v>
      </c>
      <c r="CP2" s="198">
        <f>ROUND(N(data!D415),0)</f>
        <v>645249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258762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386487</v>
      </c>
      <c r="DE2" s="52">
        <f>ROUND(N(data!C419),0)</f>
        <v>0</v>
      </c>
      <c r="DF2" s="198">
        <f>ROUND(N(data!D420),0)</f>
        <v>1095203</v>
      </c>
      <c r="DG2" s="198">
        <f>ROUND(N(data!C422),0)</f>
        <v>0</v>
      </c>
      <c r="DH2" s="198">
        <f>ROUND(N(data!C423),0)</f>
        <v>0</v>
      </c>
    </row>
  </sheetData>
  <sheetProtection algorithmName="SHA-512" hashValue="kiRn4Nw7YTcv9DBoEBPyvNsRWxnj4QVjpbWPhNw+nGxtyOhKWoT+fRnyNkzoPF+LeLfzS4qst8WANCSYpm8Umg==" saltValue="5ysCx5LdWWZhcA9MNKkPK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1318</v>
      </c>
      <c r="B1" s="12" t="s">
        <v>1319</v>
      </c>
      <c r="C1" s="10" t="s">
        <v>1320</v>
      </c>
      <c r="D1" s="12" t="s">
        <v>1321</v>
      </c>
      <c r="E1" s="10" t="s">
        <v>1322</v>
      </c>
      <c r="F1" s="10" t="s">
        <v>1323</v>
      </c>
      <c r="G1" s="10" t="s">
        <v>1324</v>
      </c>
      <c r="H1" s="10" t="s">
        <v>1325</v>
      </c>
      <c r="I1" s="10" t="s">
        <v>1326</v>
      </c>
      <c r="J1" s="10" t="s">
        <v>1327</v>
      </c>
      <c r="K1" s="10" t="s">
        <v>1328</v>
      </c>
      <c r="L1" s="10" t="s">
        <v>1329</v>
      </c>
      <c r="M1" s="10" t="s">
        <v>1330</v>
      </c>
      <c r="N1" s="10" t="s">
        <v>1331</v>
      </c>
      <c r="O1" s="10" t="s">
        <v>1332</v>
      </c>
      <c r="P1" s="10" t="s">
        <v>1300</v>
      </c>
      <c r="Q1" s="10" t="s">
        <v>1301</v>
      </c>
      <c r="R1" s="10" t="s">
        <v>1302</v>
      </c>
      <c r="S1" s="10" t="s">
        <v>1303</v>
      </c>
      <c r="T1" s="10" t="s">
        <v>1304</v>
      </c>
      <c r="U1" s="10" t="s">
        <v>1305</v>
      </c>
      <c r="V1" s="10" t="s">
        <v>1306</v>
      </c>
      <c r="W1" s="10" t="s">
        <v>1307</v>
      </c>
      <c r="X1" s="10" t="s">
        <v>1308</v>
      </c>
      <c r="Y1" s="10" t="s">
        <v>1309</v>
      </c>
      <c r="Z1" s="10" t="s">
        <v>1310</v>
      </c>
      <c r="AA1" s="10" t="s">
        <v>1311</v>
      </c>
      <c r="AB1" s="10" t="s">
        <v>1312</v>
      </c>
      <c r="AC1" s="10" t="s">
        <v>1313</v>
      </c>
      <c r="AD1" s="10" t="s">
        <v>1333</v>
      </c>
      <c r="AE1" s="10" t="s">
        <v>1334</v>
      </c>
      <c r="AF1" s="10" t="s">
        <v>1335</v>
      </c>
      <c r="AG1" s="10" t="s">
        <v>1336</v>
      </c>
      <c r="AH1" s="10" t="s">
        <v>1337</v>
      </c>
      <c r="AI1" s="10" t="s">
        <v>1338</v>
      </c>
      <c r="AJ1" s="10" t="s">
        <v>1339</v>
      </c>
      <c r="AK1" s="10" t="s">
        <v>1340</v>
      </c>
      <c r="AM1" s="14"/>
      <c r="AN1" s="14"/>
      <c r="AO1" s="14"/>
      <c r="AP1" s="14"/>
    </row>
    <row r="2" spans="1:89" s="169" customFormat="1" ht="12.65" customHeight="1" x14ac:dyDescent="0.35">
      <c r="A2" s="12" t="str">
        <f>RIGHT(data!$C$97,3)</f>
        <v>167</v>
      </c>
      <c r="B2" s="200" t="str">
        <f>RIGHT(data!$C$96,4)</f>
        <v>2022</v>
      </c>
      <c r="C2" s="12" t="str">
        <f>data!C$55</f>
        <v>6010</v>
      </c>
      <c r="D2" s="12" t="s">
        <v>1134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5" customHeight="1" x14ac:dyDescent="0.35">
      <c r="A3" s="12" t="str">
        <f>RIGHT(data!$C$97,3)</f>
        <v>167</v>
      </c>
      <c r="B3" s="200" t="str">
        <f>RIGHT(data!$C$96,4)</f>
        <v>2022</v>
      </c>
      <c r="C3" s="12" t="str">
        <f>data!D$55</f>
        <v>6030</v>
      </c>
      <c r="D3" s="12" t="s">
        <v>1134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5" customHeight="1" x14ac:dyDescent="0.35">
      <c r="A4" s="12" t="str">
        <f>RIGHT(data!$C$97,3)</f>
        <v>167</v>
      </c>
      <c r="B4" s="200" t="str">
        <f>RIGHT(data!$C$96,4)</f>
        <v>2022</v>
      </c>
      <c r="C4" s="12" t="str">
        <f>data!E$55</f>
        <v>6070</v>
      </c>
      <c r="D4" s="12" t="s">
        <v>1134</v>
      </c>
      <c r="E4" s="198">
        <f>ROUND(N(data!E59), 0)</f>
        <v>354</v>
      </c>
      <c r="F4" s="271">
        <f>ROUND(N(data!E60), 2)</f>
        <v>2.63</v>
      </c>
      <c r="G4" s="198">
        <f>ROUND(N(data!E61), 0)</f>
        <v>195102</v>
      </c>
      <c r="H4" s="198">
        <f>ROUND(N(data!E62), 0)</f>
        <v>44934</v>
      </c>
      <c r="I4" s="198">
        <f>ROUND(N(data!E63), 0)</f>
        <v>3462</v>
      </c>
      <c r="J4" s="198">
        <f>ROUND(N(data!E64), 0)</f>
        <v>17694</v>
      </c>
      <c r="K4" s="198">
        <f>ROUND(N(data!E65), 0)</f>
        <v>0</v>
      </c>
      <c r="L4" s="198">
        <f>ROUND(N(data!E66), 0)</f>
        <v>23045</v>
      </c>
      <c r="M4" s="198">
        <f>ROUND(N(data!E67), 0)</f>
        <v>16062</v>
      </c>
      <c r="N4" s="198">
        <f>ROUND(N(data!E68), 0)</f>
        <v>-1500</v>
      </c>
      <c r="O4" s="198">
        <f>ROUND(N(data!E69), 0)</f>
        <v>2088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2088</v>
      </c>
      <c r="AD4" s="198">
        <f>ROUND(N(data!E84), 0)</f>
        <v>0</v>
      </c>
      <c r="AE4" s="198">
        <f>ROUND(N(data!E89), 0)</f>
        <v>1082101</v>
      </c>
      <c r="AF4" s="198">
        <f>ROUND(N(data!E87), 0)</f>
        <v>1043916</v>
      </c>
      <c r="AG4" s="198">
        <f>ROUND(N(data!E90), 0)</f>
        <v>523</v>
      </c>
      <c r="AH4" s="198">
        <f>ROUND(N(data!E91), 0)</f>
        <v>1087</v>
      </c>
      <c r="AI4" s="198">
        <f>ROUND(N(data!E92), 0)</f>
        <v>215</v>
      </c>
      <c r="AJ4" s="198">
        <f>ROUND(N(data!E93), 0)</f>
        <v>2486</v>
      </c>
      <c r="AK4" s="271">
        <f>ROUND(N(data!E94), 2)</f>
        <v>2.63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5" customHeight="1" x14ac:dyDescent="0.35">
      <c r="A5" s="12" t="str">
        <f>RIGHT(data!$C$97,3)</f>
        <v>167</v>
      </c>
      <c r="B5" s="200" t="str">
        <f>RIGHT(data!$C$96,4)</f>
        <v>2022</v>
      </c>
      <c r="C5" s="12" t="str">
        <f>data!F$55</f>
        <v>6100</v>
      </c>
      <c r="D5" s="12" t="s">
        <v>1134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5" customHeight="1" x14ac:dyDescent="0.35">
      <c r="A6" s="12" t="str">
        <f>RIGHT(data!$C$97,3)</f>
        <v>167</v>
      </c>
      <c r="B6" s="200" t="str">
        <f>RIGHT(data!$C$96,4)</f>
        <v>2022</v>
      </c>
      <c r="C6" s="12" t="str">
        <f>data!G$55</f>
        <v>6120</v>
      </c>
      <c r="D6" s="12" t="s">
        <v>1134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5" customHeight="1" x14ac:dyDescent="0.35">
      <c r="A7" s="12" t="str">
        <f>RIGHT(data!$C$97,3)</f>
        <v>167</v>
      </c>
      <c r="B7" s="200" t="str">
        <f>RIGHT(data!$C$96,4)</f>
        <v>2022</v>
      </c>
      <c r="C7" s="12" t="str">
        <f>data!H$55</f>
        <v>6140</v>
      </c>
      <c r="D7" s="12" t="s">
        <v>1134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5" customHeight="1" x14ac:dyDescent="0.35">
      <c r="A8" s="12" t="str">
        <f>RIGHT(data!$C$97,3)</f>
        <v>167</v>
      </c>
      <c r="B8" s="200" t="str">
        <f>RIGHT(data!$C$96,4)</f>
        <v>2022</v>
      </c>
      <c r="C8" s="12" t="str">
        <f>data!I$55</f>
        <v>6150</v>
      </c>
      <c r="D8" s="12" t="s">
        <v>1134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5" customHeight="1" x14ac:dyDescent="0.35">
      <c r="A9" s="12" t="str">
        <f>RIGHT(data!$C$97,3)</f>
        <v>167</v>
      </c>
      <c r="B9" s="200" t="str">
        <f>RIGHT(data!$C$96,4)</f>
        <v>2022</v>
      </c>
      <c r="C9" s="12" t="str">
        <f>data!J$55</f>
        <v>6170</v>
      </c>
      <c r="D9" s="12" t="s">
        <v>1134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5" customHeight="1" x14ac:dyDescent="0.35">
      <c r="A10" s="12" t="str">
        <f>RIGHT(data!$C$97,3)</f>
        <v>167</v>
      </c>
      <c r="B10" s="200" t="str">
        <f>RIGHT(data!$C$96,4)</f>
        <v>2022</v>
      </c>
      <c r="C10" s="12" t="str">
        <f>data!K$55</f>
        <v>6200</v>
      </c>
      <c r="D10" s="12" t="s">
        <v>1134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5" customHeight="1" x14ac:dyDescent="0.35">
      <c r="A11" s="12" t="str">
        <f>RIGHT(data!$C$97,3)</f>
        <v>167</v>
      </c>
      <c r="B11" s="200" t="str">
        <f>RIGHT(data!$C$96,4)</f>
        <v>2022</v>
      </c>
      <c r="C11" s="12" t="str">
        <f>data!L$55</f>
        <v>6210</v>
      </c>
      <c r="D11" s="12" t="s">
        <v>1134</v>
      </c>
      <c r="E11" s="198">
        <f>ROUND(N(data!L59), 0)</f>
        <v>4052</v>
      </c>
      <c r="F11" s="271">
        <f>ROUND(N(data!L60), 2)</f>
        <v>30.1</v>
      </c>
      <c r="G11" s="198">
        <f>ROUND(N(data!L61), 0)</f>
        <v>2233201</v>
      </c>
      <c r="H11" s="198">
        <f>ROUND(N(data!L62), 0)</f>
        <v>514332</v>
      </c>
      <c r="I11" s="198">
        <f>ROUND(N(data!L63), 0)</f>
        <v>39627</v>
      </c>
      <c r="J11" s="198">
        <f>ROUND(N(data!L64), 0)</f>
        <v>202541</v>
      </c>
      <c r="K11" s="198">
        <f>ROUND(N(data!L65), 0)</f>
        <v>0</v>
      </c>
      <c r="L11" s="198">
        <f>ROUND(N(data!L66), 0)</f>
        <v>263780</v>
      </c>
      <c r="M11" s="198">
        <f>ROUND(N(data!L67), 0)</f>
        <v>184019</v>
      </c>
      <c r="N11" s="198">
        <f>ROUND(N(data!L68), 0)</f>
        <v>0</v>
      </c>
      <c r="O11" s="198">
        <f>ROUND(N(data!L69), 0)</f>
        <v>23894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23894</v>
      </c>
      <c r="AD11" s="198">
        <f>ROUND(N(data!L84), 0)</f>
        <v>0</v>
      </c>
      <c r="AE11" s="198">
        <f>ROUND(N(data!L89), 0)</f>
        <v>1894205</v>
      </c>
      <c r="AF11" s="198">
        <f>ROUND(N(data!L87), 0)</f>
        <v>1894205</v>
      </c>
      <c r="AG11" s="198">
        <f>ROUND(N(data!L90), 0)</f>
        <v>5992</v>
      </c>
      <c r="AH11" s="198">
        <f>ROUND(N(data!L91), 0)</f>
        <v>12444</v>
      </c>
      <c r="AI11" s="198">
        <f>ROUND(N(data!L92), 0)</f>
        <v>2456</v>
      </c>
      <c r="AJ11" s="198">
        <f>ROUND(N(data!L93), 0)</f>
        <v>28450</v>
      </c>
      <c r="AK11" s="271">
        <f>ROUND(N(data!L94), 2)</f>
        <v>30.1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5" customHeight="1" x14ac:dyDescent="0.35">
      <c r="A12" s="12" t="str">
        <f>RIGHT(data!$C$97,3)</f>
        <v>167</v>
      </c>
      <c r="B12" s="200" t="str">
        <f>RIGHT(data!$C$96,4)</f>
        <v>2022</v>
      </c>
      <c r="C12" s="12" t="str">
        <f>data!M$55</f>
        <v>6330</v>
      </c>
      <c r="D12" s="12" t="s">
        <v>1134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5" customHeight="1" x14ac:dyDescent="0.35">
      <c r="A13" s="12" t="str">
        <f>RIGHT(data!$C$97,3)</f>
        <v>167</v>
      </c>
      <c r="B13" s="200" t="str">
        <f>RIGHT(data!$C$96,4)</f>
        <v>2022</v>
      </c>
      <c r="C13" s="12" t="str">
        <f>data!N$55</f>
        <v>6400</v>
      </c>
      <c r="D13" s="12" t="s">
        <v>1134</v>
      </c>
      <c r="E13" s="198">
        <f>ROUND(N(data!N59), 0)</f>
        <v>5443</v>
      </c>
      <c r="F13" s="271">
        <f>ROUND(N(data!N60), 2)</f>
        <v>15.47</v>
      </c>
      <c r="G13" s="198">
        <f>ROUND(N(data!N61), 0)</f>
        <v>799917</v>
      </c>
      <c r="H13" s="198">
        <f>ROUND(N(data!N62), 0)</f>
        <v>184230</v>
      </c>
      <c r="I13" s="198">
        <f>ROUND(N(data!N63), 0)</f>
        <v>0</v>
      </c>
      <c r="J13" s="198">
        <f>ROUND(N(data!N64), 0)</f>
        <v>25937</v>
      </c>
      <c r="K13" s="198">
        <f>ROUND(N(data!N65), 0)</f>
        <v>32900</v>
      </c>
      <c r="L13" s="198">
        <f>ROUND(N(data!N66), 0)</f>
        <v>95024</v>
      </c>
      <c r="M13" s="198">
        <f>ROUND(N(data!N67), 0)</f>
        <v>318993</v>
      </c>
      <c r="N13" s="198">
        <f>ROUND(N(data!N68), 0)</f>
        <v>206995</v>
      </c>
      <c r="O13" s="198">
        <f>ROUND(N(data!N69), 0)</f>
        <v>35508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35508</v>
      </c>
      <c r="AD13" s="198">
        <f>ROUND(N(data!N84), 0)</f>
        <v>0</v>
      </c>
      <c r="AE13" s="198">
        <f>ROUND(N(data!N89), 0)</f>
        <v>221295</v>
      </c>
      <c r="AF13" s="198">
        <f>ROUND(N(data!N87), 0)</f>
        <v>1248</v>
      </c>
      <c r="AG13" s="198">
        <f>ROUND(N(data!N90), 0)</f>
        <v>10387</v>
      </c>
      <c r="AH13" s="198">
        <f>ROUND(N(data!N91), 0)</f>
        <v>11070</v>
      </c>
      <c r="AI13" s="198">
        <f>ROUND(N(data!N92), 0)</f>
        <v>4258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5" customHeight="1" x14ac:dyDescent="0.35">
      <c r="A14" s="12" t="str">
        <f>RIGHT(data!$C$97,3)</f>
        <v>167</v>
      </c>
      <c r="B14" s="200" t="str">
        <f>RIGHT(data!$C$96,4)</f>
        <v>2022</v>
      </c>
      <c r="C14" s="12" t="str">
        <f>data!O$55</f>
        <v>7010</v>
      </c>
      <c r="D14" s="12" t="s">
        <v>1134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5" customHeight="1" x14ac:dyDescent="0.35">
      <c r="A15" s="12" t="str">
        <f>RIGHT(data!$C$97,3)</f>
        <v>167</v>
      </c>
      <c r="B15" s="200" t="str">
        <f>RIGHT(data!$C$96,4)</f>
        <v>2022</v>
      </c>
      <c r="C15" s="12" t="str">
        <f>data!P$55</f>
        <v>7020</v>
      </c>
      <c r="D15" s="12" t="s">
        <v>1134</v>
      </c>
      <c r="E15" s="198">
        <f>ROUND(N(data!P59), 0)</f>
        <v>0</v>
      </c>
      <c r="F15" s="271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5" customHeight="1" x14ac:dyDescent="0.35">
      <c r="A16" s="12" t="str">
        <f>RIGHT(data!$C$97,3)</f>
        <v>167</v>
      </c>
      <c r="B16" s="200" t="str">
        <f>RIGHT(data!$C$96,4)</f>
        <v>2022</v>
      </c>
      <c r="C16" s="12" t="str">
        <f>data!Q$55</f>
        <v>7030</v>
      </c>
      <c r="D16" s="12" t="s">
        <v>1134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5" customHeight="1" x14ac:dyDescent="0.35">
      <c r="A17" s="12" t="str">
        <f>RIGHT(data!$C$97,3)</f>
        <v>167</v>
      </c>
      <c r="B17" s="200" t="str">
        <f>RIGHT(data!$C$96,4)</f>
        <v>2022</v>
      </c>
      <c r="C17" s="12" t="str">
        <f>data!R$55</f>
        <v>7040</v>
      </c>
      <c r="D17" s="12" t="s">
        <v>1134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5" customHeight="1" x14ac:dyDescent="0.35">
      <c r="A18" s="12" t="str">
        <f>RIGHT(data!$C$97,3)</f>
        <v>167</v>
      </c>
      <c r="B18" s="200" t="str">
        <f>RIGHT(data!$C$96,4)</f>
        <v>2022</v>
      </c>
      <c r="C18" s="12" t="str">
        <f>data!S$55</f>
        <v>7050</v>
      </c>
      <c r="D18" s="12" t="s">
        <v>1134</v>
      </c>
      <c r="E18" s="198">
        <f>ROUND(N(data!S59), 0)</f>
        <v>0</v>
      </c>
      <c r="F18" s="271">
        <f>ROUND(N(data!S60), 2)</f>
        <v>1.92</v>
      </c>
      <c r="G18" s="198">
        <f>ROUND(N(data!S61), 0)</f>
        <v>112994</v>
      </c>
      <c r="H18" s="198">
        <f>ROUND(N(data!S62), 0)</f>
        <v>26024</v>
      </c>
      <c r="I18" s="198">
        <f>ROUND(N(data!S63), 0)</f>
        <v>0</v>
      </c>
      <c r="J18" s="198">
        <f>ROUND(N(data!S64), 0)</f>
        <v>24710</v>
      </c>
      <c r="K18" s="198">
        <f>ROUND(N(data!S65), 0)</f>
        <v>0</v>
      </c>
      <c r="L18" s="198">
        <f>ROUND(N(data!S66), 0)</f>
        <v>0</v>
      </c>
      <c r="M18" s="198">
        <f>ROUND(N(data!S67), 0)</f>
        <v>24753</v>
      </c>
      <c r="N18" s="198">
        <f>ROUND(N(data!S68), 0)</f>
        <v>0</v>
      </c>
      <c r="O18" s="198">
        <f>ROUND(N(data!S69), 0)</f>
        <v>2390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2390</v>
      </c>
      <c r="AD18" s="198">
        <f>ROUND(N(data!S84), 0)</f>
        <v>0</v>
      </c>
      <c r="AE18" s="198">
        <f>ROUND(N(data!S89), 0)</f>
        <v>297873</v>
      </c>
      <c r="AF18" s="198">
        <f>ROUND(N(data!S87), 0)</f>
        <v>203267</v>
      </c>
      <c r="AG18" s="198">
        <f>ROUND(N(data!S90), 0)</f>
        <v>806</v>
      </c>
      <c r="AH18" s="198">
        <f>ROUND(N(data!S91), 0)</f>
        <v>0</v>
      </c>
      <c r="AI18" s="198">
        <f>ROUND(N(data!S92), 0)</f>
        <v>330</v>
      </c>
      <c r="AJ18" s="198">
        <f>ROUND(N(data!S93), 0)</f>
        <v>0</v>
      </c>
      <c r="AK18" s="271">
        <f>ROUND(N(data!S94), 2)</f>
        <v>1.92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5" customHeight="1" x14ac:dyDescent="0.35">
      <c r="A19" s="12" t="str">
        <f>RIGHT(data!$C$97,3)</f>
        <v>167</v>
      </c>
      <c r="B19" s="200" t="str">
        <f>RIGHT(data!$C$96,4)</f>
        <v>2022</v>
      </c>
      <c r="C19" s="12" t="str">
        <f>data!T$55</f>
        <v>7060</v>
      </c>
      <c r="D19" s="12" t="s">
        <v>1134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5" customHeight="1" x14ac:dyDescent="0.35">
      <c r="A20" s="12" t="str">
        <f>RIGHT(data!$C$97,3)</f>
        <v>167</v>
      </c>
      <c r="B20" s="200" t="str">
        <f>RIGHT(data!$C$96,4)</f>
        <v>2022</v>
      </c>
      <c r="C20" s="12" t="str">
        <f>data!U$55</f>
        <v>7070</v>
      </c>
      <c r="D20" s="12" t="s">
        <v>1134</v>
      </c>
      <c r="E20" s="198">
        <f>ROUND(N(data!U59), 0)</f>
        <v>33500</v>
      </c>
      <c r="F20" s="271">
        <f>ROUND(N(data!U60), 2)</f>
        <v>7.19</v>
      </c>
      <c r="G20" s="198">
        <f>ROUND(N(data!U61), 0)</f>
        <v>423966</v>
      </c>
      <c r="H20" s="198">
        <f>ROUND(N(data!U62), 0)</f>
        <v>97644</v>
      </c>
      <c r="I20" s="198">
        <f>ROUND(N(data!U63), 0)</f>
        <v>0</v>
      </c>
      <c r="J20" s="198">
        <f>ROUND(N(data!U64), 0)</f>
        <v>526193</v>
      </c>
      <c r="K20" s="198">
        <f>ROUND(N(data!U65), 0)</f>
        <v>0</v>
      </c>
      <c r="L20" s="198">
        <f>ROUND(N(data!U66), 0)</f>
        <v>200879</v>
      </c>
      <c r="M20" s="198">
        <f>ROUND(N(data!U67), 0)</f>
        <v>28622</v>
      </c>
      <c r="N20" s="198">
        <f>ROUND(N(data!U68), 0)</f>
        <v>0</v>
      </c>
      <c r="O20" s="198">
        <f>ROUND(N(data!U69), 0)</f>
        <v>2850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2232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618</v>
      </c>
      <c r="AD20" s="198">
        <f>ROUND(N(data!U84), 0)</f>
        <v>0</v>
      </c>
      <c r="AE20" s="198">
        <f>ROUND(N(data!U89), 0)</f>
        <v>4240776</v>
      </c>
      <c r="AF20" s="198">
        <f>ROUND(N(data!U87), 0)</f>
        <v>303017</v>
      </c>
      <c r="AG20" s="198">
        <f>ROUND(N(data!U90), 0)</f>
        <v>932</v>
      </c>
      <c r="AH20" s="198">
        <f>ROUND(N(data!U91), 0)</f>
        <v>0</v>
      </c>
      <c r="AI20" s="198">
        <f>ROUND(N(data!U92), 0)</f>
        <v>382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5" customHeight="1" x14ac:dyDescent="0.35">
      <c r="A21" s="12" t="str">
        <f>RIGHT(data!$C$97,3)</f>
        <v>167</v>
      </c>
      <c r="B21" s="200" t="str">
        <f>RIGHT(data!$C$96,4)</f>
        <v>2022</v>
      </c>
      <c r="C21" s="12" t="str">
        <f>data!V$55</f>
        <v>7110</v>
      </c>
      <c r="D21" s="12" t="s">
        <v>1134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5" customHeight="1" x14ac:dyDescent="0.35">
      <c r="A22" s="12" t="str">
        <f>RIGHT(data!$C$97,3)</f>
        <v>167</v>
      </c>
      <c r="B22" s="200" t="str">
        <f>RIGHT(data!$C$96,4)</f>
        <v>2022</v>
      </c>
      <c r="C22" s="12" t="str">
        <f>data!W$55</f>
        <v>7120</v>
      </c>
      <c r="D22" s="12" t="s">
        <v>1134</v>
      </c>
      <c r="E22" s="198">
        <f>ROUND(N(data!W59), 0)</f>
        <v>290</v>
      </c>
      <c r="F22" s="271">
        <f>ROUND(N(data!W60), 2)</f>
        <v>0.34</v>
      </c>
      <c r="G22" s="198">
        <f>ROUND(N(data!W61), 0)</f>
        <v>31389</v>
      </c>
      <c r="H22" s="198">
        <f>ROUND(N(data!W62), 0)</f>
        <v>7229</v>
      </c>
      <c r="I22" s="198">
        <f>ROUND(N(data!W63), 0)</f>
        <v>3126</v>
      </c>
      <c r="J22" s="198">
        <f>ROUND(N(data!W64), 0)</f>
        <v>1279</v>
      </c>
      <c r="K22" s="198">
        <f>ROUND(N(data!W65), 0)</f>
        <v>1712</v>
      </c>
      <c r="L22" s="198">
        <f>ROUND(N(data!W66), 0)</f>
        <v>197</v>
      </c>
      <c r="M22" s="198">
        <f>ROUND(N(data!W67), 0)</f>
        <v>1751</v>
      </c>
      <c r="N22" s="198">
        <f>ROUND(N(data!W68), 0)</f>
        <v>0</v>
      </c>
      <c r="O22" s="198">
        <f>ROUND(N(data!W69), 0)</f>
        <v>94385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94385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385524</v>
      </c>
      <c r="AF22" s="198">
        <f>ROUND(N(data!W87), 0)</f>
        <v>13794</v>
      </c>
      <c r="AG22" s="198">
        <f>ROUND(N(data!W90), 0)</f>
        <v>57</v>
      </c>
      <c r="AH22" s="198">
        <f>ROUND(N(data!W91), 0)</f>
        <v>0</v>
      </c>
      <c r="AI22" s="198">
        <f>ROUND(N(data!W92), 0)</f>
        <v>23</v>
      </c>
      <c r="AJ22" s="198">
        <f>ROUND(N(data!W93), 0)</f>
        <v>355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5" customHeight="1" x14ac:dyDescent="0.35">
      <c r="A23" s="12" t="str">
        <f>RIGHT(data!$C$97,3)</f>
        <v>167</v>
      </c>
      <c r="B23" s="200" t="str">
        <f>RIGHT(data!$C$96,4)</f>
        <v>2022</v>
      </c>
      <c r="C23" s="12" t="str">
        <f>data!X$55</f>
        <v>7130</v>
      </c>
      <c r="D23" s="12" t="s">
        <v>1134</v>
      </c>
      <c r="E23" s="198">
        <f>ROUND(N(data!X59), 0)</f>
        <v>1322</v>
      </c>
      <c r="F23" s="271">
        <f>ROUND(N(data!X60), 2)</f>
        <v>1.56</v>
      </c>
      <c r="G23" s="198">
        <f>ROUND(N(data!X61), 0)</f>
        <v>143090</v>
      </c>
      <c r="H23" s="198">
        <f>ROUND(N(data!X62), 0)</f>
        <v>32955</v>
      </c>
      <c r="I23" s="198">
        <f>ROUND(N(data!X63), 0)</f>
        <v>14251</v>
      </c>
      <c r="J23" s="198">
        <f>ROUND(N(data!X64), 0)</f>
        <v>5830</v>
      </c>
      <c r="K23" s="198">
        <f>ROUND(N(data!X65), 0)</f>
        <v>7806</v>
      </c>
      <c r="L23" s="198">
        <f>ROUND(N(data!X66), 0)</f>
        <v>896</v>
      </c>
      <c r="M23" s="198">
        <f>ROUND(N(data!X67), 0)</f>
        <v>7985</v>
      </c>
      <c r="N23" s="198">
        <f>ROUND(N(data!X68), 0)</f>
        <v>0</v>
      </c>
      <c r="O23" s="198">
        <f>ROUND(N(data!X69), 0)</f>
        <v>1474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1250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224</v>
      </c>
      <c r="AD23" s="198">
        <f>ROUND(N(data!X84), 0)</f>
        <v>0</v>
      </c>
      <c r="AE23" s="198">
        <f>ROUND(N(data!X89), 0)</f>
        <v>1757457</v>
      </c>
      <c r="AF23" s="198">
        <f>ROUND(N(data!X87), 0)</f>
        <v>62880</v>
      </c>
      <c r="AG23" s="198">
        <f>ROUND(N(data!X90), 0)</f>
        <v>260</v>
      </c>
      <c r="AH23" s="198">
        <f>ROUND(N(data!X91), 0)</f>
        <v>0</v>
      </c>
      <c r="AI23" s="198">
        <f>ROUND(N(data!X92), 0)</f>
        <v>106</v>
      </c>
      <c r="AJ23" s="198">
        <f>ROUND(N(data!X93), 0)</f>
        <v>1621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5" customHeight="1" x14ac:dyDescent="0.35">
      <c r="A24" s="12" t="str">
        <f>RIGHT(data!$C$97,3)</f>
        <v>167</v>
      </c>
      <c r="B24" s="200" t="str">
        <f>RIGHT(data!$C$96,4)</f>
        <v>2022</v>
      </c>
      <c r="C24" s="12" t="str">
        <f>data!Y$55</f>
        <v>7140</v>
      </c>
      <c r="D24" s="12" t="s">
        <v>1134</v>
      </c>
      <c r="E24" s="198">
        <f>ROUND(N(data!Y59), 0)</f>
        <v>2887</v>
      </c>
      <c r="F24" s="271">
        <f>ROUND(N(data!Y60), 2)</f>
        <v>3.41</v>
      </c>
      <c r="G24" s="198">
        <f>ROUND(N(data!Y61), 0)</f>
        <v>312482</v>
      </c>
      <c r="H24" s="198">
        <f>ROUND(N(data!Y62), 0)</f>
        <v>71968</v>
      </c>
      <c r="I24" s="198">
        <f>ROUND(N(data!Y63), 0)</f>
        <v>31120</v>
      </c>
      <c r="J24" s="198">
        <f>ROUND(N(data!Y64), 0)</f>
        <v>12732</v>
      </c>
      <c r="K24" s="198">
        <f>ROUND(N(data!Y65), 0)</f>
        <v>17045</v>
      </c>
      <c r="L24" s="198">
        <f>ROUND(N(data!Y66), 0)</f>
        <v>1957</v>
      </c>
      <c r="M24" s="198">
        <f>ROUND(N(data!Y67), 0)</f>
        <v>17413</v>
      </c>
      <c r="N24" s="198">
        <f>ROUND(N(data!Y68), 0)</f>
        <v>0</v>
      </c>
      <c r="O24" s="198">
        <f>ROUND(N(data!Y69), 0)</f>
        <v>41946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38604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3342</v>
      </c>
      <c r="AD24" s="198">
        <f>ROUND(N(data!Y84), 0)</f>
        <v>0</v>
      </c>
      <c r="AE24" s="198">
        <f>ROUND(N(data!Y89), 0)</f>
        <v>3837957</v>
      </c>
      <c r="AF24" s="198">
        <f>ROUND(N(data!Y87), 0)</f>
        <v>137318</v>
      </c>
      <c r="AG24" s="198">
        <f>ROUND(N(data!Y90), 0)</f>
        <v>567</v>
      </c>
      <c r="AH24" s="198">
        <f>ROUND(N(data!Y91), 0)</f>
        <v>0</v>
      </c>
      <c r="AI24" s="198">
        <f>ROUND(N(data!Y92), 0)</f>
        <v>233</v>
      </c>
      <c r="AJ24" s="198">
        <f>ROUND(N(data!Y93), 0)</f>
        <v>3539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5" customHeight="1" x14ac:dyDescent="0.35">
      <c r="A25" s="12" t="str">
        <f>RIGHT(data!$C$97,3)</f>
        <v>167</v>
      </c>
      <c r="B25" s="200" t="str">
        <f>RIGHT(data!$C$96,4)</f>
        <v>2022</v>
      </c>
      <c r="C25" s="12" t="str">
        <f>data!Z$55</f>
        <v>7150</v>
      </c>
      <c r="D25" s="12" t="s">
        <v>1134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5" customHeight="1" x14ac:dyDescent="0.35">
      <c r="A26" s="12" t="str">
        <f>RIGHT(data!$C$97,3)</f>
        <v>167</v>
      </c>
      <c r="B26" s="200" t="str">
        <f>RIGHT(data!$C$96,4)</f>
        <v>2022</v>
      </c>
      <c r="C26" s="12" t="str">
        <f>data!AA$55</f>
        <v>7160</v>
      </c>
      <c r="D26" s="12" t="s">
        <v>1134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5" customHeight="1" x14ac:dyDescent="0.35">
      <c r="A27" s="12" t="str">
        <f>RIGHT(data!$C$97,3)</f>
        <v>167</v>
      </c>
      <c r="B27" s="200" t="str">
        <f>RIGHT(data!$C$96,4)</f>
        <v>2022</v>
      </c>
      <c r="C27" s="12" t="str">
        <f>data!AB$55</f>
        <v>7170</v>
      </c>
      <c r="D27" s="12" t="s">
        <v>1134</v>
      </c>
      <c r="E27" s="198">
        <f>ROUND(N(data!AB59), 0)</f>
        <v>0</v>
      </c>
      <c r="F27" s="271">
        <f>ROUND(N(data!AB60), 2)</f>
        <v>0</v>
      </c>
      <c r="G27" s="198">
        <f>ROUND(N(data!AB61), 0)</f>
        <v>0</v>
      </c>
      <c r="H27" s="198">
        <f>ROUND(N(data!AB62), 0)</f>
        <v>0</v>
      </c>
      <c r="I27" s="198">
        <f>ROUND(N(data!AB63), 0)</f>
        <v>226489</v>
      </c>
      <c r="J27" s="198">
        <f>ROUND(N(data!AB64), 0)</f>
        <v>2365523</v>
      </c>
      <c r="K27" s="198">
        <f>ROUND(N(data!AB65), 0)</f>
        <v>0</v>
      </c>
      <c r="L27" s="198">
        <f>ROUND(N(data!AB66), 0)</f>
        <v>120566</v>
      </c>
      <c r="M27" s="198">
        <f>ROUND(N(data!AB67), 0)</f>
        <v>3071</v>
      </c>
      <c r="N27" s="198">
        <f>ROUND(N(data!AB68), 0)</f>
        <v>0</v>
      </c>
      <c r="O27" s="198">
        <f>ROUND(N(data!AB69), 0)</f>
        <v>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726873</v>
      </c>
      <c r="AF27" s="198">
        <f>ROUND(N(data!AB87), 0)</f>
        <v>198712</v>
      </c>
      <c r="AG27" s="198">
        <f>ROUND(N(data!AB90), 0)</f>
        <v>100</v>
      </c>
      <c r="AH27" s="198">
        <f>ROUND(N(data!AB91), 0)</f>
        <v>0</v>
      </c>
      <c r="AI27" s="198">
        <f>ROUND(N(data!AB92), 0)</f>
        <v>41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5" customHeight="1" x14ac:dyDescent="0.35">
      <c r="A28" s="12" t="str">
        <f>RIGHT(data!$C$97,3)</f>
        <v>167</v>
      </c>
      <c r="B28" s="200" t="str">
        <f>RIGHT(data!$C$96,4)</f>
        <v>2022</v>
      </c>
      <c r="C28" s="12" t="str">
        <f>data!AC$55</f>
        <v>7180</v>
      </c>
      <c r="D28" s="12" t="s">
        <v>1134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5" customHeight="1" x14ac:dyDescent="0.35">
      <c r="A29" s="12" t="str">
        <f>RIGHT(data!$C$97,3)</f>
        <v>167</v>
      </c>
      <c r="B29" s="200" t="str">
        <f>RIGHT(data!$C$96,4)</f>
        <v>2022</v>
      </c>
      <c r="C29" s="12" t="str">
        <f>data!AD$55</f>
        <v>7190</v>
      </c>
      <c r="D29" s="12" t="s">
        <v>1134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5" customHeight="1" x14ac:dyDescent="0.35">
      <c r="A30" s="12" t="str">
        <f>RIGHT(data!$C$97,3)</f>
        <v>167</v>
      </c>
      <c r="B30" s="200" t="str">
        <f>RIGHT(data!$C$96,4)</f>
        <v>2022</v>
      </c>
      <c r="C30" s="12" t="str">
        <f>data!AE$55</f>
        <v>7200</v>
      </c>
      <c r="D30" s="12" t="s">
        <v>1134</v>
      </c>
      <c r="E30" s="198">
        <f>ROUND(N(data!AE59), 0)</f>
        <v>10294</v>
      </c>
      <c r="F30" s="271">
        <f>ROUND(N(data!AE60), 2)</f>
        <v>6.22</v>
      </c>
      <c r="G30" s="198">
        <f>ROUND(N(data!AE61), 0)</f>
        <v>440466</v>
      </c>
      <c r="H30" s="198">
        <f>ROUND(N(data!AE62), 0)</f>
        <v>101444</v>
      </c>
      <c r="I30" s="198">
        <f>ROUND(N(data!AE63), 0)</f>
        <v>0</v>
      </c>
      <c r="J30" s="198">
        <f>ROUND(N(data!AE64), 0)</f>
        <v>12506</v>
      </c>
      <c r="K30" s="198">
        <f>ROUND(N(data!AE65), 0)</f>
        <v>211</v>
      </c>
      <c r="L30" s="198">
        <f>ROUND(N(data!AE66), 0)</f>
        <v>171525</v>
      </c>
      <c r="M30" s="198">
        <f>ROUND(N(data!AE67), 0)</f>
        <v>57982</v>
      </c>
      <c r="N30" s="198">
        <f>ROUND(N(data!AE68), 0)</f>
        <v>0</v>
      </c>
      <c r="O30" s="198">
        <f>ROUND(N(data!AE69), 0)</f>
        <v>2156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660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1496</v>
      </c>
      <c r="AD30" s="198">
        <f>ROUND(N(data!AE84), 0)</f>
        <v>0</v>
      </c>
      <c r="AE30" s="198">
        <f>ROUND(N(data!AE89), 0)</f>
        <v>1463659</v>
      </c>
      <c r="AF30" s="198">
        <f>ROUND(N(data!AE87), 0)</f>
        <v>146594</v>
      </c>
      <c r="AG30" s="198">
        <f>ROUND(N(data!AE90), 0)</f>
        <v>1888</v>
      </c>
      <c r="AH30" s="198">
        <f>ROUND(N(data!AE91), 0)</f>
        <v>0</v>
      </c>
      <c r="AI30" s="198">
        <f>ROUND(N(data!AE92), 0)</f>
        <v>774</v>
      </c>
      <c r="AJ30" s="198">
        <f>ROUND(N(data!AE93), 0)</f>
        <v>1749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5" customHeight="1" x14ac:dyDescent="0.35">
      <c r="A31" s="12" t="str">
        <f>RIGHT(data!$C$97,3)</f>
        <v>167</v>
      </c>
      <c r="B31" s="200" t="str">
        <f>RIGHT(data!$C$96,4)</f>
        <v>2022</v>
      </c>
      <c r="C31" s="12" t="str">
        <f>data!AF$55</f>
        <v>7220</v>
      </c>
      <c r="D31" s="12" t="s">
        <v>1134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5" customHeight="1" x14ac:dyDescent="0.35">
      <c r="A32" s="12" t="str">
        <f>RIGHT(data!$C$97,3)</f>
        <v>167</v>
      </c>
      <c r="B32" s="200" t="str">
        <f>RIGHT(data!$C$96,4)</f>
        <v>2022</v>
      </c>
      <c r="C32" s="12" t="str">
        <f>data!AG$55</f>
        <v>7230</v>
      </c>
      <c r="D32" s="12" t="s">
        <v>1134</v>
      </c>
      <c r="E32" s="198">
        <f>ROUND(N(data!AG59), 0)</f>
        <v>2719</v>
      </c>
      <c r="F32" s="271">
        <f>ROUND(N(data!AG60), 2)</f>
        <v>2.71</v>
      </c>
      <c r="G32" s="198">
        <f>ROUND(N(data!AG61), 0)</f>
        <v>303725</v>
      </c>
      <c r="H32" s="198">
        <f>ROUND(N(data!AG62), 0)</f>
        <v>69951</v>
      </c>
      <c r="I32" s="198">
        <f>ROUND(N(data!AG63), 0)</f>
        <v>0</v>
      </c>
      <c r="J32" s="198">
        <f>ROUND(N(data!AG64), 0)</f>
        <v>49105</v>
      </c>
      <c r="K32" s="198">
        <f>ROUND(N(data!AG65), 0)</f>
        <v>0</v>
      </c>
      <c r="L32" s="198">
        <f>ROUND(N(data!AG66), 0)</f>
        <v>10835</v>
      </c>
      <c r="M32" s="198">
        <f>ROUND(N(data!AG67), 0)</f>
        <v>30619</v>
      </c>
      <c r="N32" s="198">
        <f>ROUND(N(data!AG68), 0)</f>
        <v>0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6162999</v>
      </c>
      <c r="AF32" s="198">
        <f>ROUND(N(data!AG87), 0)</f>
        <v>15725</v>
      </c>
      <c r="AG32" s="198">
        <f>ROUND(N(data!AG90), 0)</f>
        <v>997</v>
      </c>
      <c r="AH32" s="198">
        <f>ROUND(N(data!AG91), 0)</f>
        <v>0</v>
      </c>
      <c r="AI32" s="198">
        <f>ROUND(N(data!AG92), 0)</f>
        <v>409</v>
      </c>
      <c r="AJ32" s="198">
        <f>ROUND(N(data!AG93), 0)</f>
        <v>13137</v>
      </c>
      <c r="AK32" s="271">
        <f>ROUND(N(data!AG94), 2)</f>
        <v>2.71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5" customHeight="1" x14ac:dyDescent="0.35">
      <c r="A33" s="12" t="str">
        <f>RIGHT(data!$C$97,3)</f>
        <v>167</v>
      </c>
      <c r="B33" s="200" t="str">
        <f>RIGHT(data!$C$96,4)</f>
        <v>2022</v>
      </c>
      <c r="C33" s="12" t="str">
        <f>data!AH$55</f>
        <v>7240</v>
      </c>
      <c r="D33" s="12" t="s">
        <v>1134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5" customHeight="1" x14ac:dyDescent="0.35">
      <c r="A34" s="12" t="str">
        <f>RIGHT(data!$C$97,3)</f>
        <v>167</v>
      </c>
      <c r="B34" s="200" t="str">
        <f>RIGHT(data!$C$96,4)</f>
        <v>2022</v>
      </c>
      <c r="C34" s="12" t="str">
        <f>data!AI$55</f>
        <v>7250</v>
      </c>
      <c r="D34" s="12" t="s">
        <v>1134</v>
      </c>
      <c r="E34" s="198">
        <f>ROUND(N(data!AI59), 0)</f>
        <v>295</v>
      </c>
      <c r="F34" s="271">
        <f>ROUND(N(data!AI60), 2)</f>
        <v>0.21</v>
      </c>
      <c r="G34" s="198">
        <f>ROUND(N(data!AI61), 0)</f>
        <v>17706</v>
      </c>
      <c r="H34" s="198">
        <f>ROUND(N(data!AI62), 0)</f>
        <v>4078</v>
      </c>
      <c r="I34" s="198">
        <f>ROUND(N(data!AI63), 0)</f>
        <v>0</v>
      </c>
      <c r="J34" s="198">
        <f>ROUND(N(data!AI64), 0)</f>
        <v>8946</v>
      </c>
      <c r="K34" s="198">
        <f>ROUND(N(data!AI65), 0)</f>
        <v>0</v>
      </c>
      <c r="L34" s="198">
        <f>ROUND(N(data!AI66), 0)</f>
        <v>10829</v>
      </c>
      <c r="M34" s="198">
        <f>ROUND(N(data!AI67), 0)</f>
        <v>11639</v>
      </c>
      <c r="N34" s="198">
        <f>ROUND(N(data!AI68), 0)</f>
        <v>0</v>
      </c>
      <c r="O34" s="198">
        <f>ROUND(N(data!AI69), 0)</f>
        <v>36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36</v>
      </c>
      <c r="AD34" s="198">
        <f>ROUND(N(data!AI84), 0)</f>
        <v>0</v>
      </c>
      <c r="AE34" s="198">
        <f>ROUND(N(data!AI89), 0)</f>
        <v>1207366</v>
      </c>
      <c r="AF34" s="198">
        <f>ROUND(N(data!AI87), 0)</f>
        <v>6340</v>
      </c>
      <c r="AG34" s="198">
        <f>ROUND(N(data!AI90), 0)</f>
        <v>379</v>
      </c>
      <c r="AH34" s="198">
        <f>ROUND(N(data!AI91), 0)</f>
        <v>0</v>
      </c>
      <c r="AI34" s="198">
        <f>ROUND(N(data!AI92), 0)</f>
        <v>155</v>
      </c>
      <c r="AJ34" s="198">
        <f>ROUND(N(data!AI93), 0)</f>
        <v>723</v>
      </c>
      <c r="AK34" s="271">
        <f>ROUND(N(data!AI94), 2)</f>
        <v>0.21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5" customHeight="1" x14ac:dyDescent="0.35">
      <c r="A35" s="12" t="str">
        <f>RIGHT(data!$C$97,3)</f>
        <v>167</v>
      </c>
      <c r="B35" s="200" t="str">
        <f>RIGHT(data!$C$96,4)</f>
        <v>2022</v>
      </c>
      <c r="C35" s="12" t="str">
        <f>data!AJ$55</f>
        <v>7260</v>
      </c>
      <c r="D35" s="12" t="s">
        <v>1134</v>
      </c>
      <c r="E35" s="198">
        <f>ROUND(N(data!AJ59), 0)</f>
        <v>9029</v>
      </c>
      <c r="F35" s="271">
        <f>ROUND(N(data!AJ60), 2)</f>
        <v>12.26</v>
      </c>
      <c r="G35" s="198">
        <f>ROUND(N(data!AJ61), 0)</f>
        <v>707188</v>
      </c>
      <c r="H35" s="198">
        <f>ROUND(N(data!AJ62), 0)</f>
        <v>162874</v>
      </c>
      <c r="I35" s="198">
        <f>ROUND(N(data!AJ63), 0)</f>
        <v>129833</v>
      </c>
      <c r="J35" s="198">
        <f>ROUND(N(data!AJ64), 0)</f>
        <v>27870</v>
      </c>
      <c r="K35" s="198">
        <f>ROUND(N(data!AJ65), 0)</f>
        <v>3892</v>
      </c>
      <c r="L35" s="198">
        <f>ROUND(N(data!AJ66), 0)</f>
        <v>7797</v>
      </c>
      <c r="M35" s="198">
        <f>ROUND(N(data!AJ67), 0)</f>
        <v>58289</v>
      </c>
      <c r="N35" s="198">
        <f>ROUND(N(data!AJ68), 0)</f>
        <v>15189</v>
      </c>
      <c r="O35" s="198">
        <f>ROUND(N(data!AJ69), 0)</f>
        <v>1706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1706</v>
      </c>
      <c r="AD35" s="198">
        <f>ROUND(N(data!AJ84), 0)</f>
        <v>0</v>
      </c>
      <c r="AE35" s="198">
        <f>ROUND(N(data!AJ89), 0)</f>
        <v>2467918</v>
      </c>
      <c r="AF35" s="198">
        <f>ROUND(N(data!AJ87), 0)</f>
        <v>119285</v>
      </c>
      <c r="AG35" s="198">
        <f>ROUND(N(data!AJ90), 0)</f>
        <v>1898</v>
      </c>
      <c r="AH35" s="198">
        <f>ROUND(N(data!AJ91), 0)</f>
        <v>0</v>
      </c>
      <c r="AI35" s="198">
        <f>ROUND(N(data!AJ92), 0)</f>
        <v>778</v>
      </c>
      <c r="AJ35" s="198">
        <f>ROUND(N(data!AJ93), 0)</f>
        <v>50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5" customHeight="1" x14ac:dyDescent="0.35">
      <c r="A36" s="12" t="str">
        <f>RIGHT(data!$C$97,3)</f>
        <v>167</v>
      </c>
      <c r="B36" s="200" t="str">
        <f>RIGHT(data!$C$96,4)</f>
        <v>2022</v>
      </c>
      <c r="C36" s="12" t="str">
        <f>data!AK$55</f>
        <v>7310</v>
      </c>
      <c r="D36" s="12" t="s">
        <v>1134</v>
      </c>
      <c r="E36" s="198">
        <f>ROUND(N(data!AK59), 0)</f>
        <v>1532</v>
      </c>
      <c r="F36" s="271">
        <f>ROUND(N(data!AK60), 2)</f>
        <v>0.06</v>
      </c>
      <c r="G36" s="198">
        <f>ROUND(N(data!AK61), 0)</f>
        <v>2827</v>
      </c>
      <c r="H36" s="198">
        <f>ROUND(N(data!AK62), 0)</f>
        <v>651</v>
      </c>
      <c r="I36" s="198">
        <f>ROUND(N(data!AK63), 0)</f>
        <v>0</v>
      </c>
      <c r="J36" s="198">
        <f>ROUND(N(data!AK64), 0)</f>
        <v>723</v>
      </c>
      <c r="K36" s="198">
        <f>ROUND(N(data!AK65), 0)</f>
        <v>0</v>
      </c>
      <c r="L36" s="198">
        <f>ROUND(N(data!AK66), 0)</f>
        <v>64954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223257</v>
      </c>
      <c r="AF36" s="198">
        <f>ROUND(N(data!AK87), 0)</f>
        <v>71168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5" customHeight="1" x14ac:dyDescent="0.35">
      <c r="A37" s="12" t="str">
        <f>RIGHT(data!$C$97,3)</f>
        <v>167</v>
      </c>
      <c r="B37" s="200" t="str">
        <f>RIGHT(data!$C$96,4)</f>
        <v>2022</v>
      </c>
      <c r="C37" s="12" t="str">
        <f>data!AL$55</f>
        <v>7320</v>
      </c>
      <c r="D37" s="12" t="s">
        <v>1134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5" customHeight="1" x14ac:dyDescent="0.35">
      <c r="A38" s="12" t="str">
        <f>RIGHT(data!$C$97,3)</f>
        <v>167</v>
      </c>
      <c r="B38" s="200" t="str">
        <f>RIGHT(data!$C$96,4)</f>
        <v>2022</v>
      </c>
      <c r="C38" s="12" t="str">
        <f>data!AM$55</f>
        <v>7330</v>
      </c>
      <c r="D38" s="12" t="s">
        <v>1134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5" customHeight="1" x14ac:dyDescent="0.35">
      <c r="A39" s="12" t="str">
        <f>RIGHT(data!$C$97,3)</f>
        <v>167</v>
      </c>
      <c r="B39" s="200" t="str">
        <f>RIGHT(data!$C$96,4)</f>
        <v>2022</v>
      </c>
      <c r="C39" s="12" t="str">
        <f>data!AN$55</f>
        <v>7340</v>
      </c>
      <c r="D39" s="12" t="s">
        <v>1134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5" customHeight="1" x14ac:dyDescent="0.35">
      <c r="A40" s="12" t="str">
        <f>RIGHT(data!$C$97,3)</f>
        <v>167</v>
      </c>
      <c r="B40" s="200" t="str">
        <f>RIGHT(data!$C$96,4)</f>
        <v>2022</v>
      </c>
      <c r="C40" s="12" t="str">
        <f>data!AO$55</f>
        <v>7350</v>
      </c>
      <c r="D40" s="12" t="s">
        <v>1134</v>
      </c>
      <c r="E40" s="198">
        <f>ROUND(N(data!AO59), 0)</f>
        <v>2232</v>
      </c>
      <c r="F40" s="271">
        <f>ROUND(N(data!AO60), 2)</f>
        <v>0.69</v>
      </c>
      <c r="G40" s="198">
        <f>ROUND(N(data!AO61), 0)</f>
        <v>51256</v>
      </c>
      <c r="H40" s="198">
        <f>ROUND(N(data!AO62), 0)</f>
        <v>11805</v>
      </c>
      <c r="I40" s="198">
        <f>ROUND(N(data!AO63), 0)</f>
        <v>909</v>
      </c>
      <c r="J40" s="198">
        <f>ROUND(N(data!AO64), 0)</f>
        <v>4649</v>
      </c>
      <c r="K40" s="198">
        <f>ROUND(N(data!AO65), 0)</f>
        <v>0</v>
      </c>
      <c r="L40" s="198">
        <f>ROUND(N(data!AO66), 0)</f>
        <v>6054</v>
      </c>
      <c r="M40" s="198">
        <f>ROUND(N(data!AO67), 0)</f>
        <v>4238</v>
      </c>
      <c r="N40" s="198">
        <f>ROUND(N(data!AO68), 0)</f>
        <v>0</v>
      </c>
      <c r="O40" s="198">
        <f>ROUND(N(data!AO69), 0)</f>
        <v>548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548</v>
      </c>
      <c r="AD40" s="198">
        <f>ROUND(N(data!AO84), 0)</f>
        <v>0</v>
      </c>
      <c r="AE40" s="198">
        <f>ROUND(N(data!AO89), 0)</f>
        <v>404980</v>
      </c>
      <c r="AF40" s="198">
        <f>ROUND(N(data!AO87), 0)</f>
        <v>0</v>
      </c>
      <c r="AG40" s="198">
        <f>ROUND(N(data!AO90), 0)</f>
        <v>138</v>
      </c>
      <c r="AH40" s="198">
        <f>ROUND(N(data!AO91), 0)</f>
        <v>286</v>
      </c>
      <c r="AI40" s="198">
        <f>ROUND(N(data!AO92), 0)</f>
        <v>56</v>
      </c>
      <c r="AJ40" s="198">
        <f>ROUND(N(data!AO93), 0)</f>
        <v>653</v>
      </c>
      <c r="AK40" s="271">
        <f>ROUND(N(data!AO94), 2)</f>
        <v>0.69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5" customHeight="1" x14ac:dyDescent="0.35">
      <c r="A41" s="12" t="str">
        <f>RIGHT(data!$C$97,3)</f>
        <v>167</v>
      </c>
      <c r="B41" s="200" t="str">
        <f>RIGHT(data!$C$96,4)</f>
        <v>2022</v>
      </c>
      <c r="C41" s="12" t="str">
        <f>data!AP$55</f>
        <v>7380</v>
      </c>
      <c r="D41" s="12" t="s">
        <v>1134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5" customHeight="1" x14ac:dyDescent="0.35">
      <c r="A42" s="12" t="str">
        <f>RIGHT(data!$C$97,3)</f>
        <v>167</v>
      </c>
      <c r="B42" s="200" t="str">
        <f>RIGHT(data!$C$96,4)</f>
        <v>2022</v>
      </c>
      <c r="C42" s="12" t="str">
        <f>data!AQ$55</f>
        <v>7390</v>
      </c>
      <c r="D42" s="12" t="s">
        <v>1134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5" customHeight="1" x14ac:dyDescent="0.35">
      <c r="A43" s="12" t="str">
        <f>RIGHT(data!$C$97,3)</f>
        <v>167</v>
      </c>
      <c r="B43" s="200" t="str">
        <f>RIGHT(data!$C$96,4)</f>
        <v>2022</v>
      </c>
      <c r="C43" s="12" t="str">
        <f>data!AR$55</f>
        <v>7400</v>
      </c>
      <c r="D43" s="12" t="s">
        <v>1134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5" customHeight="1" x14ac:dyDescent="0.35">
      <c r="A44" s="12" t="str">
        <f>RIGHT(data!$C$97,3)</f>
        <v>167</v>
      </c>
      <c r="B44" s="200" t="str">
        <f>RIGHT(data!$C$96,4)</f>
        <v>2022</v>
      </c>
      <c r="C44" s="12" t="str">
        <f>data!AS$55</f>
        <v>7410</v>
      </c>
      <c r="D44" s="12" t="s">
        <v>1134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5" customHeight="1" x14ac:dyDescent="0.35">
      <c r="A45" s="12" t="str">
        <f>RIGHT(data!$C$97,3)</f>
        <v>167</v>
      </c>
      <c r="B45" s="200" t="str">
        <f>RIGHT(data!$C$96,4)</f>
        <v>2022</v>
      </c>
      <c r="C45" s="12" t="str">
        <f>data!AT$55</f>
        <v>7420</v>
      </c>
      <c r="D45" s="12" t="s">
        <v>1134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5" customHeight="1" x14ac:dyDescent="0.35">
      <c r="A46" s="12" t="str">
        <f>RIGHT(data!$C$97,3)</f>
        <v>167</v>
      </c>
      <c r="B46" s="200" t="str">
        <f>RIGHT(data!$C$96,4)</f>
        <v>2022</v>
      </c>
      <c r="C46" s="12" t="str">
        <f>data!AU$55</f>
        <v>7430</v>
      </c>
      <c r="D46" s="12" t="s">
        <v>1134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5" customHeight="1" x14ac:dyDescent="0.35">
      <c r="A47" s="12" t="str">
        <f>RIGHT(data!$C$97,3)</f>
        <v>167</v>
      </c>
      <c r="B47" s="200" t="str">
        <f>RIGHT(data!$C$96,4)</f>
        <v>2022</v>
      </c>
      <c r="C47" s="12" t="str">
        <f>data!AV$55</f>
        <v>7490</v>
      </c>
      <c r="D47" s="12" t="s">
        <v>1134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5" customHeight="1" x14ac:dyDescent="0.35">
      <c r="A48" s="12" t="str">
        <f>RIGHT(data!$C$97,3)</f>
        <v>167</v>
      </c>
      <c r="B48" s="200" t="str">
        <f>RIGHT(data!$C$96,4)</f>
        <v>2022</v>
      </c>
      <c r="C48" s="12" t="str">
        <f>data!AW$55</f>
        <v>8200</v>
      </c>
      <c r="D48" s="12" t="s">
        <v>1134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5" customHeight="1" x14ac:dyDescent="0.35">
      <c r="A49" s="12" t="str">
        <f>RIGHT(data!$C$97,3)</f>
        <v>167</v>
      </c>
      <c r="B49" s="200" t="str">
        <f>RIGHT(data!$C$96,4)</f>
        <v>2022</v>
      </c>
      <c r="C49" s="12" t="str">
        <f>data!AX$55</f>
        <v>8310</v>
      </c>
      <c r="D49" s="12" t="s">
        <v>1134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5" customHeight="1" x14ac:dyDescent="0.35">
      <c r="A50" s="12" t="str">
        <f>RIGHT(data!$C$97,3)</f>
        <v>167</v>
      </c>
      <c r="B50" s="200" t="str">
        <f>RIGHT(data!$C$96,4)</f>
        <v>2022</v>
      </c>
      <c r="C50" s="12" t="str">
        <f>data!AY$55</f>
        <v>8320</v>
      </c>
      <c r="D50" s="12" t="s">
        <v>1134</v>
      </c>
      <c r="E50" s="198">
        <f>ROUND(N(data!AY59), 0)</f>
        <v>24887</v>
      </c>
      <c r="F50" s="271">
        <f>ROUND(N(data!AY60), 2)</f>
        <v>6.11</v>
      </c>
      <c r="G50" s="198">
        <f>ROUND(N(data!AY61), 0)</f>
        <v>260385</v>
      </c>
      <c r="H50" s="198">
        <f>ROUND(N(data!AY62), 0)</f>
        <v>59970</v>
      </c>
      <c r="I50" s="198">
        <f>ROUND(N(data!AY63), 0)</f>
        <v>0</v>
      </c>
      <c r="J50" s="198">
        <f>ROUND(N(data!AY64), 0)</f>
        <v>144262</v>
      </c>
      <c r="K50" s="198">
        <f>ROUND(N(data!AY65), 0)</f>
        <v>0</v>
      </c>
      <c r="L50" s="198">
        <f>ROUND(N(data!AY66), 0)</f>
        <v>150</v>
      </c>
      <c r="M50" s="198">
        <f>ROUND(N(data!AY67), 0)</f>
        <v>29114</v>
      </c>
      <c r="N50" s="198">
        <f>ROUND(N(data!AY68), 0)</f>
        <v>0</v>
      </c>
      <c r="O50" s="198">
        <f>ROUND(N(data!AY69), 0)</f>
        <v>1074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1074</v>
      </c>
      <c r="AD50" s="198">
        <f>ROUND(N(data!AY84), 0)</f>
        <v>14984</v>
      </c>
      <c r="AE50" s="198">
        <f>ROUND(N(data!AY89), 0)</f>
        <v>0</v>
      </c>
      <c r="AF50" s="198">
        <f>ROUND(N(data!AY87), 0)</f>
        <v>0</v>
      </c>
      <c r="AG50" s="198">
        <f>ROUND(N(data!AY90), 0)</f>
        <v>948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5" customHeight="1" x14ac:dyDescent="0.35">
      <c r="A51" s="12" t="str">
        <f>RIGHT(data!$C$97,3)</f>
        <v>167</v>
      </c>
      <c r="B51" s="200" t="str">
        <f>RIGHT(data!$C$96,4)</f>
        <v>2022</v>
      </c>
      <c r="C51" s="12" t="str">
        <f>data!AZ$55</f>
        <v>8330</v>
      </c>
      <c r="D51" s="12" t="s">
        <v>1134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5" customHeight="1" x14ac:dyDescent="0.35">
      <c r="A52" s="12" t="str">
        <f>RIGHT(data!$C$97,3)</f>
        <v>167</v>
      </c>
      <c r="B52" s="200" t="str">
        <f>RIGHT(data!$C$96,4)</f>
        <v>2022</v>
      </c>
      <c r="C52" s="12" t="str">
        <f>data!BA$55</f>
        <v>8350</v>
      </c>
      <c r="D52" s="12" t="s">
        <v>1134</v>
      </c>
      <c r="E52" s="198">
        <f>ROUND(N(data!BA59), 0)</f>
        <v>0</v>
      </c>
      <c r="F52" s="271">
        <f>ROUND(N(data!BA60), 2)</f>
        <v>1.06</v>
      </c>
      <c r="G52" s="198">
        <f>ROUND(N(data!BA61), 0)</f>
        <v>64255</v>
      </c>
      <c r="H52" s="198">
        <f>ROUND(N(data!BA62), 0)</f>
        <v>14799</v>
      </c>
      <c r="I52" s="198">
        <f>ROUND(N(data!BA63), 0)</f>
        <v>0</v>
      </c>
      <c r="J52" s="198">
        <f>ROUND(N(data!BA64), 0)</f>
        <v>8203</v>
      </c>
      <c r="K52" s="198">
        <f>ROUND(N(data!BA65), 0)</f>
        <v>0</v>
      </c>
      <c r="L52" s="198">
        <f>ROUND(N(data!BA66), 0)</f>
        <v>32412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5" customHeight="1" x14ac:dyDescent="0.35">
      <c r="A53" s="12" t="str">
        <f>RIGHT(data!$C$97,3)</f>
        <v>167</v>
      </c>
      <c r="B53" s="200" t="str">
        <f>RIGHT(data!$C$96,4)</f>
        <v>2022</v>
      </c>
      <c r="C53" s="12" t="str">
        <f>data!BB$55</f>
        <v>8360</v>
      </c>
      <c r="D53" s="12" t="s">
        <v>1134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5" customHeight="1" x14ac:dyDescent="0.35">
      <c r="A54" s="12" t="str">
        <f>RIGHT(data!$C$97,3)</f>
        <v>167</v>
      </c>
      <c r="B54" s="200" t="str">
        <f>RIGHT(data!$C$96,4)</f>
        <v>2022</v>
      </c>
      <c r="C54" s="12" t="str">
        <f>data!BC$55</f>
        <v>8370</v>
      </c>
      <c r="D54" s="12" t="s">
        <v>1134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5" customHeight="1" x14ac:dyDescent="0.35">
      <c r="A55" s="12" t="str">
        <f>RIGHT(data!$C$97,3)</f>
        <v>167</v>
      </c>
      <c r="B55" s="200" t="str">
        <f>RIGHT(data!$C$96,4)</f>
        <v>2022</v>
      </c>
      <c r="C55" s="12" t="str">
        <f>data!BD$55</f>
        <v>8420</v>
      </c>
      <c r="D55" s="12" t="s">
        <v>1134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5" customHeight="1" x14ac:dyDescent="0.35">
      <c r="A56" s="12" t="str">
        <f>RIGHT(data!$C$97,3)</f>
        <v>167</v>
      </c>
      <c r="B56" s="200" t="str">
        <f>RIGHT(data!$C$96,4)</f>
        <v>2022</v>
      </c>
      <c r="C56" s="12" t="str">
        <f>data!BE$55</f>
        <v>8430</v>
      </c>
      <c r="D56" s="12" t="s">
        <v>1134</v>
      </c>
      <c r="E56" s="198">
        <f>ROUND(N(data!BE59), 0)</f>
        <v>31509</v>
      </c>
      <c r="F56" s="271">
        <f>ROUND(N(data!BE60), 2)</f>
        <v>4.4400000000000004</v>
      </c>
      <c r="G56" s="198">
        <f>ROUND(N(data!BE61), 0)</f>
        <v>260617</v>
      </c>
      <c r="H56" s="198">
        <f>ROUND(N(data!BE62), 0)</f>
        <v>60023</v>
      </c>
      <c r="I56" s="198">
        <f>ROUND(N(data!BE63), 0)</f>
        <v>0</v>
      </c>
      <c r="J56" s="198">
        <f>ROUND(N(data!BE64), 0)</f>
        <v>47517</v>
      </c>
      <c r="K56" s="198">
        <f>ROUND(N(data!BE65), 0)</f>
        <v>200226</v>
      </c>
      <c r="L56" s="198">
        <f>ROUND(N(data!BE66), 0)</f>
        <v>32205</v>
      </c>
      <c r="M56" s="198">
        <f>ROUND(N(data!BE67), 0)</f>
        <v>33106</v>
      </c>
      <c r="N56" s="198">
        <f>ROUND(N(data!BE68), 0)</f>
        <v>2408</v>
      </c>
      <c r="O56" s="198">
        <f>ROUND(N(data!BE69), 0)</f>
        <v>123348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121558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1790</v>
      </c>
      <c r="AD56" s="198">
        <f>ROUND(N(data!BE84), 0)</f>
        <v>500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1078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5" customHeight="1" x14ac:dyDescent="0.35">
      <c r="A57" s="12" t="str">
        <f>RIGHT(data!$C$97,3)</f>
        <v>167</v>
      </c>
      <c r="B57" s="200" t="str">
        <f>RIGHT(data!$C$96,4)</f>
        <v>2022</v>
      </c>
      <c r="C57" s="12" t="str">
        <f>data!BF$55</f>
        <v>8460</v>
      </c>
      <c r="D57" s="12" t="s">
        <v>1134</v>
      </c>
      <c r="E57" s="198">
        <f>ROUND(N(data!BF59), 0)</f>
        <v>0</v>
      </c>
      <c r="F57" s="271">
        <f>ROUND(N(data!BF60), 2)</f>
        <v>5.31</v>
      </c>
      <c r="G57" s="198">
        <f>ROUND(N(data!BF61), 0)</f>
        <v>211257</v>
      </c>
      <c r="H57" s="198">
        <f>ROUND(N(data!BF62), 0)</f>
        <v>48655</v>
      </c>
      <c r="I57" s="198">
        <f>ROUND(N(data!BF63), 0)</f>
        <v>0</v>
      </c>
      <c r="J57" s="198">
        <f>ROUND(N(data!BF64), 0)</f>
        <v>29981</v>
      </c>
      <c r="K57" s="198">
        <f>ROUND(N(data!BF65), 0)</f>
        <v>0</v>
      </c>
      <c r="L57" s="198">
        <f>ROUND(N(data!BF66), 0)</f>
        <v>2309</v>
      </c>
      <c r="M57" s="198">
        <f>ROUND(N(data!BF67), 0)</f>
        <v>22480</v>
      </c>
      <c r="N57" s="198">
        <f>ROUND(N(data!BF68), 0)</f>
        <v>0</v>
      </c>
      <c r="O57" s="198">
        <f>ROUND(N(data!BF69), 0)</f>
        <v>160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160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732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5" customHeight="1" x14ac:dyDescent="0.35">
      <c r="A58" s="12" t="str">
        <f>RIGHT(data!$C$97,3)</f>
        <v>167</v>
      </c>
      <c r="B58" s="200" t="str">
        <f>RIGHT(data!$C$96,4)</f>
        <v>2022</v>
      </c>
      <c r="C58" s="12" t="str">
        <f>data!BG$55</f>
        <v>8470</v>
      </c>
      <c r="D58" s="12" t="s">
        <v>1134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5" customHeight="1" x14ac:dyDescent="0.35">
      <c r="A59" s="12" t="str">
        <f>RIGHT(data!$C$97,3)</f>
        <v>167</v>
      </c>
      <c r="B59" s="200" t="str">
        <f>RIGHT(data!$C$96,4)</f>
        <v>2022</v>
      </c>
      <c r="C59" s="12" t="str">
        <f>data!BH$55</f>
        <v>8480</v>
      </c>
      <c r="D59" s="12" t="s">
        <v>1134</v>
      </c>
      <c r="E59" s="198">
        <f>ROUND(N(data!BH59), 0)</f>
        <v>0</v>
      </c>
      <c r="F59" s="271">
        <f>ROUND(N(data!BH60), 2)</f>
        <v>2.9</v>
      </c>
      <c r="G59" s="198">
        <f>ROUND(N(data!BH61), 0)</f>
        <v>231718</v>
      </c>
      <c r="H59" s="198">
        <f>ROUND(N(data!BH62), 0)</f>
        <v>53367</v>
      </c>
      <c r="I59" s="198">
        <f>ROUND(N(data!BH63), 0)</f>
        <v>0</v>
      </c>
      <c r="J59" s="198">
        <f>ROUND(N(data!BH64), 0)</f>
        <v>29224</v>
      </c>
      <c r="K59" s="198">
        <f>ROUND(N(data!BH65), 0)</f>
        <v>22996</v>
      </c>
      <c r="L59" s="198">
        <f>ROUND(N(data!BH66), 0)</f>
        <v>722442</v>
      </c>
      <c r="M59" s="198">
        <f>ROUND(N(data!BH67), 0)</f>
        <v>0</v>
      </c>
      <c r="N59" s="198">
        <f>ROUND(N(data!BH68), 0)</f>
        <v>0</v>
      </c>
      <c r="O59" s="198">
        <f>ROUND(N(data!BH69), 0)</f>
        <v>64729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64729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5" customHeight="1" x14ac:dyDescent="0.35">
      <c r="A60" s="12" t="str">
        <f>RIGHT(data!$C$97,3)</f>
        <v>167</v>
      </c>
      <c r="B60" s="200" t="str">
        <f>RIGHT(data!$C$96,4)</f>
        <v>2022</v>
      </c>
      <c r="C60" s="12" t="str">
        <f>data!BI$55</f>
        <v>8490</v>
      </c>
      <c r="D60" s="12" t="s">
        <v>1134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5" customHeight="1" x14ac:dyDescent="0.35">
      <c r="A61" s="12" t="str">
        <f>RIGHT(data!$C$97,3)</f>
        <v>167</v>
      </c>
      <c r="B61" s="200" t="str">
        <f>RIGHT(data!$C$96,4)</f>
        <v>2022</v>
      </c>
      <c r="C61" s="12" t="str">
        <f>data!BJ$55</f>
        <v>8510</v>
      </c>
      <c r="D61" s="12" t="s">
        <v>1134</v>
      </c>
      <c r="E61" s="198">
        <f>ROUND(N(data!BJ59), 0)</f>
        <v>0</v>
      </c>
      <c r="F61" s="271">
        <f>ROUND(N(data!BJ60), 2)</f>
        <v>2.06</v>
      </c>
      <c r="G61" s="198">
        <f>ROUND(N(data!BJ61), 0)</f>
        <v>162540</v>
      </c>
      <c r="H61" s="198">
        <f>ROUND(N(data!BJ62), 0)</f>
        <v>37435</v>
      </c>
      <c r="I61" s="198">
        <f>ROUND(N(data!BJ63), 0)</f>
        <v>41154</v>
      </c>
      <c r="J61" s="198">
        <f>ROUND(N(data!BJ64), 0)</f>
        <v>1971</v>
      </c>
      <c r="K61" s="198">
        <f>ROUND(N(data!BJ65), 0)</f>
        <v>0</v>
      </c>
      <c r="L61" s="198">
        <f>ROUND(N(data!BJ66), 0)</f>
        <v>17728</v>
      </c>
      <c r="M61" s="198">
        <f>ROUND(N(data!BJ67), 0)</f>
        <v>0</v>
      </c>
      <c r="N61" s="198">
        <f>ROUND(N(data!BJ68), 0)</f>
        <v>0</v>
      </c>
      <c r="O61" s="198">
        <f>ROUND(N(data!BJ69), 0)</f>
        <v>9526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9526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5" customHeight="1" x14ac:dyDescent="0.35">
      <c r="A62" s="12" t="str">
        <f>RIGHT(data!$C$97,3)</f>
        <v>167</v>
      </c>
      <c r="B62" s="200" t="str">
        <f>RIGHT(data!$C$96,4)</f>
        <v>2022</v>
      </c>
      <c r="C62" s="12" t="str">
        <f>data!BK$55</f>
        <v>8530</v>
      </c>
      <c r="D62" s="12" t="s">
        <v>1134</v>
      </c>
      <c r="E62" s="198">
        <f>ROUND(N(data!BK59), 0)</f>
        <v>0</v>
      </c>
      <c r="F62" s="271">
        <f>ROUND(N(data!BK60), 2)</f>
        <v>5.0199999999999996</v>
      </c>
      <c r="G62" s="198">
        <f>ROUND(N(data!BK61), 0)</f>
        <v>219015</v>
      </c>
      <c r="H62" s="198">
        <f>ROUND(N(data!BK62), 0)</f>
        <v>50442</v>
      </c>
      <c r="I62" s="198">
        <f>ROUND(N(data!BK63), 0)</f>
        <v>363724</v>
      </c>
      <c r="J62" s="198">
        <f>ROUND(N(data!BK64), 0)</f>
        <v>1052</v>
      </c>
      <c r="K62" s="198">
        <f>ROUND(N(data!BK65), 0)</f>
        <v>0</v>
      </c>
      <c r="L62" s="198">
        <f>ROUND(N(data!BK66), 0)</f>
        <v>288248</v>
      </c>
      <c r="M62" s="198">
        <f>ROUND(N(data!BK67), 0)</f>
        <v>0</v>
      </c>
      <c r="N62" s="198">
        <f>ROUND(N(data!BK68), 0)</f>
        <v>0</v>
      </c>
      <c r="O62" s="198">
        <f>ROUND(N(data!BK69), 0)</f>
        <v>9520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9520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5" customHeight="1" x14ac:dyDescent="0.35">
      <c r="A63" s="12" t="str">
        <f>RIGHT(data!$C$97,3)</f>
        <v>167</v>
      </c>
      <c r="B63" s="200" t="str">
        <f>RIGHT(data!$C$96,4)</f>
        <v>2022</v>
      </c>
      <c r="C63" s="12" t="str">
        <f>data!BL$55</f>
        <v>8560</v>
      </c>
      <c r="D63" s="12" t="s">
        <v>1134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5" customHeight="1" x14ac:dyDescent="0.35">
      <c r="A64" s="12" t="str">
        <f>RIGHT(data!$C$97,3)</f>
        <v>167</v>
      </c>
      <c r="B64" s="200" t="str">
        <f>RIGHT(data!$C$96,4)</f>
        <v>2022</v>
      </c>
      <c r="C64" s="12" t="str">
        <f>data!BM$55</f>
        <v>8590</v>
      </c>
      <c r="D64" s="12" t="s">
        <v>1134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5" customHeight="1" x14ac:dyDescent="0.35">
      <c r="A65" s="12" t="str">
        <f>RIGHT(data!$C$97,3)</f>
        <v>167</v>
      </c>
      <c r="B65" s="200" t="str">
        <f>RIGHT(data!$C$96,4)</f>
        <v>2022</v>
      </c>
      <c r="C65" s="12" t="str">
        <f>data!BN$55</f>
        <v>8610</v>
      </c>
      <c r="D65" s="12" t="s">
        <v>1134</v>
      </c>
      <c r="E65" s="198">
        <f>ROUND(N(data!BN59), 0)</f>
        <v>0</v>
      </c>
      <c r="F65" s="271">
        <f>ROUND(N(data!BN60), 2)</f>
        <v>1.85</v>
      </c>
      <c r="G65" s="198">
        <f>ROUND(N(data!BN61), 0)</f>
        <v>252439</v>
      </c>
      <c r="H65" s="198">
        <f>ROUND(N(data!BN62), 0)</f>
        <v>58140</v>
      </c>
      <c r="I65" s="198">
        <f>ROUND(N(data!BN63), 0)</f>
        <v>9449</v>
      </c>
      <c r="J65" s="198">
        <f>ROUND(N(data!BN64), 0)</f>
        <v>2776</v>
      </c>
      <c r="K65" s="198">
        <f>ROUND(N(data!BN65), 0)</f>
        <v>320</v>
      </c>
      <c r="L65" s="198">
        <f>ROUND(N(data!BN66), 0)</f>
        <v>14440</v>
      </c>
      <c r="M65" s="198">
        <f>ROUND(N(data!BN67), 0)</f>
        <v>72109</v>
      </c>
      <c r="N65" s="198">
        <f>ROUND(N(data!BN68), 0)</f>
        <v>0</v>
      </c>
      <c r="O65" s="198">
        <f>ROUND(N(data!BN69), 0)</f>
        <v>86471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86471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2348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5" customHeight="1" x14ac:dyDescent="0.35">
      <c r="A66" s="12" t="str">
        <f>RIGHT(data!$C$97,3)</f>
        <v>167</v>
      </c>
      <c r="B66" s="200" t="str">
        <f>RIGHT(data!$C$96,4)</f>
        <v>2022</v>
      </c>
      <c r="C66" s="12" t="str">
        <f>data!BO$55</f>
        <v>8620</v>
      </c>
      <c r="D66" s="12" t="s">
        <v>1134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5" customHeight="1" x14ac:dyDescent="0.35">
      <c r="A67" s="12" t="str">
        <f>RIGHT(data!$C$97,3)</f>
        <v>167</v>
      </c>
      <c r="B67" s="200" t="str">
        <f>RIGHT(data!$C$96,4)</f>
        <v>2022</v>
      </c>
      <c r="C67" s="12" t="str">
        <f>data!BP$55</f>
        <v>8630</v>
      </c>
      <c r="D67" s="12" t="s">
        <v>1134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5" customHeight="1" x14ac:dyDescent="0.35">
      <c r="A68" s="12" t="str">
        <f>RIGHT(data!$C$97,3)</f>
        <v>167</v>
      </c>
      <c r="B68" s="200" t="str">
        <f>RIGHT(data!$C$96,4)</f>
        <v>2022</v>
      </c>
      <c r="C68" s="12" t="str">
        <f>data!BQ$55</f>
        <v>8640</v>
      </c>
      <c r="D68" s="12" t="s">
        <v>1134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5" customHeight="1" x14ac:dyDescent="0.35">
      <c r="A69" s="12" t="str">
        <f>RIGHT(data!$C$97,3)</f>
        <v>167</v>
      </c>
      <c r="B69" s="200" t="str">
        <f>RIGHT(data!$C$96,4)</f>
        <v>2022</v>
      </c>
      <c r="C69" s="12" t="str">
        <f>data!BR$55</f>
        <v>8650</v>
      </c>
      <c r="D69" s="12" t="s">
        <v>1134</v>
      </c>
      <c r="E69" s="198">
        <f>ROUND(N(data!BR59), 0)</f>
        <v>0</v>
      </c>
      <c r="F69" s="271">
        <f>ROUND(N(data!BR60), 2)</f>
        <v>2.04</v>
      </c>
      <c r="G69" s="198">
        <f>ROUND(N(data!BR61), 0)</f>
        <v>129229</v>
      </c>
      <c r="H69" s="198">
        <f>ROUND(N(data!BR62), 0)</f>
        <v>29763</v>
      </c>
      <c r="I69" s="198">
        <f>ROUND(N(data!BR63), 0)</f>
        <v>5000</v>
      </c>
      <c r="J69" s="198">
        <f>ROUND(N(data!BR64), 0)</f>
        <v>8360</v>
      </c>
      <c r="K69" s="198">
        <f>ROUND(N(data!BR65), 0)</f>
        <v>7601</v>
      </c>
      <c r="L69" s="198">
        <f>ROUND(N(data!BR66), 0)</f>
        <v>22514</v>
      </c>
      <c r="M69" s="198">
        <f>ROUND(N(data!BR67), 0)</f>
        <v>12407</v>
      </c>
      <c r="N69" s="198">
        <f>ROUND(N(data!BR68), 0)</f>
        <v>29610</v>
      </c>
      <c r="O69" s="198">
        <f>ROUND(N(data!BR69), 0)</f>
        <v>79273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73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79200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404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5" customHeight="1" x14ac:dyDescent="0.35">
      <c r="A70" s="12" t="str">
        <f>RIGHT(data!$C$97,3)</f>
        <v>167</v>
      </c>
      <c r="B70" s="200" t="str">
        <f>RIGHT(data!$C$96,4)</f>
        <v>2022</v>
      </c>
      <c r="C70" s="12" t="str">
        <f>data!BS$55</f>
        <v>8660</v>
      </c>
      <c r="D70" s="12" t="s">
        <v>1134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5" customHeight="1" x14ac:dyDescent="0.35">
      <c r="A71" s="12" t="str">
        <f>RIGHT(data!$C$97,3)</f>
        <v>167</v>
      </c>
      <c r="B71" s="200" t="str">
        <f>RIGHT(data!$C$96,4)</f>
        <v>2022</v>
      </c>
      <c r="C71" s="12" t="str">
        <f>data!BT$55</f>
        <v>8670</v>
      </c>
      <c r="D71" s="12" t="s">
        <v>1134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5" customHeight="1" x14ac:dyDescent="0.35">
      <c r="A72" s="12" t="str">
        <f>RIGHT(data!$C$97,3)</f>
        <v>167</v>
      </c>
      <c r="B72" s="200" t="str">
        <f>RIGHT(data!$C$96,4)</f>
        <v>2022</v>
      </c>
      <c r="C72" s="12" t="str">
        <f>data!BU$55</f>
        <v>8680</v>
      </c>
      <c r="D72" s="12" t="s">
        <v>1134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5" customHeight="1" x14ac:dyDescent="0.35">
      <c r="A73" s="12" t="str">
        <f>RIGHT(data!$C$97,3)</f>
        <v>167</v>
      </c>
      <c r="B73" s="200" t="str">
        <f>RIGHT(data!$C$96,4)</f>
        <v>2022</v>
      </c>
      <c r="C73" s="12" t="str">
        <f>data!BV$55</f>
        <v>8690</v>
      </c>
      <c r="D73" s="12" t="s">
        <v>1134</v>
      </c>
      <c r="E73" s="198">
        <f>ROUND(N(data!BV59), 0)</f>
        <v>0</v>
      </c>
      <c r="F73" s="271">
        <f>ROUND(N(data!BV60), 2)</f>
        <v>2.99</v>
      </c>
      <c r="G73" s="198">
        <f>ROUND(N(data!BV61), 0)</f>
        <v>128572</v>
      </c>
      <c r="H73" s="198">
        <f>ROUND(N(data!BV62), 0)</f>
        <v>29612</v>
      </c>
      <c r="I73" s="198">
        <f>ROUND(N(data!BV63), 0)</f>
        <v>142535</v>
      </c>
      <c r="J73" s="198">
        <f>ROUND(N(data!BV64), 0)</f>
        <v>242</v>
      </c>
      <c r="K73" s="198">
        <f>ROUND(N(data!BV65), 0)</f>
        <v>0</v>
      </c>
      <c r="L73" s="198">
        <f>ROUND(N(data!BV66), 0)</f>
        <v>32503</v>
      </c>
      <c r="M73" s="198">
        <f>ROUND(N(data!BV67), 0)</f>
        <v>23647</v>
      </c>
      <c r="N73" s="198">
        <f>ROUND(N(data!BV68), 0)</f>
        <v>0</v>
      </c>
      <c r="O73" s="198">
        <f>ROUND(N(data!BV69), 0)</f>
        <v>5228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5228</v>
      </c>
      <c r="AD73" s="198">
        <f>ROUND(N(data!BV84), 0)</f>
        <v>2851</v>
      </c>
      <c r="AE73" s="198">
        <f>ROUND(N(data!BV89), 0)</f>
        <v>0</v>
      </c>
      <c r="AF73" s="198">
        <f>ROUND(N(data!BV87), 0)</f>
        <v>0</v>
      </c>
      <c r="AG73" s="198">
        <f>ROUND(N(data!BV90), 0)</f>
        <v>770</v>
      </c>
      <c r="AH73" s="198">
        <f>ROUND(N(data!BV91), 0)</f>
        <v>0</v>
      </c>
      <c r="AI73" s="198">
        <f>ROUND(N(data!BV92), 0)</f>
        <v>316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5" customHeight="1" x14ac:dyDescent="0.35">
      <c r="A74" s="12" t="str">
        <f>RIGHT(data!$C$97,3)</f>
        <v>167</v>
      </c>
      <c r="B74" s="200" t="str">
        <f>RIGHT(data!$C$96,4)</f>
        <v>2022</v>
      </c>
      <c r="C74" s="12" t="str">
        <f>data!BW$55</f>
        <v>8700</v>
      </c>
      <c r="D74" s="12" t="s">
        <v>1134</v>
      </c>
      <c r="E74" s="198">
        <f>ROUND(N(data!BW59), 0)</f>
        <v>0</v>
      </c>
      <c r="F74" s="271">
        <f>ROUND(N(data!BW60), 2)</f>
        <v>7.02</v>
      </c>
      <c r="G74" s="198">
        <f>ROUND(N(data!BW61), 0)</f>
        <v>1222310</v>
      </c>
      <c r="H74" s="198">
        <f>ROUND(N(data!BW62), 0)</f>
        <v>281512</v>
      </c>
      <c r="I74" s="198">
        <f>ROUND(N(data!BW63), 0)</f>
        <v>910531</v>
      </c>
      <c r="J74" s="198">
        <f>ROUND(N(data!BW64), 0)</f>
        <v>996</v>
      </c>
      <c r="K74" s="198">
        <f>ROUND(N(data!BW65), 0)</f>
        <v>467</v>
      </c>
      <c r="L74" s="198">
        <f>ROUND(N(data!BW66), 0)</f>
        <v>157</v>
      </c>
      <c r="M74" s="198">
        <f>ROUND(N(data!BW67), 0)</f>
        <v>0</v>
      </c>
      <c r="N74" s="198">
        <f>ROUND(N(data!BW68), 0)</f>
        <v>116</v>
      </c>
      <c r="O74" s="198">
        <f>ROUND(N(data!BW69), 0)</f>
        <v>41511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41511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5" customHeight="1" x14ac:dyDescent="0.35">
      <c r="A75" s="12" t="str">
        <f>RIGHT(data!$C$97,3)</f>
        <v>167</v>
      </c>
      <c r="B75" s="200" t="str">
        <f>RIGHT(data!$C$96,4)</f>
        <v>2022</v>
      </c>
      <c r="C75" s="12" t="str">
        <f>data!BX$55</f>
        <v>8710</v>
      </c>
      <c r="D75" s="12" t="s">
        <v>1134</v>
      </c>
      <c r="E75" s="198">
        <f>ROUND(N(data!BX59), 0)</f>
        <v>0</v>
      </c>
      <c r="F75" s="271">
        <f>ROUND(N(data!BX60), 2)</f>
        <v>0</v>
      </c>
      <c r="G75" s="198">
        <f>ROUND(N(data!BX61), 0)</f>
        <v>4442</v>
      </c>
      <c r="H75" s="198">
        <f>ROUND(N(data!BX62), 0)</f>
        <v>1023</v>
      </c>
      <c r="I75" s="198">
        <f>ROUND(N(data!BX63), 0)</f>
        <v>5300</v>
      </c>
      <c r="J75" s="198">
        <f>ROUND(N(data!BX64), 0)</f>
        <v>0</v>
      </c>
      <c r="K75" s="198">
        <f>ROUND(N(data!BX65), 0)</f>
        <v>0</v>
      </c>
      <c r="L75" s="198">
        <f>ROUND(N(data!BX66), 0)</f>
        <v>13808</v>
      </c>
      <c r="M75" s="198">
        <f>ROUND(N(data!BX67), 0)</f>
        <v>0</v>
      </c>
      <c r="N75" s="198">
        <f>ROUND(N(data!BX68), 0)</f>
        <v>0</v>
      </c>
      <c r="O75" s="198">
        <f>ROUND(N(data!BX69), 0)</f>
        <v>14045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14045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5" customHeight="1" x14ac:dyDescent="0.35">
      <c r="A76" s="12" t="str">
        <f>RIGHT(data!$C$97,3)</f>
        <v>167</v>
      </c>
      <c r="B76" s="200" t="str">
        <f>RIGHT(data!$C$96,4)</f>
        <v>2022</v>
      </c>
      <c r="C76" s="12" t="str">
        <f>data!BY$55</f>
        <v>8720</v>
      </c>
      <c r="D76" s="12" t="s">
        <v>1134</v>
      </c>
      <c r="E76" s="198">
        <f>ROUND(N(data!BY59), 0)</f>
        <v>0</v>
      </c>
      <c r="F76" s="271">
        <f>ROUND(N(data!BY60), 2)</f>
        <v>1.32</v>
      </c>
      <c r="G76" s="198">
        <f>ROUND(N(data!BY61), 0)</f>
        <v>194399</v>
      </c>
      <c r="H76" s="198">
        <f>ROUND(N(data!BY62), 0)</f>
        <v>44772</v>
      </c>
      <c r="I76" s="198">
        <f>ROUND(N(data!BY63), 0)</f>
        <v>0</v>
      </c>
      <c r="J76" s="198">
        <f>ROUND(N(data!BY64), 0)</f>
        <v>60106</v>
      </c>
      <c r="K76" s="198">
        <f>ROUND(N(data!BY65), 0)</f>
        <v>0</v>
      </c>
      <c r="L76" s="198">
        <f>ROUND(N(data!BY66), 0)</f>
        <v>9677</v>
      </c>
      <c r="M76" s="198">
        <f>ROUND(N(data!BY67), 0)</f>
        <v>9367</v>
      </c>
      <c r="N76" s="198">
        <f>ROUND(N(data!BY68), 0)</f>
        <v>2103</v>
      </c>
      <c r="O76" s="198">
        <f>ROUND(N(data!BY69), 0)</f>
        <v>271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271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305</v>
      </c>
      <c r="AH76" s="198">
        <f>ROUND(N(data!BY91), 0)</f>
        <v>0</v>
      </c>
      <c r="AI76" s="198">
        <f>ROUND(N(data!BY92), 0)</f>
        <v>125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5" customHeight="1" x14ac:dyDescent="0.35">
      <c r="A77" s="12" t="str">
        <f>RIGHT(data!$C$97,3)</f>
        <v>167</v>
      </c>
      <c r="B77" s="200" t="str">
        <f>RIGHT(data!$C$96,4)</f>
        <v>2022</v>
      </c>
      <c r="C77" s="12" t="str">
        <f>data!BZ$55</f>
        <v>8730</v>
      </c>
      <c r="D77" s="12" t="s">
        <v>1134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5" customHeight="1" x14ac:dyDescent="0.35">
      <c r="A78" s="12" t="str">
        <f>RIGHT(data!$C$97,3)</f>
        <v>167</v>
      </c>
      <c r="B78" s="200" t="str">
        <f>RIGHT(data!$C$96,4)</f>
        <v>2022</v>
      </c>
      <c r="C78" s="12" t="str">
        <f>data!CA$55</f>
        <v>8740</v>
      </c>
      <c r="D78" s="12" t="s">
        <v>1134</v>
      </c>
      <c r="E78" s="198">
        <f>ROUND(N(data!CA59), 0)</f>
        <v>0</v>
      </c>
      <c r="F78" s="271">
        <f>ROUND(N(data!CA60), 2)</f>
        <v>0.2</v>
      </c>
      <c r="G78" s="198">
        <f>ROUND(N(data!CA61), 0)</f>
        <v>19086</v>
      </c>
      <c r="H78" s="198">
        <f>ROUND(N(data!CA62), 0)</f>
        <v>4396</v>
      </c>
      <c r="I78" s="198">
        <f>ROUND(N(data!CA63), 0)</f>
        <v>0</v>
      </c>
      <c r="J78" s="198">
        <f>ROUND(N(data!CA64), 0)</f>
        <v>174</v>
      </c>
      <c r="K78" s="198">
        <f>ROUND(N(data!CA65), 0)</f>
        <v>0</v>
      </c>
      <c r="L78" s="198">
        <f>ROUND(N(data!CA66), 0)</f>
        <v>2771</v>
      </c>
      <c r="M78" s="198">
        <f>ROUND(N(data!CA67), 0)</f>
        <v>0</v>
      </c>
      <c r="N78" s="198">
        <f>ROUND(N(data!CA68), 0)</f>
        <v>0</v>
      </c>
      <c r="O78" s="198">
        <f>ROUND(N(data!CA69), 0)</f>
        <v>1112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1112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5" customHeight="1" x14ac:dyDescent="0.35">
      <c r="A79" s="12" t="str">
        <f>RIGHT(data!$C$97,3)</f>
        <v>167</v>
      </c>
      <c r="B79" s="200" t="str">
        <f>RIGHT(data!$C$96,4)</f>
        <v>2022</v>
      </c>
      <c r="C79" s="12" t="str">
        <f>data!CB$55</f>
        <v>8770</v>
      </c>
      <c r="D79" s="12" t="s">
        <v>1134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5" customHeight="1" x14ac:dyDescent="0.35">
      <c r="A80" s="12" t="str">
        <f>RIGHT(data!$C$97,3)</f>
        <v>167</v>
      </c>
      <c r="B80" s="200" t="str">
        <f>RIGHT(data!$C$96,4)</f>
        <v>2022</v>
      </c>
      <c r="C80" s="12" t="str">
        <f>data!CC$55</f>
        <v>8790</v>
      </c>
      <c r="D80" s="12" t="s">
        <v>1134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118657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M24" sqref="M24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94" t="s">
        <v>681</v>
      </c>
    </row>
    <row r="2" spans="2:10" x14ac:dyDescent="0.3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35">
      <c r="B3" s="98"/>
      <c r="F3" s="10" t="s">
        <v>682</v>
      </c>
      <c r="G3" s="10"/>
      <c r="J3" s="99"/>
    </row>
    <row r="4" spans="2:10" x14ac:dyDescent="0.35">
      <c r="B4" s="98"/>
      <c r="F4" s="10" t="s">
        <v>683</v>
      </c>
      <c r="G4" s="10"/>
      <c r="J4" s="99"/>
    </row>
    <row r="5" spans="2:10" x14ac:dyDescent="0.35">
      <c r="B5" s="98"/>
      <c r="J5" s="99"/>
    </row>
    <row r="6" spans="2:10" x14ac:dyDescent="0.3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35">
      <c r="B7" s="98"/>
      <c r="J7" s="99"/>
    </row>
    <row r="8" spans="2:10" x14ac:dyDescent="0.35">
      <c r="B8" s="98"/>
      <c r="F8" s="10" t="s">
        <v>684</v>
      </c>
      <c r="G8" s="10"/>
      <c r="J8" s="99"/>
    </row>
    <row r="9" spans="2:10" x14ac:dyDescent="0.35">
      <c r="B9" s="95"/>
      <c r="C9" s="96"/>
      <c r="D9" s="96"/>
      <c r="E9" s="96"/>
      <c r="F9" s="103" t="s">
        <v>685</v>
      </c>
      <c r="G9" s="103"/>
      <c r="H9" s="96"/>
      <c r="I9" s="96"/>
      <c r="J9" s="97"/>
    </row>
    <row r="10" spans="2:10" x14ac:dyDescent="0.35">
      <c r="B10" s="98"/>
      <c r="F10" s="10" t="s">
        <v>686</v>
      </c>
      <c r="G10" s="10"/>
      <c r="J10" s="99"/>
    </row>
    <row r="11" spans="2:10" x14ac:dyDescent="0.35">
      <c r="B11" s="98"/>
      <c r="F11" s="10"/>
      <c r="G11" s="10"/>
      <c r="J11" s="99"/>
    </row>
    <row r="12" spans="2:10" x14ac:dyDescent="0.35">
      <c r="B12" s="98"/>
      <c r="F12" s="10" t="s">
        <v>687</v>
      </c>
      <c r="G12" s="10"/>
      <c r="J12" s="99"/>
    </row>
    <row r="13" spans="2:10" x14ac:dyDescent="0.35">
      <c r="B13" s="98"/>
      <c r="F13" s="10" t="s">
        <v>688</v>
      </c>
      <c r="G13" s="10"/>
      <c r="J13" s="99"/>
    </row>
    <row r="14" spans="2:10" x14ac:dyDescent="0.3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35">
      <c r="B15" s="98"/>
      <c r="J15" s="99"/>
    </row>
    <row r="16" spans="2:10" x14ac:dyDescent="0.35">
      <c r="B16" s="98"/>
      <c r="F16" s="11" t="s">
        <v>689</v>
      </c>
      <c r="J16" s="99"/>
    </row>
    <row r="17" spans="2:10" x14ac:dyDescent="0.35">
      <c r="B17" s="95"/>
      <c r="C17" s="104" t="s">
        <v>690</v>
      </c>
      <c r="D17" s="104"/>
      <c r="E17" s="96" t="str">
        <f>+data!C98</f>
        <v>Ferry County Public Hospital District No. 1</v>
      </c>
      <c r="F17" s="103"/>
      <c r="G17" s="103"/>
      <c r="H17" s="96"/>
      <c r="I17" s="96"/>
      <c r="J17" s="97"/>
    </row>
    <row r="18" spans="2:10" x14ac:dyDescent="0.35">
      <c r="B18" s="98"/>
      <c r="C18" s="53" t="s">
        <v>691</v>
      </c>
      <c r="D18" s="53"/>
      <c r="E18" s="11" t="str">
        <f>+"H-"&amp;data!C97</f>
        <v>H-167</v>
      </c>
      <c r="F18" s="10"/>
      <c r="G18" s="10"/>
      <c r="J18" s="99"/>
    </row>
    <row r="19" spans="2:10" x14ac:dyDescent="0.35">
      <c r="B19" s="98"/>
      <c r="C19" s="53" t="s">
        <v>692</v>
      </c>
      <c r="D19" s="53"/>
      <c r="E19" s="11" t="str">
        <f>+data!C99</f>
        <v>36 Klondike Road</v>
      </c>
      <c r="F19" s="10"/>
      <c r="G19" s="10"/>
      <c r="J19" s="99"/>
    </row>
    <row r="20" spans="2:10" x14ac:dyDescent="0.35">
      <c r="B20" s="98"/>
      <c r="C20" s="53" t="s">
        <v>693</v>
      </c>
      <c r="D20" s="53"/>
      <c r="E20" s="11" t="str">
        <f>+data!C99</f>
        <v>36 Klondike Road</v>
      </c>
      <c r="F20" s="10"/>
      <c r="G20" s="10"/>
      <c r="J20" s="99"/>
    </row>
    <row r="21" spans="2:10" x14ac:dyDescent="0.35">
      <c r="B21" s="98"/>
      <c r="C21" s="53" t="s">
        <v>694</v>
      </c>
      <c r="D21" s="53"/>
      <c r="E21" s="11" t="str">
        <f>CONCATENATE(+data!C100,", ",+data!C101)</f>
        <v>Republic , Washington 99166</v>
      </c>
      <c r="F21" s="10"/>
      <c r="G21" s="10"/>
      <c r="J21" s="99"/>
    </row>
    <row r="22" spans="2:10" x14ac:dyDescent="0.3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35">
      <c r="B23" s="98"/>
      <c r="J23" s="99"/>
    </row>
    <row r="24" spans="2:10" x14ac:dyDescent="0.35">
      <c r="B24" s="98"/>
      <c r="J24" s="99"/>
    </row>
    <row r="25" spans="2:10" x14ac:dyDescent="0.35">
      <c r="B25" s="98"/>
      <c r="J25" s="99"/>
    </row>
    <row r="26" spans="2:10" x14ac:dyDescent="0.35">
      <c r="B26" s="105"/>
      <c r="C26" s="106"/>
      <c r="D26" s="106"/>
      <c r="E26" s="106"/>
      <c r="F26" s="107" t="s">
        <v>695</v>
      </c>
      <c r="G26" s="106"/>
      <c r="H26" s="106"/>
      <c r="I26" s="106"/>
      <c r="J26" s="108"/>
    </row>
    <row r="27" spans="2:10" x14ac:dyDescent="0.35">
      <c r="B27" s="109" t="s">
        <v>696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35">
      <c r="B28" s="98" t="str">
        <f>+"by the Department of Health for the fiscal year ended "&amp;data!C96&amp;"."</f>
        <v>by the Department of Health for the fiscal year ended 12/31/2022.</v>
      </c>
      <c r="J28" s="99"/>
    </row>
    <row r="29" spans="2:10" x14ac:dyDescent="0.35">
      <c r="B29" s="98" t="s">
        <v>697</v>
      </c>
      <c r="J29" s="99"/>
    </row>
    <row r="30" spans="2:10" x14ac:dyDescent="0.35">
      <c r="B30" s="112" t="s">
        <v>698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3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35">
      <c r="B32" s="98"/>
      <c r="J32" s="99"/>
    </row>
    <row r="33" spans="2:10" x14ac:dyDescent="0.35">
      <c r="B33" s="115" t="s">
        <v>244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35">
      <c r="B34" s="105" t="s">
        <v>699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35">
      <c r="B35" s="105" t="s">
        <v>700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35">
      <c r="B36" s="105" t="s">
        <v>701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3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35">
      <c r="B38" s="98"/>
      <c r="J38" s="99"/>
    </row>
    <row r="39" spans="2:10" x14ac:dyDescent="0.35">
      <c r="B39" s="115" t="s">
        <v>244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35">
      <c r="B40" s="105" t="s">
        <v>702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35">
      <c r="B41" s="105" t="s">
        <v>700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35">
      <c r="B42" s="116" t="s">
        <v>701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  <pageSetUpPr fitToPage="1"/>
  </sheetPr>
  <dimension ref="A2:M94"/>
  <sheetViews>
    <sheetView topLeftCell="A77" zoomScale="85" zoomScaleNormal="85" workbookViewId="0">
      <selection activeCell="H36" sqref="H36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5.9140625" style="1" bestFit="1" customWidth="1"/>
    <col min="11" max="14" width="8.6640625" style="1" customWidth="1"/>
    <col min="15" max="16384" width="8.6640625" style="1"/>
  </cols>
  <sheetData>
    <row r="2" spans="1:13" x14ac:dyDescent="0.35">
      <c r="A2" s="54" t="s">
        <v>703</v>
      </c>
    </row>
    <row r="3" spans="1:13" x14ac:dyDescent="0.35">
      <c r="A3" s="54"/>
    </row>
    <row r="4" spans="1:13" x14ac:dyDescent="0.35">
      <c r="A4" s="149" t="s">
        <v>704</v>
      </c>
    </row>
    <row r="5" spans="1:13" x14ac:dyDescent="0.35">
      <c r="A5" s="149" t="s">
        <v>705</v>
      </c>
    </row>
    <row r="6" spans="1:13" x14ac:dyDescent="0.35">
      <c r="A6" s="149" t="s">
        <v>706</v>
      </c>
    </row>
    <row r="7" spans="1:13" x14ac:dyDescent="0.35">
      <c r="A7" s="149"/>
    </row>
    <row r="8" spans="1:13" x14ac:dyDescent="0.35">
      <c r="A8" s="2" t="s">
        <v>707</v>
      </c>
    </row>
    <row r="9" spans="1:13" x14ac:dyDescent="0.35">
      <c r="A9" s="149" t="s">
        <v>25</v>
      </c>
    </row>
    <row r="12" spans="1:13" x14ac:dyDescent="0.35">
      <c r="A12" s="1" t="str">
        <f>data!C97</f>
        <v>167</v>
      </c>
      <c r="B12" s="228" t="str">
        <f>RIGHT('Prior Year'!C96,4)</f>
        <v>2021</v>
      </c>
      <c r="C12" s="228" t="str">
        <f>RIGHT(data!C96,4)</f>
        <v>2022</v>
      </c>
      <c r="D12" s="1" t="str">
        <f>RIGHT('Prior Year'!C96,4)</f>
        <v>2021</v>
      </c>
      <c r="E12" s="228" t="str">
        <f>RIGHT(data!C96,4)</f>
        <v>2022</v>
      </c>
      <c r="F12" s="1" t="str">
        <f>RIGHT('Prior Year'!C96,4)</f>
        <v>2021</v>
      </c>
      <c r="G12" s="228" t="str">
        <f>RIGHT(data!C96,4)</f>
        <v>2022</v>
      </c>
      <c r="H12" s="3"/>
    </row>
    <row r="13" spans="1:13" x14ac:dyDescent="0.35">
      <c r="A13" s="2"/>
      <c r="B13" s="228" t="s">
        <v>708</v>
      </c>
      <c r="C13" s="228" t="s">
        <v>708</v>
      </c>
      <c r="D13" s="5" t="s">
        <v>709</v>
      </c>
      <c r="E13" s="5" t="s">
        <v>709</v>
      </c>
      <c r="F13" s="3" t="s">
        <v>710</v>
      </c>
      <c r="G13" s="3" t="s">
        <v>710</v>
      </c>
      <c r="H13" s="3" t="s">
        <v>711</v>
      </c>
    </row>
    <row r="14" spans="1:13" x14ac:dyDescent="0.35">
      <c r="A14" s="1" t="s">
        <v>712</v>
      </c>
      <c r="B14" s="228" t="s">
        <v>347</v>
      </c>
      <c r="C14" s="228" t="s">
        <v>347</v>
      </c>
      <c r="D14" s="4" t="s">
        <v>713</v>
      </c>
      <c r="E14" s="4" t="s">
        <v>713</v>
      </c>
      <c r="F14" s="3" t="s">
        <v>714</v>
      </c>
      <c r="G14" s="3" t="s">
        <v>714</v>
      </c>
      <c r="H14" s="3" t="s">
        <v>715</v>
      </c>
      <c r="I14" s="8" t="s">
        <v>716</v>
      </c>
      <c r="J14" s="55" t="s">
        <v>717</v>
      </c>
    </row>
    <row r="15" spans="1:13" x14ac:dyDescent="0.35">
      <c r="A15" s="1" t="s">
        <v>718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719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35">
      <c r="A17" s="1" t="s">
        <v>720</v>
      </c>
      <c r="B17" s="228">
        <f>ROUND(N('Prior Year'!E85), 0)</f>
        <v>222508</v>
      </c>
      <c r="C17" s="228">
        <f>data!E85</f>
        <v>300887</v>
      </c>
      <c r="D17" s="228">
        <f>ROUND(N('Prior Year'!E59), 0)</f>
        <v>309</v>
      </c>
      <c r="E17" s="1">
        <f>data!E59</f>
        <v>354</v>
      </c>
      <c r="F17" s="205">
        <f t="shared" si="0"/>
        <v>720.09061488673137</v>
      </c>
      <c r="G17" s="205">
        <f t="shared" si="1"/>
        <v>849.96327683615823</v>
      </c>
      <c r="H17" s="6" t="str">
        <f t="shared" si="2"/>
        <v/>
      </c>
      <c r="I17" s="228" t="str">
        <f t="shared" si="3"/>
        <v/>
      </c>
      <c r="M17" s="7"/>
    </row>
    <row r="18" spans="1:13" x14ac:dyDescent="0.35">
      <c r="A18" s="1" t="s">
        <v>721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35">
      <c r="A19" s="1" t="s">
        <v>722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35">
      <c r="A20" s="1" t="s">
        <v>723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35">
      <c r="A21" s="1" t="s">
        <v>724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35">
      <c r="A22" s="1" t="s">
        <v>725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35">
      <c r="A23" s="1" t="s">
        <v>726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35">
      <c r="A24" s="1" t="s">
        <v>727</v>
      </c>
      <c r="B24" s="228">
        <f>ROUND(N('Prior Year'!L85), 0)</f>
        <v>2953242</v>
      </c>
      <c r="C24" s="228">
        <f>data!L85</f>
        <v>3461394</v>
      </c>
      <c r="D24" s="228">
        <f>ROUND(N('Prior Year'!L59), 0)</f>
        <v>4101</v>
      </c>
      <c r="E24" s="1">
        <f>data!L59</f>
        <v>4052</v>
      </c>
      <c r="F24" s="205">
        <f t="shared" si="0"/>
        <v>720.12728602779805</v>
      </c>
      <c r="G24" s="205">
        <f t="shared" si="1"/>
        <v>854.24333662388949</v>
      </c>
      <c r="H24" s="6" t="str">
        <f t="shared" si="2"/>
        <v/>
      </c>
      <c r="I24" s="228" t="str">
        <f t="shared" si="3"/>
        <v/>
      </c>
      <c r="M24" s="7"/>
    </row>
    <row r="25" spans="1:13" x14ac:dyDescent="0.35">
      <c r="A25" s="1" t="s">
        <v>728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35">
      <c r="A26" s="1" t="s">
        <v>729</v>
      </c>
      <c r="B26" s="1">
        <f>ROUND(N('Prior Year'!N85), 0)</f>
        <v>1489579</v>
      </c>
      <c r="C26" s="228">
        <f>data!N85</f>
        <v>1699504</v>
      </c>
      <c r="D26" s="228">
        <f>ROUND(N('Prior Year'!N59), 0)</f>
        <v>5415</v>
      </c>
      <c r="E26" s="1">
        <f>data!N59</f>
        <v>5443</v>
      </c>
      <c r="F26" s="205">
        <f t="shared" si="0"/>
        <v>275.08384118190213</v>
      </c>
      <c r="G26" s="205">
        <f t="shared" si="1"/>
        <v>312.23663420907587</v>
      </c>
      <c r="H26" s="6" t="str">
        <f t="shared" si="2"/>
        <v/>
      </c>
      <c r="I26" s="228" t="str">
        <f t="shared" si="3"/>
        <v/>
      </c>
      <c r="M26" s="7"/>
    </row>
    <row r="27" spans="1:13" x14ac:dyDescent="0.35">
      <c r="A27" s="1" t="s">
        <v>730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35">
      <c r="A28" s="1" t="s">
        <v>731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35">
      <c r="A29" s="1" t="s">
        <v>732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35">
      <c r="A30" s="1" t="s">
        <v>733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35">
      <c r="A31" s="1" t="s">
        <v>734</v>
      </c>
      <c r="B31" s="228">
        <f>ROUND(N('Prior Year'!S85), 0)</f>
        <v>163529</v>
      </c>
      <c r="C31" s="228">
        <f>data!S85</f>
        <v>190871</v>
      </c>
      <c r="D31" s="228" t="s">
        <v>735</v>
      </c>
      <c r="E31" s="4" t="s">
        <v>735</v>
      </c>
      <c r="F31" s="205" t="s">
        <v>3</v>
      </c>
      <c r="G31" s="205" t="str">
        <f>IFERROR(IF(C31=0,"",IF(E31=0,"",C31/E31)),"")</f>
        <v/>
      </c>
      <c r="H31" s="6" t="s">
        <v>3</v>
      </c>
      <c r="I31" s="228" t="str">
        <f t="shared" si="3"/>
        <v/>
      </c>
      <c r="M31" s="7"/>
    </row>
    <row r="32" spans="1:13" x14ac:dyDescent="0.35">
      <c r="A32" s="1" t="s">
        <v>736</v>
      </c>
      <c r="B32" s="228">
        <f>ROUND(N('Prior Year'!T85), 0)</f>
        <v>0</v>
      </c>
      <c r="C32" s="228">
        <f>data!T85</f>
        <v>0</v>
      </c>
      <c r="D32" s="228" t="s">
        <v>735</v>
      </c>
      <c r="E32" s="4" t="s">
        <v>735</v>
      </c>
      <c r="F32" s="205" t="s">
        <v>3</v>
      </c>
      <c r="G32" s="205" t="str">
        <f>IFERROR(IF(C32=0,"",IF(E32=0,"",C32/E32)),"")</f>
        <v/>
      </c>
      <c r="H32" s="6" t="s">
        <v>3</v>
      </c>
      <c r="I32" s="228" t="str">
        <f t="shared" si="3"/>
        <v/>
      </c>
      <c r="M32" s="7"/>
    </row>
    <row r="33" spans="1:13" x14ac:dyDescent="0.35">
      <c r="A33" s="1" t="s">
        <v>737</v>
      </c>
      <c r="B33" s="228">
        <f>ROUND(N('Prior Year'!U85), 0)</f>
        <v>1036449</v>
      </c>
      <c r="C33" s="228">
        <f>data!U85</f>
        <v>1280154</v>
      </c>
      <c r="D33" s="228">
        <f>ROUND(N('Prior Year'!U59), 0)</f>
        <v>34146</v>
      </c>
      <c r="E33" s="1">
        <f>data!U59</f>
        <v>33500</v>
      </c>
      <c r="F33" s="205">
        <f t="shared" si="0"/>
        <v>30.353452820242488</v>
      </c>
      <c r="G33" s="205">
        <f t="shared" ref="G33:G69" si="4">IF(C33=0,"",IF(E33=0,"",C33/E33))</f>
        <v>38.213552238805967</v>
      </c>
      <c r="H33" s="6">
        <f t="shared" ref="H33:H39" si="5">IF(B33 = 0, "", IF(C33 = 0, "", IF(D33 = 0, "", IF(E33 = 0, "", IF(G33 / F33 - 1 &lt; -0.25, G33 / F33 - 1, IF(G33 / F33 - 1 &gt; 0.25, G33 / F33 - 1, ""))))))</f>
        <v>0.25895239876372944</v>
      </c>
      <c r="I33" s="228" t="s">
        <v>1579</v>
      </c>
      <c r="M33" s="7"/>
    </row>
    <row r="34" spans="1:13" x14ac:dyDescent="0.35">
      <c r="A34" s="1" t="s">
        <v>738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35">
      <c r="A35" s="1" t="s">
        <v>739</v>
      </c>
      <c r="B35" s="228">
        <f>ROUND(N('Prior Year'!W85), 0)</f>
        <v>144686</v>
      </c>
      <c r="C35" s="228">
        <f>data!W85</f>
        <v>141068</v>
      </c>
      <c r="D35" s="228">
        <f>ROUND(N('Prior Year'!W59), 0)</f>
        <v>250</v>
      </c>
      <c r="E35" s="1">
        <f>data!W59</f>
        <v>290</v>
      </c>
      <c r="F35" s="205">
        <f t="shared" si="0"/>
        <v>578.74400000000003</v>
      </c>
      <c r="G35" s="205">
        <f t="shared" si="4"/>
        <v>486.44137931034481</v>
      </c>
      <c r="H35" s="6" t="str">
        <f t="shared" si="5"/>
        <v/>
      </c>
      <c r="I35" s="228" t="str">
        <f t="shared" si="3"/>
        <v/>
      </c>
      <c r="M35" s="7"/>
    </row>
    <row r="36" spans="1:13" x14ac:dyDescent="0.35">
      <c r="A36" s="1" t="s">
        <v>740</v>
      </c>
      <c r="B36" s="228">
        <f>ROUND(N('Prior Year'!X85), 0)</f>
        <v>317589</v>
      </c>
      <c r="C36" s="228">
        <f>data!X85</f>
        <v>214287</v>
      </c>
      <c r="D36" s="228">
        <f>ROUND(N('Prior Year'!X59), 0)</f>
        <v>1118</v>
      </c>
      <c r="E36" s="1">
        <f>data!X59</f>
        <v>1322</v>
      </c>
      <c r="F36" s="205">
        <f t="shared" si="0"/>
        <v>284.06887298747762</v>
      </c>
      <c r="G36" s="205">
        <f t="shared" si="4"/>
        <v>162.09304084720122</v>
      </c>
      <c r="H36" s="6">
        <f t="shared" si="5"/>
        <v>-0.42938823552714045</v>
      </c>
      <c r="I36" s="228" t="s">
        <v>1580</v>
      </c>
      <c r="M36" s="7"/>
    </row>
    <row r="37" spans="1:13" x14ac:dyDescent="0.35">
      <c r="A37" s="1" t="s">
        <v>741</v>
      </c>
      <c r="B37" s="228">
        <f>ROUND(N('Prior Year'!Y85), 0)</f>
        <v>485635</v>
      </c>
      <c r="C37" s="228">
        <f>data!Y85</f>
        <v>506663</v>
      </c>
      <c r="D37" s="228">
        <f>ROUND(N('Prior Year'!Y59), 0)</f>
        <v>2158</v>
      </c>
      <c r="E37" s="1">
        <f>data!Y59</f>
        <v>2887</v>
      </c>
      <c r="F37" s="205">
        <f t="shared" si="0"/>
        <v>225.03938832252086</v>
      </c>
      <c r="G37" s="205">
        <f t="shared" si="4"/>
        <v>175.49809490820923</v>
      </c>
      <c r="H37" s="6" t="str">
        <f t="shared" si="5"/>
        <v/>
      </c>
      <c r="I37" s="228" t="str">
        <f t="shared" si="3"/>
        <v/>
      </c>
      <c r="M37" s="7"/>
    </row>
    <row r="38" spans="1:13" x14ac:dyDescent="0.35">
      <c r="A38" s="1" t="s">
        <v>742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35">
      <c r="A39" s="1" t="s">
        <v>743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35">
      <c r="A40" s="1" t="s">
        <v>744</v>
      </c>
      <c r="B40" s="228">
        <f>ROUND(N('Prior Year'!AB85), 0)</f>
        <v>2347358</v>
      </c>
      <c r="C40" s="228">
        <f>data!AB85</f>
        <v>2715649</v>
      </c>
      <c r="D40" s="228" t="s">
        <v>735</v>
      </c>
      <c r="E40" s="4" t="s">
        <v>735</v>
      </c>
      <c r="F40" s="205" t="s">
        <v>3</v>
      </c>
      <c r="G40" s="205" t="str">
        <f>IFERROR(IF(C40=0,"",IF(E40=0,"",C40/E40)),"")</f>
        <v/>
      </c>
      <c r="H40" s="6" t="s">
        <v>3</v>
      </c>
      <c r="I40" s="228" t="str">
        <f t="shared" si="3"/>
        <v/>
      </c>
      <c r="M40" s="7"/>
    </row>
    <row r="41" spans="1:13" x14ac:dyDescent="0.35">
      <c r="A41" s="1" t="s">
        <v>745</v>
      </c>
      <c r="B41" s="228">
        <f>ROUND(N('Prior Year'!AC85), 0)</f>
        <v>0</v>
      </c>
      <c r="C41" s="228">
        <f>data!AC85</f>
        <v>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35">
      <c r="A42" s="1" t="s">
        <v>746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35">
      <c r="A43" s="1" t="s">
        <v>747</v>
      </c>
      <c r="B43" s="228">
        <f>ROUND(N('Prior Year'!AE85), 0)</f>
        <v>685287</v>
      </c>
      <c r="C43" s="228">
        <f>data!AE85</f>
        <v>786290</v>
      </c>
      <c r="D43" s="228">
        <f>ROUND(N('Prior Year'!AE59), 0)</f>
        <v>10999</v>
      </c>
      <c r="E43" s="1">
        <f>data!AE59</f>
        <v>10294</v>
      </c>
      <c r="F43" s="205">
        <f t="shared" si="0"/>
        <v>62.304482225656876</v>
      </c>
      <c r="G43" s="205">
        <f t="shared" si="4"/>
        <v>76.383330095201089</v>
      </c>
      <c r="H43" s="6" t="str">
        <f t="shared" si="6"/>
        <v/>
      </c>
      <c r="I43" s="228" t="str">
        <f t="shared" si="3"/>
        <v/>
      </c>
      <c r="M43" s="7"/>
    </row>
    <row r="44" spans="1:13" x14ac:dyDescent="0.35">
      <c r="A44" s="1" t="s">
        <v>748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35">
      <c r="A45" s="1" t="s">
        <v>749</v>
      </c>
      <c r="B45" s="228">
        <f>ROUND(N('Prior Year'!AG85), 0)</f>
        <v>518572</v>
      </c>
      <c r="C45" s="228">
        <f>data!AG85</f>
        <v>464235</v>
      </c>
      <c r="D45" s="228">
        <f>ROUND(N('Prior Year'!AG59), 0)</f>
        <v>2520</v>
      </c>
      <c r="E45" s="1">
        <f>data!AG59</f>
        <v>2719</v>
      </c>
      <c r="F45" s="205">
        <f t="shared" si="0"/>
        <v>205.78253968253969</v>
      </c>
      <c r="G45" s="205">
        <f t="shared" si="4"/>
        <v>170.73740345715336</v>
      </c>
      <c r="H45" s="6" t="str">
        <f t="shared" si="6"/>
        <v/>
      </c>
      <c r="I45" s="228" t="str">
        <f t="shared" si="3"/>
        <v/>
      </c>
      <c r="M45" s="7"/>
    </row>
    <row r="46" spans="1:13" x14ac:dyDescent="0.35">
      <c r="A46" s="1" t="s">
        <v>750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ht="29" x14ac:dyDescent="0.35">
      <c r="A47" s="1" t="s">
        <v>751</v>
      </c>
      <c r="B47" s="228">
        <f>ROUND(N('Prior Year'!AI85), 0)</f>
        <v>42775</v>
      </c>
      <c r="C47" s="228">
        <f>data!AI85</f>
        <v>53234</v>
      </c>
      <c r="D47" s="228">
        <f>ROUND(N('Prior Year'!AI59), 0)</f>
        <v>139</v>
      </c>
      <c r="E47" s="1">
        <f>data!AI59</f>
        <v>295</v>
      </c>
      <c r="F47" s="205">
        <f t="shared" si="0"/>
        <v>307.73381294964031</v>
      </c>
      <c r="G47" s="205">
        <f t="shared" si="4"/>
        <v>180.4542372881356</v>
      </c>
      <c r="H47" s="6">
        <f t="shared" si="6"/>
        <v>-0.41360282915135371</v>
      </c>
      <c r="I47" s="323" t="s">
        <v>1581</v>
      </c>
      <c r="M47" s="7"/>
    </row>
    <row r="48" spans="1:13" ht="29" x14ac:dyDescent="0.35">
      <c r="A48" s="1" t="s">
        <v>752</v>
      </c>
      <c r="B48" s="228">
        <f>ROUND(N('Prior Year'!AJ85), 0)</f>
        <v>851782</v>
      </c>
      <c r="C48" s="228">
        <f>data!AJ85</f>
        <v>1114638</v>
      </c>
      <c r="D48" s="228">
        <f>ROUND(N('Prior Year'!AJ59), 0)</f>
        <v>9451</v>
      </c>
      <c r="E48" s="1">
        <f>data!AJ59</f>
        <v>9029</v>
      </c>
      <c r="F48" s="205">
        <f t="shared" si="0"/>
        <v>90.126124219659289</v>
      </c>
      <c r="G48" s="205">
        <f t="shared" si="4"/>
        <v>123.45088049617898</v>
      </c>
      <c r="H48" s="6">
        <f t="shared" si="6"/>
        <v>0.36975689973418979</v>
      </c>
      <c r="I48" s="323" t="s">
        <v>1583</v>
      </c>
      <c r="J48" s="1" t="s">
        <v>1582</v>
      </c>
      <c r="M48" s="7"/>
    </row>
    <row r="49" spans="1:13" x14ac:dyDescent="0.35">
      <c r="A49" s="1" t="s">
        <v>753</v>
      </c>
      <c r="B49" s="228">
        <f>ROUND(N('Prior Year'!AK85), 0)</f>
        <v>173555</v>
      </c>
      <c r="C49" s="228">
        <f>data!AK85</f>
        <v>69155</v>
      </c>
      <c r="D49" s="228">
        <f>ROUND(N('Prior Year'!AK59), 0)</f>
        <v>3871</v>
      </c>
      <c r="E49" s="1">
        <f>data!AK59</f>
        <v>1532</v>
      </c>
      <c r="F49" s="205">
        <f t="shared" si="0"/>
        <v>44.834668044432966</v>
      </c>
      <c r="G49" s="205">
        <f t="shared" si="4"/>
        <v>45.14033942558747</v>
      </c>
      <c r="H49" s="6" t="str">
        <f t="shared" si="6"/>
        <v/>
      </c>
      <c r="I49" s="228" t="str">
        <f t="shared" ref="I49:I78" si="7">IF(H49 = "", "", IF(ABS(H49) &gt; 25 %, "Please provide explanation for the fluctuation noted here", ""))</f>
        <v/>
      </c>
      <c r="M49" s="7"/>
    </row>
    <row r="50" spans="1:13" x14ac:dyDescent="0.35">
      <c r="A50" s="1" t="s">
        <v>754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35">
      <c r="A51" s="1" t="s">
        <v>755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35">
      <c r="A52" s="1" t="s">
        <v>756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35">
      <c r="A53" s="1" t="s">
        <v>757</v>
      </c>
      <c r="B53" s="228">
        <f>ROUND(N('Prior Year'!AO85), 0)</f>
        <v>82103</v>
      </c>
      <c r="C53" s="228">
        <f>data!AO85</f>
        <v>79459</v>
      </c>
      <c r="D53" s="228">
        <f>ROUND(N('Prior Year'!AO59), 0)</f>
        <v>2728</v>
      </c>
      <c r="E53" s="1">
        <f>data!AO59</f>
        <v>2232</v>
      </c>
      <c r="F53" s="205">
        <f t="shared" si="0"/>
        <v>30.096407624633432</v>
      </c>
      <c r="G53" s="205">
        <f t="shared" si="4"/>
        <v>35.59991039426523</v>
      </c>
      <c r="H53" s="6" t="str">
        <f t="shared" si="6"/>
        <v/>
      </c>
      <c r="I53" s="228" t="str">
        <f t="shared" si="7"/>
        <v/>
      </c>
      <c r="M53" s="7"/>
    </row>
    <row r="54" spans="1:13" x14ac:dyDescent="0.35">
      <c r="A54" s="1" t="s">
        <v>758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35">
      <c r="A55" s="1" t="s">
        <v>759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35">
      <c r="A56" s="1" t="s">
        <v>760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35">
      <c r="A57" s="1" t="s">
        <v>761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35">
      <c r="A58" s="1" t="s">
        <v>762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35">
      <c r="A59" s="1" t="s">
        <v>763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35">
      <c r="A60" s="1" t="s">
        <v>764</v>
      </c>
      <c r="B60" s="228">
        <f>ROUND(N('Prior Year'!AV85), 0)</f>
        <v>0</v>
      </c>
      <c r="C60" s="228">
        <f>data!AV85</f>
        <v>0</v>
      </c>
      <c r="D60" s="228" t="s">
        <v>735</v>
      </c>
      <c r="E60" s="4" t="s">
        <v>735</v>
      </c>
      <c r="F60" s="205" t="s">
        <v>3</v>
      </c>
      <c r="G60" s="205"/>
      <c r="H60" s="6" t="s">
        <v>3</v>
      </c>
      <c r="I60" s="228" t="str">
        <f t="shared" si="7"/>
        <v/>
      </c>
      <c r="M60" s="7"/>
    </row>
    <row r="61" spans="1:13" x14ac:dyDescent="0.35">
      <c r="A61" s="1" t="s">
        <v>765</v>
      </c>
      <c r="B61" s="228">
        <f>ROUND(N('Prior Year'!AW85), 0)</f>
        <v>0</v>
      </c>
      <c r="C61" s="228">
        <f>data!AW85</f>
        <v>0</v>
      </c>
      <c r="D61" s="228" t="s">
        <v>735</v>
      </c>
      <c r="E61" s="4" t="s">
        <v>735</v>
      </c>
      <c r="F61" s="205" t="s">
        <v>3</v>
      </c>
      <c r="G61" s="205"/>
      <c r="H61" s="6" t="s">
        <v>3</v>
      </c>
      <c r="I61" s="228" t="str">
        <f t="shared" si="7"/>
        <v/>
      </c>
      <c r="M61" s="7"/>
    </row>
    <row r="62" spans="1:13" x14ac:dyDescent="0.35">
      <c r="A62" s="1" t="s">
        <v>766</v>
      </c>
      <c r="B62" s="228">
        <f>ROUND(N('Prior Year'!AX85), 0)</f>
        <v>0</v>
      </c>
      <c r="C62" s="228">
        <f>data!AX85</f>
        <v>0</v>
      </c>
      <c r="D62" s="228" t="s">
        <v>735</v>
      </c>
      <c r="E62" s="4" t="s">
        <v>735</v>
      </c>
      <c r="F62" s="205" t="s">
        <v>3</v>
      </c>
      <c r="G62" s="205"/>
      <c r="H62" s="6" t="s">
        <v>3</v>
      </c>
      <c r="I62" s="228" t="str">
        <f t="shared" si="7"/>
        <v/>
      </c>
      <c r="M62" s="7"/>
    </row>
    <row r="63" spans="1:13" x14ac:dyDescent="0.35">
      <c r="A63" s="1" t="s">
        <v>767</v>
      </c>
      <c r="B63" s="228">
        <f>ROUND(N('Prior Year'!AY85), 0)</f>
        <v>377670</v>
      </c>
      <c r="C63" s="228">
        <f>data!AY85</f>
        <v>479971</v>
      </c>
      <c r="D63" s="228">
        <f>ROUND(N('Prior Year'!AY59), 0)</f>
        <v>24600</v>
      </c>
      <c r="E63" s="1">
        <f>data!AY59</f>
        <v>24887</v>
      </c>
      <c r="F63" s="205">
        <f>IF(B63=0,"",IF(D63=0,"",B63/D63))</f>
        <v>15.352439024390243</v>
      </c>
      <c r="G63" s="205">
        <f t="shared" si="4"/>
        <v>19.286012777755456</v>
      </c>
      <c r="H63" s="6">
        <f>IF(B63 = 0, "", IF(C63 = 0, "", IF(D63 = 0, "", IF(E63 = 0, "", IF(G63 / F63 - 1 &lt; -0.25, G63 / F63 - 1, IF(G63 / F63 - 1 &gt; 0.25, G63 / F63 - 1, ""))))))</f>
        <v>0.2562181648867643</v>
      </c>
      <c r="I63" s="228" t="s">
        <v>1584</v>
      </c>
      <c r="M63" s="7"/>
    </row>
    <row r="64" spans="1:13" x14ac:dyDescent="0.35">
      <c r="A64" s="1" t="s">
        <v>768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35">
      <c r="A65" s="1" t="s">
        <v>769</v>
      </c>
      <c r="B65" s="228">
        <f>ROUND(N('Prior Year'!BA85), 0)</f>
        <v>95009</v>
      </c>
      <c r="C65" s="228">
        <f>data!BA85</f>
        <v>119669</v>
      </c>
      <c r="D65" s="228" t="s">
        <v>735</v>
      </c>
      <c r="E65" s="305" t="s">
        <v>735</v>
      </c>
      <c r="F65" s="205"/>
      <c r="G65" s="205"/>
      <c r="H65" s="6"/>
      <c r="I65" s="228" t="str">
        <f t="shared" si="7"/>
        <v/>
      </c>
      <c r="M65" s="7"/>
    </row>
    <row r="66" spans="1:13" x14ac:dyDescent="0.35">
      <c r="A66" s="1" t="s">
        <v>770</v>
      </c>
      <c r="B66" s="228">
        <f>ROUND(N('Prior Year'!BB85), 0)</f>
        <v>0</v>
      </c>
      <c r="C66" s="228">
        <f>data!BB85</f>
        <v>0</v>
      </c>
      <c r="D66" s="228" t="s">
        <v>735</v>
      </c>
      <c r="E66" s="4" t="s">
        <v>735</v>
      </c>
      <c r="F66" s="205" t="s">
        <v>3</v>
      </c>
      <c r="G66" s="205" t="str">
        <f t="shared" ref="G66:G68" si="8">IFERROR(IF(C66=0,"",IF(E66=0,"",C66/E66)),"")</f>
        <v/>
      </c>
      <c r="H66" s="6" t="s">
        <v>3</v>
      </c>
      <c r="I66" s="228" t="str">
        <f t="shared" si="7"/>
        <v/>
      </c>
      <c r="M66" s="7"/>
    </row>
    <row r="67" spans="1:13" x14ac:dyDescent="0.35">
      <c r="A67" s="1" t="s">
        <v>771</v>
      </c>
      <c r="B67" s="228">
        <f>ROUND(N('Prior Year'!BC85), 0)</f>
        <v>0</v>
      </c>
      <c r="C67" s="228">
        <f>data!BC85</f>
        <v>0</v>
      </c>
      <c r="D67" s="228" t="s">
        <v>735</v>
      </c>
      <c r="E67" s="4" t="s">
        <v>735</v>
      </c>
      <c r="F67" s="205" t="s">
        <v>3</v>
      </c>
      <c r="G67" s="205" t="str">
        <f t="shared" si="8"/>
        <v/>
      </c>
      <c r="H67" s="6" t="s">
        <v>3</v>
      </c>
      <c r="I67" s="228" t="str">
        <f t="shared" si="7"/>
        <v/>
      </c>
      <c r="M67" s="7"/>
    </row>
    <row r="68" spans="1:13" x14ac:dyDescent="0.35">
      <c r="A68" s="1" t="s">
        <v>772</v>
      </c>
      <c r="B68" s="228">
        <f>ROUND(N('Prior Year'!BD85), 0)</f>
        <v>0</v>
      </c>
      <c r="C68" s="228">
        <f>data!BD85</f>
        <v>0</v>
      </c>
      <c r="D68" s="228" t="s">
        <v>735</v>
      </c>
      <c r="E68" s="4" t="s">
        <v>735</v>
      </c>
      <c r="F68" s="205" t="s">
        <v>3</v>
      </c>
      <c r="G68" s="205" t="str">
        <f t="shared" si="8"/>
        <v/>
      </c>
      <c r="H68" s="6" t="s">
        <v>3</v>
      </c>
      <c r="I68" s="228" t="str">
        <f t="shared" si="7"/>
        <v/>
      </c>
      <c r="M68" s="7"/>
    </row>
    <row r="69" spans="1:13" x14ac:dyDescent="0.35">
      <c r="A69" s="1" t="s">
        <v>773</v>
      </c>
      <c r="B69" s="228">
        <f>ROUND(N('Prior Year'!BE85), 0)</f>
        <v>601227</v>
      </c>
      <c r="C69" s="228">
        <f>data!BE85</f>
        <v>758950</v>
      </c>
      <c r="D69" s="228">
        <f>ROUND(N('Prior Year'!BE59), 0)</f>
        <v>31510</v>
      </c>
      <c r="E69" s="1">
        <f>data!BE59</f>
        <v>31509</v>
      </c>
      <c r="F69" s="205">
        <f>IF(B69=0,"",IF(D69=0,"",B69/D69))</f>
        <v>19.080514122500794</v>
      </c>
      <c r="G69" s="205">
        <f t="shared" si="4"/>
        <v>24.086768859690881</v>
      </c>
      <c r="H69" s="6">
        <f>IF(B69 = 0, "", IF(C69 = 0, "", IF(D69 = 0, "", IF(E69 = 0, "", IF(G69 / F69 - 1 &lt; -0.25, G69 / F69 - 1, IF(G69 / F69 - 1 &gt; 0.25, G69 / F69 - 1, ""))))))</f>
        <v>0.26237525388723326</v>
      </c>
      <c r="I69" s="228" t="s">
        <v>1585</v>
      </c>
      <c r="M69" s="7"/>
    </row>
    <row r="70" spans="1:13" x14ac:dyDescent="0.35">
      <c r="A70" s="1" t="s">
        <v>774</v>
      </c>
      <c r="B70" s="228">
        <f>ROUND(N('Prior Year'!BF85), 0)</f>
        <v>293970</v>
      </c>
      <c r="C70" s="228">
        <f>data!BF85</f>
        <v>314842</v>
      </c>
      <c r="D70" s="228" t="s">
        <v>735</v>
      </c>
      <c r="E70" s="4" t="s">
        <v>735</v>
      </c>
      <c r="F70" s="205" t="s">
        <v>3</v>
      </c>
      <c r="G70" s="205" t="str">
        <f t="shared" ref="G70:G94" si="9">IFERROR(IF(C70=0,"",IF(E70=0,"",C70/E70)),"")</f>
        <v/>
      </c>
      <c r="H70" s="6" t="s">
        <v>3</v>
      </c>
      <c r="I70" s="228" t="str">
        <f t="shared" si="7"/>
        <v/>
      </c>
      <c r="M70" s="7"/>
    </row>
    <row r="71" spans="1:13" x14ac:dyDescent="0.35">
      <c r="A71" s="1" t="s">
        <v>775</v>
      </c>
      <c r="B71" s="228">
        <f>ROUND(N('Prior Year'!BG85), 0)</f>
        <v>0</v>
      </c>
      <c r="C71" s="228">
        <f>data!BG85</f>
        <v>0</v>
      </c>
      <c r="D71" s="228" t="s">
        <v>735</v>
      </c>
      <c r="E71" s="4" t="s">
        <v>735</v>
      </c>
      <c r="F71" s="205" t="s">
        <v>3</v>
      </c>
      <c r="G71" s="205" t="str">
        <f t="shared" si="9"/>
        <v/>
      </c>
      <c r="H71" s="6" t="s">
        <v>3</v>
      </c>
      <c r="I71" s="228" t="str">
        <f t="shared" si="7"/>
        <v/>
      </c>
      <c r="M71" s="7"/>
    </row>
    <row r="72" spans="1:13" x14ac:dyDescent="0.35">
      <c r="A72" s="1" t="s">
        <v>776</v>
      </c>
      <c r="B72" s="228">
        <f>ROUND(N('Prior Year'!BH85), 0)</f>
        <v>758848</v>
      </c>
      <c r="C72" s="228">
        <f>data!BH85</f>
        <v>1124476</v>
      </c>
      <c r="D72" s="228" t="s">
        <v>735</v>
      </c>
      <c r="E72" s="4" t="s">
        <v>735</v>
      </c>
      <c r="F72" s="205" t="s">
        <v>3</v>
      </c>
      <c r="G72" s="205" t="str">
        <f t="shared" si="9"/>
        <v/>
      </c>
      <c r="H72" s="6" t="s">
        <v>3</v>
      </c>
      <c r="I72" s="228" t="str">
        <f t="shared" si="7"/>
        <v/>
      </c>
      <c r="M72" s="7"/>
    </row>
    <row r="73" spans="1:13" x14ac:dyDescent="0.35">
      <c r="A73" s="1" t="s">
        <v>777</v>
      </c>
      <c r="B73" s="228">
        <f>ROUND(N('Prior Year'!BI85), 0)</f>
        <v>0</v>
      </c>
      <c r="C73" s="228">
        <f>data!BI85</f>
        <v>0</v>
      </c>
      <c r="D73" s="228" t="s">
        <v>735</v>
      </c>
      <c r="E73" s="4" t="s">
        <v>735</v>
      </c>
      <c r="F73" s="205" t="s">
        <v>3</v>
      </c>
      <c r="G73" s="205" t="str">
        <f t="shared" si="9"/>
        <v/>
      </c>
      <c r="H73" s="6" t="s">
        <v>3</v>
      </c>
      <c r="I73" s="228" t="str">
        <f t="shared" si="7"/>
        <v/>
      </c>
      <c r="M73" s="7"/>
    </row>
    <row r="74" spans="1:13" x14ac:dyDescent="0.35">
      <c r="A74" s="1" t="s">
        <v>778</v>
      </c>
      <c r="B74" s="228">
        <f>ROUND(N('Prior Year'!BJ85), 0)</f>
        <v>330061</v>
      </c>
      <c r="C74" s="228">
        <f>data!BJ85</f>
        <v>270354</v>
      </c>
      <c r="D74" s="228" t="s">
        <v>735</v>
      </c>
      <c r="E74" s="4" t="s">
        <v>735</v>
      </c>
      <c r="F74" s="205" t="s">
        <v>3</v>
      </c>
      <c r="G74" s="205" t="str">
        <f t="shared" si="9"/>
        <v/>
      </c>
      <c r="H74" s="6" t="s">
        <v>3</v>
      </c>
      <c r="I74" s="228" t="str">
        <f t="shared" si="7"/>
        <v/>
      </c>
      <c r="M74" s="7"/>
    </row>
    <row r="75" spans="1:13" x14ac:dyDescent="0.35">
      <c r="A75" s="1" t="s">
        <v>779</v>
      </c>
      <c r="B75" s="228">
        <f>ROUND(N('Prior Year'!BK85), 0)</f>
        <v>821767</v>
      </c>
      <c r="C75" s="228">
        <f>data!BK85</f>
        <v>932001</v>
      </c>
      <c r="D75" s="228" t="s">
        <v>735</v>
      </c>
      <c r="E75" s="4" t="s">
        <v>735</v>
      </c>
      <c r="F75" s="205" t="s">
        <v>3</v>
      </c>
      <c r="G75" s="205" t="str">
        <f t="shared" si="9"/>
        <v/>
      </c>
      <c r="H75" s="6" t="s">
        <v>3</v>
      </c>
      <c r="I75" s="228" t="str">
        <f t="shared" si="7"/>
        <v/>
      </c>
      <c r="M75" s="7"/>
    </row>
    <row r="76" spans="1:13" x14ac:dyDescent="0.35">
      <c r="A76" s="1" t="s">
        <v>780</v>
      </c>
      <c r="B76" s="228">
        <f>ROUND(N('Prior Year'!BL85), 0)</f>
        <v>0</v>
      </c>
      <c r="C76" s="228">
        <f>data!BL85</f>
        <v>0</v>
      </c>
      <c r="D76" s="228" t="s">
        <v>735</v>
      </c>
      <c r="E76" s="4" t="s">
        <v>735</v>
      </c>
      <c r="F76" s="205" t="s">
        <v>3</v>
      </c>
      <c r="G76" s="205" t="str">
        <f t="shared" si="9"/>
        <v/>
      </c>
      <c r="H76" s="6" t="s">
        <v>3</v>
      </c>
      <c r="I76" s="228" t="str">
        <f t="shared" si="7"/>
        <v/>
      </c>
      <c r="M76" s="7"/>
    </row>
    <row r="77" spans="1:13" x14ac:dyDescent="0.35">
      <c r="A77" s="1" t="s">
        <v>781</v>
      </c>
      <c r="B77" s="228">
        <f>ROUND(N('Prior Year'!BM85), 0)</f>
        <v>0</v>
      </c>
      <c r="C77" s="228">
        <f>data!BM85</f>
        <v>0</v>
      </c>
      <c r="D77" s="228" t="s">
        <v>735</v>
      </c>
      <c r="E77" s="4" t="s">
        <v>735</v>
      </c>
      <c r="F77" s="205" t="s">
        <v>3</v>
      </c>
      <c r="G77" s="205" t="str">
        <f t="shared" si="9"/>
        <v/>
      </c>
      <c r="H77" s="6" t="s">
        <v>3</v>
      </c>
      <c r="I77" s="228" t="str">
        <f t="shared" si="7"/>
        <v/>
      </c>
      <c r="M77" s="7"/>
    </row>
    <row r="78" spans="1:13" x14ac:dyDescent="0.35">
      <c r="A78" s="1" t="s">
        <v>782</v>
      </c>
      <c r="B78" s="228">
        <f>ROUND(N('Prior Year'!BN85), 0)</f>
        <v>512348</v>
      </c>
      <c r="C78" s="228">
        <f>data!BN85</f>
        <v>496144</v>
      </c>
      <c r="D78" s="228" t="s">
        <v>735</v>
      </c>
      <c r="E78" s="4" t="s">
        <v>735</v>
      </c>
      <c r="F78" s="205" t="s">
        <v>3</v>
      </c>
      <c r="G78" s="205" t="str">
        <f t="shared" si="9"/>
        <v/>
      </c>
      <c r="H78" s="6" t="s">
        <v>3</v>
      </c>
      <c r="I78" s="228" t="str">
        <f t="shared" si="7"/>
        <v/>
      </c>
      <c r="M78" s="7"/>
    </row>
    <row r="79" spans="1:13" x14ac:dyDescent="0.35">
      <c r="A79" s="1" t="s">
        <v>783</v>
      </c>
      <c r="B79" s="228">
        <f>ROUND(N('Prior Year'!BO85), 0)</f>
        <v>0</v>
      </c>
      <c r="C79" s="228">
        <f>data!BO85</f>
        <v>0</v>
      </c>
      <c r="D79" s="228" t="s">
        <v>735</v>
      </c>
      <c r="E79" s="4" t="s">
        <v>735</v>
      </c>
      <c r="F79" s="205" t="s">
        <v>3</v>
      </c>
      <c r="G79" s="205" t="str">
        <f t="shared" si="9"/>
        <v/>
      </c>
      <c r="H79" s="6" t="s">
        <v>3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784</v>
      </c>
      <c r="B80" s="228">
        <f>ROUND(N('Prior Year'!BP85), 0)</f>
        <v>0</v>
      </c>
      <c r="C80" s="228">
        <f>data!BP85</f>
        <v>0</v>
      </c>
      <c r="D80" s="228" t="s">
        <v>735</v>
      </c>
      <c r="E80" s="4" t="s">
        <v>735</v>
      </c>
      <c r="F80" s="205" t="s">
        <v>3</v>
      </c>
      <c r="G80" s="205" t="str">
        <f t="shared" si="9"/>
        <v/>
      </c>
      <c r="H80" s="6" t="s">
        <v>3</v>
      </c>
      <c r="I80" s="228" t="str">
        <f t="shared" si="10"/>
        <v/>
      </c>
      <c r="M80" s="7"/>
    </row>
    <row r="81" spans="1:13" x14ac:dyDescent="0.35">
      <c r="A81" s="1" t="s">
        <v>785</v>
      </c>
      <c r="B81" s="228">
        <f>ROUND(N('Prior Year'!BQ85), 0)</f>
        <v>0</v>
      </c>
      <c r="C81" s="228">
        <f>data!BQ85</f>
        <v>0</v>
      </c>
      <c r="D81" s="228" t="s">
        <v>735</v>
      </c>
      <c r="E81" s="4" t="s">
        <v>735</v>
      </c>
      <c r="F81" s="205" t="s">
        <v>3</v>
      </c>
      <c r="G81" s="205" t="str">
        <f t="shared" si="9"/>
        <v/>
      </c>
      <c r="H81" s="6" t="s">
        <v>3</v>
      </c>
      <c r="I81" s="228" t="str">
        <f t="shared" si="10"/>
        <v/>
      </c>
      <c r="M81" s="7"/>
    </row>
    <row r="82" spans="1:13" x14ac:dyDescent="0.35">
      <c r="A82" s="1" t="s">
        <v>786</v>
      </c>
      <c r="B82" s="228">
        <f>ROUND(N('Prior Year'!BR85), 0)</f>
        <v>252004</v>
      </c>
      <c r="C82" s="228">
        <f>data!BR85</f>
        <v>323757</v>
      </c>
      <c r="D82" s="228" t="s">
        <v>735</v>
      </c>
      <c r="E82" s="4" t="s">
        <v>735</v>
      </c>
      <c r="F82" s="205" t="s">
        <v>3</v>
      </c>
      <c r="G82" s="205" t="str">
        <f t="shared" si="9"/>
        <v/>
      </c>
      <c r="H82" s="6" t="s">
        <v>3</v>
      </c>
      <c r="I82" s="228" t="str">
        <f t="shared" si="10"/>
        <v/>
      </c>
      <c r="M82" s="7"/>
    </row>
    <row r="83" spans="1:13" x14ac:dyDescent="0.35">
      <c r="A83" s="1" t="s">
        <v>787</v>
      </c>
      <c r="B83" s="228">
        <f>ROUND(N('Prior Year'!BS85), 0)</f>
        <v>114125</v>
      </c>
      <c r="C83" s="228">
        <f>data!BS85</f>
        <v>0</v>
      </c>
      <c r="D83" s="228" t="s">
        <v>735</v>
      </c>
      <c r="E83" s="4" t="s">
        <v>735</v>
      </c>
      <c r="F83" s="205" t="s">
        <v>3</v>
      </c>
      <c r="G83" s="205" t="str">
        <f t="shared" si="9"/>
        <v/>
      </c>
      <c r="H83" s="6" t="s">
        <v>3</v>
      </c>
      <c r="I83" s="228" t="str">
        <f t="shared" si="10"/>
        <v/>
      </c>
      <c r="M83" s="7"/>
    </row>
    <row r="84" spans="1:13" x14ac:dyDescent="0.35">
      <c r="A84" s="1" t="s">
        <v>788</v>
      </c>
      <c r="B84" s="228">
        <f>ROUND(N('Prior Year'!BT85), 0)</f>
        <v>0</v>
      </c>
      <c r="C84" s="228">
        <f>data!BT85</f>
        <v>0</v>
      </c>
      <c r="D84" s="228" t="s">
        <v>735</v>
      </c>
      <c r="E84" s="4" t="s">
        <v>735</v>
      </c>
      <c r="F84" s="205" t="s">
        <v>3</v>
      </c>
      <c r="G84" s="205" t="str">
        <f t="shared" si="9"/>
        <v/>
      </c>
      <c r="H84" s="6" t="s">
        <v>3</v>
      </c>
      <c r="I84" s="228" t="str">
        <f t="shared" si="10"/>
        <v/>
      </c>
      <c r="M84" s="7"/>
    </row>
    <row r="85" spans="1:13" x14ac:dyDescent="0.35">
      <c r="A85" s="1" t="s">
        <v>789</v>
      </c>
      <c r="B85" s="228">
        <f>ROUND(N('Prior Year'!BU85), 0)</f>
        <v>0</v>
      </c>
      <c r="C85" s="228">
        <f>data!BU85</f>
        <v>0</v>
      </c>
      <c r="D85" s="228" t="s">
        <v>735</v>
      </c>
      <c r="E85" s="4" t="s">
        <v>735</v>
      </c>
      <c r="F85" s="205" t="s">
        <v>3</v>
      </c>
      <c r="G85" s="205" t="str">
        <f t="shared" si="9"/>
        <v/>
      </c>
      <c r="H85" s="6" t="s">
        <v>3</v>
      </c>
      <c r="I85" s="228" t="str">
        <f t="shared" si="10"/>
        <v/>
      </c>
      <c r="M85" s="7"/>
    </row>
    <row r="86" spans="1:13" x14ac:dyDescent="0.35">
      <c r="A86" s="1" t="s">
        <v>790</v>
      </c>
      <c r="B86" s="228">
        <f>ROUND(N('Prior Year'!BV85), 0)</f>
        <v>338189</v>
      </c>
      <c r="C86" s="228">
        <f>data!BV85</f>
        <v>359488</v>
      </c>
      <c r="D86" s="228" t="s">
        <v>735</v>
      </c>
      <c r="E86" s="4" t="s">
        <v>735</v>
      </c>
      <c r="F86" s="205" t="s">
        <v>3</v>
      </c>
      <c r="G86" s="205" t="str">
        <f t="shared" si="9"/>
        <v/>
      </c>
      <c r="H86" s="6" t="s">
        <v>3</v>
      </c>
      <c r="I86" s="228" t="str">
        <f t="shared" si="10"/>
        <v/>
      </c>
      <c r="M86" s="7"/>
    </row>
    <row r="87" spans="1:13" x14ac:dyDescent="0.35">
      <c r="A87" s="1" t="s">
        <v>791</v>
      </c>
      <c r="B87" s="228">
        <f>ROUND(N('Prior Year'!BW85), 0)</f>
        <v>2114293</v>
      </c>
      <c r="C87" s="228">
        <f>data!BW85</f>
        <v>2457600</v>
      </c>
      <c r="D87" s="228" t="s">
        <v>735</v>
      </c>
      <c r="E87" s="4" t="s">
        <v>735</v>
      </c>
      <c r="F87" s="205" t="s">
        <v>3</v>
      </c>
      <c r="G87" s="205" t="str">
        <f t="shared" si="9"/>
        <v/>
      </c>
      <c r="H87" s="6" t="s">
        <v>3</v>
      </c>
      <c r="I87" s="228" t="str">
        <f t="shared" si="10"/>
        <v/>
      </c>
      <c r="M87" s="7"/>
    </row>
    <row r="88" spans="1:13" x14ac:dyDescent="0.35">
      <c r="A88" s="1" t="s">
        <v>792</v>
      </c>
      <c r="B88" s="228">
        <f>ROUND(N('Prior Year'!BX85), 0)</f>
        <v>15967</v>
      </c>
      <c r="C88" s="228">
        <f>data!BX85</f>
        <v>38618</v>
      </c>
      <c r="D88" s="228" t="s">
        <v>735</v>
      </c>
      <c r="E88" s="4" t="s">
        <v>735</v>
      </c>
      <c r="F88" s="205" t="s">
        <v>3</v>
      </c>
      <c r="G88" s="205" t="str">
        <f t="shared" si="9"/>
        <v/>
      </c>
      <c r="H88" s="6" t="s">
        <v>3</v>
      </c>
      <c r="I88" s="228" t="str">
        <f t="shared" si="10"/>
        <v/>
      </c>
      <c r="M88" s="7"/>
    </row>
    <row r="89" spans="1:13" x14ac:dyDescent="0.35">
      <c r="A89" s="1" t="s">
        <v>793</v>
      </c>
      <c r="B89" s="228">
        <f>ROUND(N('Prior Year'!BY85), 0)</f>
        <v>759540</v>
      </c>
      <c r="C89" s="228">
        <f>data!BY85</f>
        <v>320695</v>
      </c>
      <c r="D89" s="228" t="s">
        <v>735</v>
      </c>
      <c r="E89" s="4" t="s">
        <v>735</v>
      </c>
      <c r="F89" s="205" t="s">
        <v>3</v>
      </c>
      <c r="G89" s="205" t="str">
        <f t="shared" si="9"/>
        <v/>
      </c>
      <c r="H89" s="6" t="s">
        <v>3</v>
      </c>
      <c r="I89" s="228" t="str">
        <f t="shared" si="10"/>
        <v/>
      </c>
      <c r="M89" s="7"/>
    </row>
    <row r="90" spans="1:13" x14ac:dyDescent="0.35">
      <c r="A90" s="1" t="s">
        <v>794</v>
      </c>
      <c r="B90" s="228">
        <f>ROUND(N('Prior Year'!BZ85), 0)</f>
        <v>0</v>
      </c>
      <c r="C90" s="228">
        <f>data!BZ85</f>
        <v>0</v>
      </c>
      <c r="D90" s="228" t="s">
        <v>735</v>
      </c>
      <c r="E90" s="4" t="s">
        <v>735</v>
      </c>
      <c r="F90" s="205" t="s">
        <v>3</v>
      </c>
      <c r="G90" s="205" t="str">
        <f t="shared" si="9"/>
        <v/>
      </c>
      <c r="H90" s="6" t="s">
        <v>3</v>
      </c>
      <c r="I90" s="228" t="str">
        <f t="shared" si="10"/>
        <v/>
      </c>
      <c r="M90" s="7"/>
    </row>
    <row r="91" spans="1:13" x14ac:dyDescent="0.35">
      <c r="A91" s="1" t="s">
        <v>795</v>
      </c>
      <c r="B91" s="228">
        <f>ROUND(N('Prior Year'!CA85), 0)</f>
        <v>26436</v>
      </c>
      <c r="C91" s="228">
        <f>data!CA85</f>
        <v>27539</v>
      </c>
      <c r="D91" s="228" t="s">
        <v>735</v>
      </c>
      <c r="E91" s="4" t="s">
        <v>735</v>
      </c>
      <c r="F91" s="205" t="s">
        <v>3</v>
      </c>
      <c r="G91" s="205" t="str">
        <f t="shared" si="9"/>
        <v/>
      </c>
      <c r="H91" s="6" t="s">
        <v>3</v>
      </c>
      <c r="I91" s="228" t="str">
        <f t="shared" si="10"/>
        <v/>
      </c>
      <c r="M91" s="7"/>
    </row>
    <row r="92" spans="1:13" x14ac:dyDescent="0.35">
      <c r="A92" s="1" t="s">
        <v>796</v>
      </c>
      <c r="B92" s="228">
        <f>ROUND(N('Prior Year'!CB85), 0)</f>
        <v>0</v>
      </c>
      <c r="C92" s="228">
        <f>data!CB85</f>
        <v>0</v>
      </c>
      <c r="D92" s="228" t="s">
        <v>735</v>
      </c>
      <c r="E92" s="4" t="s">
        <v>735</v>
      </c>
      <c r="F92" s="205" t="s">
        <v>3</v>
      </c>
      <c r="G92" s="205" t="str">
        <f t="shared" si="9"/>
        <v/>
      </c>
      <c r="H92" s="6" t="s">
        <v>3</v>
      </c>
      <c r="I92" s="228" t="str">
        <f t="shared" si="10"/>
        <v/>
      </c>
      <c r="M92" s="7"/>
    </row>
    <row r="93" spans="1:13" x14ac:dyDescent="0.35">
      <c r="A93" s="1" t="s">
        <v>797</v>
      </c>
      <c r="B93" s="228">
        <f>ROUND(N('Prior Year'!CC85), 0)</f>
        <v>0</v>
      </c>
      <c r="C93" s="228">
        <f>data!CC85</f>
        <v>118657</v>
      </c>
      <c r="D93" s="228" t="s">
        <v>735</v>
      </c>
      <c r="E93" s="4" t="s">
        <v>735</v>
      </c>
      <c r="F93" s="205" t="s">
        <v>3</v>
      </c>
      <c r="G93" s="205" t="str">
        <f t="shared" si="9"/>
        <v/>
      </c>
      <c r="H93" s="6" t="s">
        <v>3</v>
      </c>
      <c r="I93" s="228" t="str">
        <f t="shared" si="10"/>
        <v/>
      </c>
      <c r="M93" s="7"/>
    </row>
    <row r="94" spans="1:13" x14ac:dyDescent="0.35">
      <c r="A94" s="1" t="s">
        <v>798</v>
      </c>
      <c r="B94" s="228">
        <f>ROUND(N('Prior Year'!CD85), 0)</f>
        <v>-2926437</v>
      </c>
      <c r="C94" s="228">
        <f>data!CD85</f>
        <v>-2526274</v>
      </c>
      <c r="D94" s="228" t="s">
        <v>735</v>
      </c>
      <c r="E94" s="4" t="s">
        <v>735</v>
      </c>
      <c r="F94" s="205" t="s">
        <v>3</v>
      </c>
      <c r="G94" s="205" t="str">
        <f t="shared" si="9"/>
        <v/>
      </c>
      <c r="H94" s="6" t="s">
        <v>3</v>
      </c>
      <c r="I94" s="228" t="str">
        <f t="shared" si="10"/>
        <v/>
      </c>
      <c r="M94" s="7"/>
    </row>
  </sheetData>
  <pageMargins left="0.7" right="0.7" top="0.75" bottom="0.75" header="0.3" footer="0.3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  <pageSetUpPr fitToPage="1"/>
  </sheetPr>
  <dimension ref="A1:D180"/>
  <sheetViews>
    <sheetView view="pageBreakPreview" topLeftCell="A132" zoomScaleNormal="100" zoomScaleSheetLayoutView="100" workbookViewId="0">
      <selection activeCell="F20" sqref="F20"/>
    </sheetView>
  </sheetViews>
  <sheetFormatPr defaultRowHeight="12.5" x14ac:dyDescent="0.25"/>
  <cols>
    <col min="1" max="1" width="18.25" customWidth="1"/>
    <col min="2" max="2" width="8.33203125" bestFit="1" customWidth="1"/>
    <col min="3" max="3" width="21.6640625" customWidth="1"/>
    <col min="4" max="4" width="12" bestFit="1" customWidth="1"/>
    <col min="5" max="5" width="10" bestFit="1" customWidth="1"/>
  </cols>
  <sheetData>
    <row r="1" spans="1:4" ht="14.5" x14ac:dyDescent="0.35">
      <c r="A1" s="268" t="s">
        <v>799</v>
      </c>
      <c r="B1" s="267"/>
      <c r="C1" s="267"/>
      <c r="D1" s="267"/>
    </row>
    <row r="2" spans="1:4" ht="14.5" x14ac:dyDescent="0.35">
      <c r="A2" s="267"/>
      <c r="B2" s="267"/>
      <c r="C2" s="267"/>
      <c r="D2" s="267"/>
    </row>
    <row r="3" spans="1:4" ht="14.5" x14ac:dyDescent="0.35">
      <c r="A3" s="270" t="s">
        <v>800</v>
      </c>
      <c r="B3" s="267"/>
      <c r="C3" s="267"/>
      <c r="D3" s="267"/>
    </row>
    <row r="4" spans="1:4" ht="14.5" x14ac:dyDescent="0.35">
      <c r="A4" s="267" t="s">
        <v>801</v>
      </c>
      <c r="B4" s="267"/>
      <c r="C4" s="267"/>
      <c r="D4" s="267"/>
    </row>
    <row r="5" spans="1:4" ht="14.5" x14ac:dyDescent="0.35">
      <c r="A5" s="1" t="s">
        <v>1347</v>
      </c>
      <c r="B5" s="267"/>
      <c r="C5" s="267"/>
      <c r="D5" s="267"/>
    </row>
    <row r="6" spans="1:4" ht="14.5" x14ac:dyDescent="0.35">
      <c r="A6" s="267"/>
      <c r="B6" s="267"/>
      <c r="C6" s="267"/>
      <c r="D6" s="267"/>
    </row>
    <row r="7" spans="1:4" ht="14.5" x14ac:dyDescent="0.35">
      <c r="A7" s="267" t="s">
        <v>802</v>
      </c>
      <c r="B7" s="267"/>
      <c r="C7" s="267"/>
      <c r="D7" s="267"/>
    </row>
    <row r="8" spans="1:4" ht="14.5" x14ac:dyDescent="0.35">
      <c r="A8" s="304" t="s">
        <v>1348</v>
      </c>
      <c r="B8" s="267"/>
      <c r="C8" s="267"/>
      <c r="D8" s="267"/>
    </row>
    <row r="9" spans="1:4" ht="14.5" x14ac:dyDescent="0.35">
      <c r="A9" s="267"/>
      <c r="B9" s="267"/>
      <c r="C9" s="267"/>
      <c r="D9" s="267"/>
    </row>
    <row r="10" spans="1:4" ht="14.5" x14ac:dyDescent="0.35">
      <c r="A10" s="267"/>
      <c r="B10" s="267"/>
      <c r="C10" s="267"/>
      <c r="D10" s="267"/>
    </row>
    <row r="11" spans="1:4" ht="14.5" x14ac:dyDescent="0.35">
      <c r="A11" s="269" t="s">
        <v>803</v>
      </c>
      <c r="B11" s="267"/>
      <c r="C11" s="267"/>
      <c r="D11" s="267">
        <f>N(data!C380)</f>
        <v>536291</v>
      </c>
    </row>
    <row r="12" spans="1:4" ht="14.5" x14ac:dyDescent="0.35">
      <c r="A12" s="269" t="s">
        <v>804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4.5" x14ac:dyDescent="0.35">
      <c r="A13" s="267"/>
      <c r="B13" s="267"/>
      <c r="C13" s="267"/>
      <c r="D13" s="267"/>
    </row>
    <row r="14" spans="1:4" ht="14.5" x14ac:dyDescent="0.35">
      <c r="A14" s="269" t="s">
        <v>805</v>
      </c>
      <c r="B14" s="267"/>
      <c r="C14" s="267"/>
      <c r="D14" s="269" t="s">
        <v>806</v>
      </c>
    </row>
    <row r="15" spans="1:4" ht="14.5" x14ac:dyDescent="0.35">
      <c r="A15" s="267"/>
      <c r="B15" s="267"/>
      <c r="C15" s="267"/>
      <c r="D15" s="267"/>
    </row>
    <row r="16" spans="1:4" ht="14.5" x14ac:dyDescent="0.35">
      <c r="A16" s="267">
        <v>6050</v>
      </c>
      <c r="B16" s="267"/>
      <c r="C16" s="267" t="s">
        <v>1557</v>
      </c>
      <c r="D16" s="267"/>
    </row>
    <row r="17" spans="1:4" ht="14.5" x14ac:dyDescent="0.35">
      <c r="A17" s="267"/>
      <c r="B17" s="267"/>
      <c r="C17" s="267"/>
      <c r="D17" s="267"/>
    </row>
    <row r="18" spans="1:4" ht="14.5" x14ac:dyDescent="0.35">
      <c r="A18" s="267"/>
      <c r="B18" s="267"/>
      <c r="C18" s="267"/>
    </row>
    <row r="19" spans="1:4" ht="14.5" x14ac:dyDescent="0.35">
      <c r="A19" s="267" t="s">
        <v>1558</v>
      </c>
      <c r="B19" s="267"/>
      <c r="C19" s="267"/>
    </row>
    <row r="20" spans="1:4" ht="14.5" x14ac:dyDescent="0.35">
      <c r="A20" s="267"/>
      <c r="B20" s="267" t="s">
        <v>1559</v>
      </c>
      <c r="C20" s="267" t="s">
        <v>1560</v>
      </c>
      <c r="D20" s="322">
        <v>-335249</v>
      </c>
    </row>
    <row r="21" spans="1:4" ht="14.5" x14ac:dyDescent="0.35">
      <c r="A21" s="267"/>
      <c r="B21" s="267" t="s">
        <v>1561</v>
      </c>
      <c r="C21" s="267" t="s">
        <v>1562</v>
      </c>
      <c r="D21" s="322">
        <v>-15282</v>
      </c>
    </row>
    <row r="22" spans="1:4" ht="14.5" x14ac:dyDescent="0.35">
      <c r="A22" s="267"/>
      <c r="B22" s="267" t="s">
        <v>1563</v>
      </c>
      <c r="C22" s="267" t="s">
        <v>1564</v>
      </c>
      <c r="D22" s="322">
        <v>-500</v>
      </c>
    </row>
    <row r="23" spans="1:4" ht="14.5" x14ac:dyDescent="0.35">
      <c r="A23" s="267"/>
      <c r="B23" s="267" t="s">
        <v>1565</v>
      </c>
      <c r="C23" s="267" t="s">
        <v>1566</v>
      </c>
      <c r="D23" s="322">
        <v>-2851</v>
      </c>
    </row>
    <row r="24" spans="1:4" ht="14.5" x14ac:dyDescent="0.35">
      <c r="A24" s="267"/>
      <c r="B24" s="267" t="s">
        <v>1567</v>
      </c>
      <c r="C24" s="267" t="s">
        <v>1568</v>
      </c>
      <c r="D24" s="322">
        <v>373</v>
      </c>
    </row>
    <row r="25" spans="1:4" ht="14.5" x14ac:dyDescent="0.35">
      <c r="A25" s="267"/>
      <c r="B25" s="267" t="s">
        <v>1569</v>
      </c>
      <c r="C25" s="267" t="s">
        <v>1570</v>
      </c>
      <c r="D25" s="322">
        <v>-150699</v>
      </c>
    </row>
    <row r="26" spans="1:4" ht="14.5" x14ac:dyDescent="0.35">
      <c r="A26" s="267"/>
      <c r="B26" s="267" t="s">
        <v>1571</v>
      </c>
      <c r="C26" s="267" t="s">
        <v>1572</v>
      </c>
      <c r="D26" s="322">
        <v>-10869</v>
      </c>
    </row>
    <row r="27" spans="1:4" ht="14.5" x14ac:dyDescent="0.35">
      <c r="A27" s="267"/>
      <c r="B27" s="267" t="s">
        <v>1573</v>
      </c>
      <c r="C27" s="267" t="s">
        <v>1574</v>
      </c>
      <c r="D27" s="325">
        <v>-21214</v>
      </c>
    </row>
    <row r="28" spans="1:4" ht="14.5" x14ac:dyDescent="0.35">
      <c r="A28" s="267" t="s">
        <v>1575</v>
      </c>
      <c r="B28" s="267"/>
      <c r="C28" s="267"/>
      <c r="D28" s="322">
        <f>SUM(D20:D27)</f>
        <v>-536291</v>
      </c>
    </row>
    <row r="29" spans="1:4" ht="14.5" x14ac:dyDescent="0.35">
      <c r="A29" s="267"/>
      <c r="B29" s="267"/>
      <c r="C29" s="267"/>
      <c r="D29" s="267"/>
    </row>
    <row r="30" spans="1:4" ht="14.5" x14ac:dyDescent="0.35">
      <c r="A30" s="267"/>
      <c r="B30" s="267"/>
      <c r="C30" s="267"/>
      <c r="D30" s="267"/>
    </row>
    <row r="31" spans="1:4" ht="14.5" x14ac:dyDescent="0.35">
      <c r="A31" s="269" t="s">
        <v>807</v>
      </c>
      <c r="B31" s="267"/>
      <c r="C31" s="267"/>
      <c r="D31" s="267">
        <f>N(data!C414)</f>
        <v>386487</v>
      </c>
    </row>
    <row r="32" spans="1:4" ht="14.5" x14ac:dyDescent="0.35">
      <c r="A32" s="269" t="s">
        <v>804</v>
      </c>
      <c r="B32" s="267"/>
      <c r="C32" s="267"/>
      <c r="D32" s="267" t="str">
        <f>IF(OR(N(data!C414)&gt;1000000,N(data!C414)/(N(data!D416))&gt;0.01),"Yes","No")</f>
        <v>Yes</v>
      </c>
    </row>
    <row r="33" spans="1:4" ht="14.5" x14ac:dyDescent="0.35">
      <c r="A33" s="267"/>
      <c r="B33" s="267"/>
      <c r="C33" s="267"/>
      <c r="D33" s="267"/>
    </row>
    <row r="34" spans="1:4" ht="14.5" x14ac:dyDescent="0.35">
      <c r="A34" s="269" t="s">
        <v>805</v>
      </c>
      <c r="B34" s="267"/>
      <c r="C34" s="267"/>
      <c r="D34" s="269" t="s">
        <v>806</v>
      </c>
    </row>
    <row r="35" spans="1:4" ht="14.5" x14ac:dyDescent="0.35">
      <c r="A35" s="267"/>
      <c r="B35" s="267"/>
      <c r="C35" s="267"/>
      <c r="D35" s="267"/>
    </row>
    <row r="36" spans="1:4" ht="29" x14ac:dyDescent="0.35">
      <c r="A36" s="318" t="s">
        <v>1362</v>
      </c>
      <c r="B36" s="318" t="s">
        <v>3</v>
      </c>
      <c r="C36" s="318" t="s">
        <v>1363</v>
      </c>
      <c r="D36" s="319"/>
    </row>
    <row r="37" spans="1:4" ht="14.5" x14ac:dyDescent="0.35">
      <c r="A37" s="321" t="s">
        <v>3</v>
      </c>
      <c r="B37" s="321" t="s">
        <v>3</v>
      </c>
      <c r="C37" s="321" t="s">
        <v>3</v>
      </c>
      <c r="D37" s="322"/>
    </row>
    <row r="38" spans="1:4" ht="14.5" x14ac:dyDescent="0.35">
      <c r="A38" s="321" t="s">
        <v>1364</v>
      </c>
      <c r="B38" s="321" t="s">
        <v>3</v>
      </c>
      <c r="C38" s="321" t="s">
        <v>116</v>
      </c>
      <c r="D38" s="322"/>
    </row>
    <row r="39" spans="1:4" ht="29" x14ac:dyDescent="0.35">
      <c r="A39" s="321" t="s">
        <v>3</v>
      </c>
      <c r="B39" s="321" t="s">
        <v>1365</v>
      </c>
      <c r="C39" s="321" t="s">
        <v>1366</v>
      </c>
      <c r="D39" s="322">
        <v>588</v>
      </c>
    </row>
    <row r="40" spans="1:4" ht="29" x14ac:dyDescent="0.35">
      <c r="A40" s="321" t="s">
        <v>3</v>
      </c>
      <c r="B40" s="321" t="s">
        <v>1367</v>
      </c>
      <c r="C40" s="321" t="s">
        <v>1368</v>
      </c>
      <c r="D40" s="322">
        <v>18081</v>
      </c>
    </row>
    <row r="41" spans="1:4" ht="29" x14ac:dyDescent="0.35">
      <c r="A41" s="321" t="s">
        <v>3</v>
      </c>
      <c r="B41" s="321" t="s">
        <v>1369</v>
      </c>
      <c r="C41" s="321" t="s">
        <v>1370</v>
      </c>
      <c r="D41" s="322">
        <v>4516</v>
      </c>
    </row>
    <row r="42" spans="1:4" ht="30.5" x14ac:dyDescent="0.5">
      <c r="A42" s="321" t="s">
        <v>3</v>
      </c>
      <c r="B42" s="321" t="s">
        <v>1371</v>
      </c>
      <c r="C42" s="321" t="s">
        <v>1372</v>
      </c>
      <c r="D42" s="320">
        <v>3057</v>
      </c>
    </row>
    <row r="43" spans="1:4" ht="29" x14ac:dyDescent="0.35">
      <c r="A43" s="321" t="s">
        <v>1373</v>
      </c>
      <c r="B43" s="321" t="s">
        <v>3</v>
      </c>
      <c r="C43" s="321" t="s">
        <v>3</v>
      </c>
      <c r="D43" s="322">
        <v>26242</v>
      </c>
    </row>
    <row r="44" spans="1:4" ht="14.5" x14ac:dyDescent="0.35">
      <c r="A44" s="321" t="s">
        <v>3</v>
      </c>
      <c r="B44" s="321" t="s">
        <v>3</v>
      </c>
      <c r="C44" s="321" t="s">
        <v>3</v>
      </c>
      <c r="D44" s="322"/>
    </row>
    <row r="45" spans="1:4" ht="14.5" x14ac:dyDescent="0.35">
      <c r="A45" s="321" t="s">
        <v>1374</v>
      </c>
      <c r="B45" s="321" t="s">
        <v>3</v>
      </c>
      <c r="C45" s="321" t="s">
        <v>332</v>
      </c>
      <c r="D45" s="322"/>
    </row>
    <row r="46" spans="1:4" ht="30.5" x14ac:dyDescent="0.5">
      <c r="A46" s="321" t="s">
        <v>3</v>
      </c>
      <c r="B46" s="321" t="s">
        <v>1375</v>
      </c>
      <c r="C46" s="321" t="s">
        <v>1376</v>
      </c>
      <c r="D46" s="320">
        <v>288</v>
      </c>
    </row>
    <row r="47" spans="1:4" ht="29" x14ac:dyDescent="0.35">
      <c r="A47" s="321" t="s">
        <v>1377</v>
      </c>
      <c r="B47" s="321" t="s">
        <v>3</v>
      </c>
      <c r="C47" s="321" t="s">
        <v>3</v>
      </c>
      <c r="D47" s="322">
        <v>288</v>
      </c>
    </row>
    <row r="48" spans="1:4" ht="14.5" x14ac:dyDescent="0.35">
      <c r="A48" s="321" t="s">
        <v>3</v>
      </c>
      <c r="B48" s="321" t="s">
        <v>3</v>
      </c>
      <c r="C48" s="321" t="s">
        <v>3</v>
      </c>
      <c r="D48" s="322"/>
    </row>
    <row r="49" spans="1:4" ht="14.5" x14ac:dyDescent="0.35">
      <c r="A49" s="321" t="s">
        <v>1378</v>
      </c>
      <c r="B49" s="321" t="s">
        <v>3</v>
      </c>
      <c r="C49" s="321" t="s">
        <v>616</v>
      </c>
      <c r="D49" s="322"/>
    </row>
    <row r="50" spans="1:4" ht="29" x14ac:dyDescent="0.35">
      <c r="A50" s="321" t="s">
        <v>3</v>
      </c>
      <c r="B50" s="321" t="s">
        <v>1379</v>
      </c>
      <c r="C50" s="321" t="s">
        <v>1380</v>
      </c>
      <c r="D50" s="322">
        <v>1608</v>
      </c>
    </row>
    <row r="51" spans="1:4" ht="29" x14ac:dyDescent="0.35">
      <c r="A51" s="321" t="s">
        <v>3</v>
      </c>
      <c r="B51" s="321" t="s">
        <v>1381</v>
      </c>
      <c r="C51" s="321" t="s">
        <v>1382</v>
      </c>
      <c r="D51" s="322">
        <v>1169</v>
      </c>
    </row>
    <row r="52" spans="1:4" ht="29" x14ac:dyDescent="0.35">
      <c r="A52" s="321" t="s">
        <v>3</v>
      </c>
      <c r="B52" s="321" t="s">
        <v>1383</v>
      </c>
      <c r="C52" s="321" t="s">
        <v>1384</v>
      </c>
      <c r="D52" s="322">
        <v>7981</v>
      </c>
    </row>
    <row r="53" spans="1:4" ht="29" x14ac:dyDescent="0.35">
      <c r="A53" s="321" t="s">
        <v>3</v>
      </c>
      <c r="B53" s="321" t="s">
        <v>1385</v>
      </c>
      <c r="C53" s="321" t="s">
        <v>1386</v>
      </c>
      <c r="D53" s="322">
        <v>13405</v>
      </c>
    </row>
    <row r="54" spans="1:4" ht="29" x14ac:dyDescent="0.35">
      <c r="A54" s="321" t="s">
        <v>3</v>
      </c>
      <c r="B54" s="321" t="s">
        <v>1387</v>
      </c>
      <c r="C54" s="321" t="s">
        <v>1388</v>
      </c>
      <c r="D54" s="322">
        <v>1851</v>
      </c>
    </row>
    <row r="55" spans="1:4" ht="29" x14ac:dyDescent="0.35">
      <c r="A55" s="321" t="s">
        <v>3</v>
      </c>
      <c r="B55" s="321" t="s">
        <v>1389</v>
      </c>
      <c r="C55" s="321" t="s">
        <v>1390</v>
      </c>
      <c r="D55" s="322">
        <v>0</v>
      </c>
    </row>
    <row r="56" spans="1:4" ht="29" x14ac:dyDescent="0.35">
      <c r="A56" s="321" t="s">
        <v>3</v>
      </c>
      <c r="B56" s="321" t="s">
        <v>1391</v>
      </c>
      <c r="C56" s="321" t="s">
        <v>1392</v>
      </c>
      <c r="D56" s="322">
        <v>9194</v>
      </c>
    </row>
    <row r="57" spans="1:4" ht="30.5" x14ac:dyDescent="0.5">
      <c r="A57" s="321" t="s">
        <v>3</v>
      </c>
      <c r="B57" s="321" t="s">
        <v>1393</v>
      </c>
      <c r="C57" s="321" t="s">
        <v>1394</v>
      </c>
      <c r="D57" s="320">
        <v>300</v>
      </c>
    </row>
    <row r="58" spans="1:4" ht="29" x14ac:dyDescent="0.35">
      <c r="A58" s="321" t="s">
        <v>1395</v>
      </c>
      <c r="B58" s="321" t="s">
        <v>3</v>
      </c>
      <c r="C58" s="321" t="s">
        <v>3</v>
      </c>
      <c r="D58" s="322">
        <v>35508</v>
      </c>
    </row>
    <row r="59" spans="1:4" ht="14.5" x14ac:dyDescent="0.35">
      <c r="A59" s="321" t="s">
        <v>3</v>
      </c>
      <c r="B59" s="321" t="s">
        <v>3</v>
      </c>
      <c r="C59" s="321" t="s">
        <v>3</v>
      </c>
      <c r="D59" s="322"/>
    </row>
    <row r="60" spans="1:4" ht="14.5" x14ac:dyDescent="0.35">
      <c r="A60" s="321" t="s">
        <v>1396</v>
      </c>
      <c r="B60" s="321" t="s">
        <v>3</v>
      </c>
      <c r="C60" s="321" t="s">
        <v>625</v>
      </c>
      <c r="D60" s="322"/>
    </row>
    <row r="61" spans="1:4" ht="29" x14ac:dyDescent="0.35">
      <c r="A61" s="321" t="s">
        <v>3</v>
      </c>
      <c r="B61" s="321" t="s">
        <v>1397</v>
      </c>
      <c r="C61" s="321" t="s">
        <v>1398</v>
      </c>
      <c r="D61" s="322">
        <v>2180</v>
      </c>
    </row>
    <row r="62" spans="1:4" ht="29" x14ac:dyDescent="0.35">
      <c r="A62" s="321" t="s">
        <v>3</v>
      </c>
      <c r="B62" s="321" t="s">
        <v>1399</v>
      </c>
      <c r="C62" s="321" t="s">
        <v>1400</v>
      </c>
      <c r="D62" s="322">
        <v>60</v>
      </c>
    </row>
    <row r="63" spans="1:4" ht="30.5" x14ac:dyDescent="0.5">
      <c r="A63" s="321" t="s">
        <v>3</v>
      </c>
      <c r="B63" s="321" t="s">
        <v>1401</v>
      </c>
      <c r="C63" s="321" t="s">
        <v>1402</v>
      </c>
      <c r="D63" s="320">
        <v>150</v>
      </c>
    </row>
    <row r="64" spans="1:4" ht="29" x14ac:dyDescent="0.35">
      <c r="A64" s="321" t="s">
        <v>1403</v>
      </c>
      <c r="B64" s="321" t="s">
        <v>3</v>
      </c>
      <c r="C64" s="321" t="s">
        <v>3</v>
      </c>
      <c r="D64" s="322">
        <v>2390</v>
      </c>
    </row>
    <row r="65" spans="1:4" ht="14.5" x14ac:dyDescent="0.35">
      <c r="A65" s="321" t="s">
        <v>3</v>
      </c>
      <c r="B65" s="321" t="s">
        <v>3</v>
      </c>
      <c r="C65" s="321" t="s">
        <v>3</v>
      </c>
      <c r="D65" s="322"/>
    </row>
    <row r="66" spans="1:4" ht="14.5" x14ac:dyDescent="0.35">
      <c r="A66" s="321" t="s">
        <v>1404</v>
      </c>
      <c r="B66" s="321" t="s">
        <v>3</v>
      </c>
      <c r="C66" s="321" t="s">
        <v>132</v>
      </c>
      <c r="D66" s="322"/>
    </row>
    <row r="67" spans="1:4" ht="29" x14ac:dyDescent="0.35">
      <c r="A67" s="321" t="s">
        <v>3</v>
      </c>
      <c r="B67" s="321" t="s">
        <v>1405</v>
      </c>
      <c r="C67" s="321" t="s">
        <v>1406</v>
      </c>
      <c r="D67" s="322">
        <v>0</v>
      </c>
    </row>
    <row r="68" spans="1:4" ht="29" x14ac:dyDescent="0.35">
      <c r="A68" s="321" t="s">
        <v>3</v>
      </c>
      <c r="B68" s="321" t="s">
        <v>1407</v>
      </c>
      <c r="C68" s="321" t="s">
        <v>1408</v>
      </c>
      <c r="D68" s="322">
        <v>13</v>
      </c>
    </row>
    <row r="69" spans="1:4" ht="29" x14ac:dyDescent="0.35">
      <c r="A69" s="321" t="s">
        <v>3</v>
      </c>
      <c r="B69" s="321" t="s">
        <v>1409</v>
      </c>
      <c r="C69" s="321" t="s">
        <v>1410</v>
      </c>
      <c r="D69" s="322">
        <v>605</v>
      </c>
    </row>
    <row r="70" spans="1:4" ht="30.5" x14ac:dyDescent="0.5">
      <c r="A70" s="321" t="s">
        <v>3</v>
      </c>
      <c r="B70" s="321" t="s">
        <v>1411</v>
      </c>
      <c r="C70" s="321" t="s">
        <v>1412</v>
      </c>
      <c r="D70" s="320">
        <v>0</v>
      </c>
    </row>
    <row r="71" spans="1:4" ht="29" x14ac:dyDescent="0.35">
      <c r="A71" s="321" t="s">
        <v>1413</v>
      </c>
      <c r="B71" s="321" t="s">
        <v>3</v>
      </c>
      <c r="C71" s="321" t="s">
        <v>3</v>
      </c>
      <c r="D71" s="322">
        <f>SUM(D67:D70)</f>
        <v>618</v>
      </c>
    </row>
    <row r="72" spans="1:4" ht="14.5" x14ac:dyDescent="0.35">
      <c r="A72" s="321" t="s">
        <v>3</v>
      </c>
      <c r="B72" s="321" t="s">
        <v>3</v>
      </c>
      <c r="C72" s="321" t="s">
        <v>3</v>
      </c>
      <c r="D72" s="322"/>
    </row>
    <row r="73" spans="1:4" ht="14.5" x14ac:dyDescent="0.35">
      <c r="A73" s="321" t="s">
        <v>3</v>
      </c>
      <c r="B73" s="321" t="s">
        <v>3</v>
      </c>
      <c r="C73" s="321" t="s">
        <v>3</v>
      </c>
      <c r="D73" s="322"/>
    </row>
    <row r="74" spans="1:4" ht="14.5" x14ac:dyDescent="0.35">
      <c r="A74" s="321" t="s">
        <v>1414</v>
      </c>
      <c r="B74" s="321" t="s">
        <v>3</v>
      </c>
      <c r="C74" s="321" t="s">
        <v>135</v>
      </c>
      <c r="D74" s="322"/>
    </row>
    <row r="75" spans="1:4" ht="29" x14ac:dyDescent="0.35">
      <c r="A75" s="321" t="s">
        <v>3</v>
      </c>
      <c r="B75" s="321" t="s">
        <v>1415</v>
      </c>
      <c r="C75" s="321" t="s">
        <v>1416</v>
      </c>
      <c r="D75" s="322">
        <v>224</v>
      </c>
    </row>
    <row r="76" spans="1:4" ht="29" x14ac:dyDescent="0.35">
      <c r="A76" s="321" t="s">
        <v>1417</v>
      </c>
      <c r="B76" s="321" t="s">
        <v>3</v>
      </c>
      <c r="C76" s="321" t="s">
        <v>3</v>
      </c>
      <c r="D76" s="322">
        <f>SUM(D75)</f>
        <v>224</v>
      </c>
    </row>
    <row r="77" spans="1:4" ht="14.5" x14ac:dyDescent="0.35">
      <c r="A77" s="321" t="s">
        <v>3</v>
      </c>
      <c r="B77" s="321" t="s">
        <v>3</v>
      </c>
      <c r="C77" s="321" t="s">
        <v>3</v>
      </c>
      <c r="D77" s="322"/>
    </row>
    <row r="78" spans="1:4" ht="14.5" x14ac:dyDescent="0.35">
      <c r="A78" s="321" t="s">
        <v>1418</v>
      </c>
      <c r="B78" s="321" t="s">
        <v>3</v>
      </c>
      <c r="C78" s="321" t="s">
        <v>1419</v>
      </c>
      <c r="D78" s="322"/>
    </row>
    <row r="79" spans="1:4" ht="29" x14ac:dyDescent="0.35">
      <c r="A79" s="321" t="s">
        <v>3</v>
      </c>
      <c r="B79" s="321" t="s">
        <v>1420</v>
      </c>
      <c r="C79" s="321" t="s">
        <v>1421</v>
      </c>
      <c r="D79" s="322">
        <v>251</v>
      </c>
    </row>
    <row r="80" spans="1:4" ht="29" x14ac:dyDescent="0.35">
      <c r="A80" s="321" t="s">
        <v>3</v>
      </c>
      <c r="B80" s="321" t="s">
        <v>1422</v>
      </c>
      <c r="C80" s="321" t="s">
        <v>1423</v>
      </c>
      <c r="D80" s="322">
        <v>1235</v>
      </c>
    </row>
    <row r="81" spans="1:4" ht="29" x14ac:dyDescent="0.35">
      <c r="A81" s="321" t="s">
        <v>3</v>
      </c>
      <c r="B81" s="321" t="s">
        <v>1424</v>
      </c>
      <c r="C81" s="321" t="s">
        <v>1425</v>
      </c>
      <c r="D81" s="322">
        <v>977</v>
      </c>
    </row>
    <row r="82" spans="1:4" ht="29" x14ac:dyDescent="0.35">
      <c r="A82" s="321" t="s">
        <v>3</v>
      </c>
      <c r="B82" s="321" t="s">
        <v>1426</v>
      </c>
      <c r="C82" s="321" t="s">
        <v>1427</v>
      </c>
      <c r="D82" s="322">
        <v>624</v>
      </c>
    </row>
    <row r="83" spans="1:4" ht="29" x14ac:dyDescent="0.35">
      <c r="A83" s="321" t="s">
        <v>3</v>
      </c>
      <c r="B83" s="321" t="s">
        <v>1428</v>
      </c>
      <c r="C83" s="321" t="s">
        <v>1429</v>
      </c>
      <c r="D83" s="322">
        <v>255</v>
      </c>
    </row>
    <row r="84" spans="1:4" ht="30.5" x14ac:dyDescent="0.5">
      <c r="A84" s="321" t="s">
        <v>3</v>
      </c>
      <c r="B84" s="321" t="s">
        <v>1430</v>
      </c>
      <c r="C84" s="321" t="s">
        <v>1431</v>
      </c>
      <c r="D84" s="320">
        <v>0</v>
      </c>
    </row>
    <row r="85" spans="1:4" ht="29" x14ac:dyDescent="0.35">
      <c r="A85" s="321" t="s">
        <v>1432</v>
      </c>
      <c r="B85" s="321" t="s">
        <v>3</v>
      </c>
      <c r="C85" s="321" t="s">
        <v>3</v>
      </c>
      <c r="D85" s="322">
        <f>SUM(D79:D84)</f>
        <v>3342</v>
      </c>
    </row>
    <row r="86" spans="1:4" ht="14.5" x14ac:dyDescent="0.35">
      <c r="A86" s="321" t="s">
        <v>3</v>
      </c>
      <c r="B86" s="321" t="s">
        <v>3</v>
      </c>
      <c r="C86" s="321" t="s">
        <v>3</v>
      </c>
      <c r="D86" s="322"/>
    </row>
    <row r="87" spans="1:4" ht="14.5" x14ac:dyDescent="0.35">
      <c r="A87" s="321" t="s">
        <v>1433</v>
      </c>
      <c r="B87" s="321" t="s">
        <v>3</v>
      </c>
      <c r="C87" s="321" t="s">
        <v>1434</v>
      </c>
      <c r="D87" s="322"/>
    </row>
    <row r="88" spans="1:4" ht="29" x14ac:dyDescent="0.35">
      <c r="A88" s="321" t="s">
        <v>3</v>
      </c>
      <c r="B88" s="321" t="s">
        <v>1435</v>
      </c>
      <c r="C88" s="321" t="s">
        <v>1436</v>
      </c>
      <c r="D88" s="322">
        <v>1496</v>
      </c>
    </row>
    <row r="89" spans="1:4" ht="30.5" x14ac:dyDescent="0.5">
      <c r="A89" s="321" t="s">
        <v>3</v>
      </c>
      <c r="B89" s="321" t="s">
        <v>1437</v>
      </c>
      <c r="C89" s="321" t="s">
        <v>1438</v>
      </c>
      <c r="D89" s="320">
        <v>0</v>
      </c>
    </row>
    <row r="90" spans="1:4" ht="29" x14ac:dyDescent="0.35">
      <c r="A90" s="321" t="s">
        <v>1439</v>
      </c>
      <c r="B90" s="321" t="s">
        <v>3</v>
      </c>
      <c r="C90" s="321" t="s">
        <v>3</v>
      </c>
      <c r="D90" s="322">
        <f>SUM(D88:D89)</f>
        <v>1496</v>
      </c>
    </row>
    <row r="91" spans="1:4" ht="14.5" x14ac:dyDescent="0.35">
      <c r="A91" s="321" t="s">
        <v>3</v>
      </c>
      <c r="B91" s="321" t="s">
        <v>3</v>
      </c>
      <c r="C91" s="321" t="s">
        <v>3</v>
      </c>
      <c r="D91" s="322"/>
    </row>
    <row r="92" spans="1:4" ht="14.5" x14ac:dyDescent="0.35">
      <c r="A92" s="321" t="s">
        <v>1440</v>
      </c>
      <c r="B92" s="321" t="s">
        <v>3</v>
      </c>
      <c r="C92" s="321" t="s">
        <v>653</v>
      </c>
      <c r="D92" s="322"/>
    </row>
    <row r="93" spans="1:4" ht="30.5" x14ac:dyDescent="0.5">
      <c r="A93" s="321" t="s">
        <v>3</v>
      </c>
      <c r="B93" s="321" t="s">
        <v>1441</v>
      </c>
      <c r="C93" s="321" t="s">
        <v>1442</v>
      </c>
      <c r="D93" s="320">
        <v>36</v>
      </c>
    </row>
    <row r="94" spans="1:4" ht="29" x14ac:dyDescent="0.35">
      <c r="A94" s="321" t="s">
        <v>1443</v>
      </c>
      <c r="B94" s="321" t="s">
        <v>3</v>
      </c>
      <c r="C94" s="321" t="s">
        <v>3</v>
      </c>
      <c r="D94" s="322">
        <v>36</v>
      </c>
    </row>
    <row r="95" spans="1:4" ht="14.5" x14ac:dyDescent="0.35">
      <c r="A95" s="321" t="s">
        <v>3</v>
      </c>
      <c r="B95" s="321" t="s">
        <v>3</v>
      </c>
      <c r="C95" s="321" t="s">
        <v>3</v>
      </c>
      <c r="D95" s="322"/>
    </row>
    <row r="96" spans="1:4" ht="14.5" x14ac:dyDescent="0.35">
      <c r="A96" s="321" t="s">
        <v>1444</v>
      </c>
      <c r="B96" s="321" t="s">
        <v>3</v>
      </c>
      <c r="C96" s="321" t="s">
        <v>144</v>
      </c>
      <c r="D96" s="322"/>
    </row>
    <row r="97" spans="1:4" ht="29" x14ac:dyDescent="0.35">
      <c r="A97" s="321" t="s">
        <v>3</v>
      </c>
      <c r="B97" s="321" t="s">
        <v>1445</v>
      </c>
      <c r="C97" s="321" t="s">
        <v>1446</v>
      </c>
      <c r="D97" s="322">
        <v>30</v>
      </c>
    </row>
    <row r="98" spans="1:4" ht="29" x14ac:dyDescent="0.35">
      <c r="A98" s="321" t="s">
        <v>3</v>
      </c>
      <c r="B98" s="321" t="s">
        <v>1447</v>
      </c>
      <c r="C98" s="321" t="s">
        <v>1448</v>
      </c>
      <c r="D98" s="322">
        <v>900</v>
      </c>
    </row>
    <row r="99" spans="1:4" ht="29" x14ac:dyDescent="0.35">
      <c r="A99" s="321" t="s">
        <v>3</v>
      </c>
      <c r="B99" s="321" t="s">
        <v>1449</v>
      </c>
      <c r="C99" s="321" t="s">
        <v>1450</v>
      </c>
      <c r="D99" s="322">
        <v>731</v>
      </c>
    </row>
    <row r="100" spans="1:4" ht="30.5" x14ac:dyDescent="0.5">
      <c r="A100" s="321" t="s">
        <v>3</v>
      </c>
      <c r="B100" s="321" t="s">
        <v>1451</v>
      </c>
      <c r="C100" s="321" t="s">
        <v>1452</v>
      </c>
      <c r="D100" s="320">
        <v>45</v>
      </c>
    </row>
    <row r="101" spans="1:4" ht="29" x14ac:dyDescent="0.35">
      <c r="A101" s="321" t="s">
        <v>1453</v>
      </c>
      <c r="B101" s="321" t="s">
        <v>3</v>
      </c>
      <c r="C101" s="321" t="s">
        <v>3</v>
      </c>
      <c r="D101" s="322">
        <v>1706</v>
      </c>
    </row>
    <row r="102" spans="1:4" ht="14.5" x14ac:dyDescent="0.35">
      <c r="A102" s="321" t="s">
        <v>3</v>
      </c>
      <c r="B102" s="321" t="s">
        <v>3</v>
      </c>
      <c r="C102" s="321" t="s">
        <v>3</v>
      </c>
      <c r="D102" s="322"/>
    </row>
    <row r="103" spans="1:4" ht="14.5" x14ac:dyDescent="0.35">
      <c r="A103" s="321" t="s">
        <v>1454</v>
      </c>
      <c r="B103" s="321" t="s">
        <v>3</v>
      </c>
      <c r="C103" s="321" t="s">
        <v>158</v>
      </c>
      <c r="D103" s="322"/>
    </row>
    <row r="104" spans="1:4" ht="30.5" x14ac:dyDescent="0.5">
      <c r="A104" s="321" t="s">
        <v>3</v>
      </c>
      <c r="B104" s="321" t="s">
        <v>1455</v>
      </c>
      <c r="C104" s="321" t="s">
        <v>1456</v>
      </c>
      <c r="D104" s="320">
        <v>1074</v>
      </c>
    </row>
    <row r="105" spans="1:4" ht="29" x14ac:dyDescent="0.35">
      <c r="A105" s="321" t="s">
        <v>1457</v>
      </c>
      <c r="B105" s="321" t="s">
        <v>3</v>
      </c>
      <c r="C105" s="321" t="s">
        <v>3</v>
      </c>
      <c r="D105" s="322">
        <v>1074</v>
      </c>
    </row>
    <row r="106" spans="1:4" ht="14.5" x14ac:dyDescent="0.35">
      <c r="A106" s="321" t="s">
        <v>3</v>
      </c>
      <c r="B106" s="321" t="s">
        <v>3</v>
      </c>
      <c r="C106" s="321" t="s">
        <v>3</v>
      </c>
      <c r="D106" s="322"/>
    </row>
    <row r="107" spans="1:4" ht="14.5" x14ac:dyDescent="0.35">
      <c r="A107" s="321" t="s">
        <v>1458</v>
      </c>
      <c r="B107" s="321" t="s">
        <v>3</v>
      </c>
      <c r="C107" s="321" t="s">
        <v>163</v>
      </c>
      <c r="D107" s="322"/>
    </row>
    <row r="108" spans="1:4" ht="29" x14ac:dyDescent="0.35">
      <c r="A108" s="321" t="s">
        <v>3</v>
      </c>
      <c r="B108" s="321" t="s">
        <v>1459</v>
      </c>
      <c r="C108" s="321" t="s">
        <v>1460</v>
      </c>
      <c r="D108" s="322">
        <v>132</v>
      </c>
    </row>
    <row r="109" spans="1:4" ht="29" x14ac:dyDescent="0.35">
      <c r="A109" s="321" t="s">
        <v>3</v>
      </c>
      <c r="B109" s="321" t="s">
        <v>1461</v>
      </c>
      <c r="C109" s="321" t="s">
        <v>1462</v>
      </c>
      <c r="D109" s="322">
        <v>446</v>
      </c>
    </row>
    <row r="110" spans="1:4" ht="29" x14ac:dyDescent="0.35">
      <c r="A110" s="321" t="s">
        <v>3</v>
      </c>
      <c r="B110" s="321" t="s">
        <v>1463</v>
      </c>
      <c r="C110" s="321" t="s">
        <v>1464</v>
      </c>
      <c r="D110" s="322">
        <v>188</v>
      </c>
    </row>
    <row r="111" spans="1:4" ht="30.5" x14ac:dyDescent="0.5">
      <c r="A111" s="321" t="s">
        <v>3</v>
      </c>
      <c r="B111" s="321" t="s">
        <v>1465</v>
      </c>
      <c r="C111" s="321" t="s">
        <v>1466</v>
      </c>
      <c r="D111" s="320">
        <v>1024</v>
      </c>
    </row>
    <row r="112" spans="1:4" ht="29" x14ac:dyDescent="0.35">
      <c r="A112" s="321" t="s">
        <v>1467</v>
      </c>
      <c r="B112" s="321" t="s">
        <v>3</v>
      </c>
      <c r="C112" s="321" t="s">
        <v>3</v>
      </c>
      <c r="D112" s="322">
        <f>SUM(D108:D111)</f>
        <v>1790</v>
      </c>
    </row>
    <row r="113" spans="1:4" ht="14.5" x14ac:dyDescent="0.35">
      <c r="A113" s="321" t="s">
        <v>3</v>
      </c>
      <c r="B113" s="321" t="s">
        <v>3</v>
      </c>
      <c r="C113" s="321" t="s">
        <v>3</v>
      </c>
      <c r="D113" s="322"/>
    </row>
    <row r="114" spans="1:4" ht="14.5" x14ac:dyDescent="0.35">
      <c r="A114" s="321" t="s">
        <v>1468</v>
      </c>
      <c r="B114" s="321" t="s">
        <v>3</v>
      </c>
      <c r="C114" s="321" t="s">
        <v>164</v>
      </c>
      <c r="D114" s="322"/>
    </row>
    <row r="115" spans="1:4" ht="30.5" x14ac:dyDescent="0.5">
      <c r="A115" s="321" t="s">
        <v>3</v>
      </c>
      <c r="B115" s="321" t="s">
        <v>1469</v>
      </c>
      <c r="C115" s="321" t="s">
        <v>1470</v>
      </c>
      <c r="D115" s="320">
        <v>160</v>
      </c>
    </row>
    <row r="116" spans="1:4" ht="29" x14ac:dyDescent="0.35">
      <c r="A116" s="321" t="s">
        <v>1471</v>
      </c>
      <c r="B116" s="321" t="s">
        <v>3</v>
      </c>
      <c r="C116" s="321" t="s">
        <v>3</v>
      </c>
      <c r="D116" s="322">
        <v>160</v>
      </c>
    </row>
    <row r="117" spans="1:4" ht="14.5" x14ac:dyDescent="0.35">
      <c r="A117" s="321" t="s">
        <v>3</v>
      </c>
      <c r="B117" s="321" t="s">
        <v>3</v>
      </c>
      <c r="C117" s="321" t="s">
        <v>3</v>
      </c>
      <c r="D117" s="322"/>
    </row>
    <row r="118" spans="1:4" ht="14.5" x14ac:dyDescent="0.35">
      <c r="A118" s="321" t="s">
        <v>1472</v>
      </c>
      <c r="B118" s="321" t="s">
        <v>3</v>
      </c>
      <c r="C118" s="321" t="s">
        <v>573</v>
      </c>
      <c r="D118" s="322"/>
    </row>
    <row r="119" spans="1:4" ht="29" x14ac:dyDescent="0.35">
      <c r="A119" s="321" t="s">
        <v>3</v>
      </c>
      <c r="B119" s="321" t="s">
        <v>1473</v>
      </c>
      <c r="C119" s="321" t="s">
        <v>1474</v>
      </c>
      <c r="D119" s="322">
        <v>0</v>
      </c>
    </row>
    <row r="120" spans="1:4" ht="29" x14ac:dyDescent="0.35">
      <c r="A120" s="321" t="s">
        <v>3</v>
      </c>
      <c r="B120" s="321" t="s">
        <v>1475</v>
      </c>
      <c r="C120" s="321" t="s">
        <v>1476</v>
      </c>
      <c r="D120" s="322">
        <v>47189</v>
      </c>
    </row>
    <row r="121" spans="1:4" ht="29" x14ac:dyDescent="0.35">
      <c r="A121" s="321" t="s">
        <v>3</v>
      </c>
      <c r="B121" s="321" t="s">
        <v>1477</v>
      </c>
      <c r="C121" s="321" t="s">
        <v>1478</v>
      </c>
      <c r="D121" s="322">
        <v>0</v>
      </c>
    </row>
    <row r="122" spans="1:4" ht="30.5" x14ac:dyDescent="0.5">
      <c r="A122" s="321" t="s">
        <v>3</v>
      </c>
      <c r="B122" s="321" t="s">
        <v>1479</v>
      </c>
      <c r="C122" s="321" t="s">
        <v>1480</v>
      </c>
      <c r="D122" s="320">
        <v>17540</v>
      </c>
    </row>
    <row r="123" spans="1:4" ht="29" x14ac:dyDescent="0.35">
      <c r="A123" s="321" t="s">
        <v>1481</v>
      </c>
      <c r="B123" s="321" t="s">
        <v>3</v>
      </c>
      <c r="C123" s="321" t="s">
        <v>3</v>
      </c>
      <c r="D123" s="322">
        <v>64729</v>
      </c>
    </row>
    <row r="124" spans="1:4" ht="14.5" x14ac:dyDescent="0.35">
      <c r="A124" s="321" t="s">
        <v>3</v>
      </c>
      <c r="B124" s="321" t="s">
        <v>3</v>
      </c>
      <c r="C124" s="321" t="s">
        <v>3</v>
      </c>
      <c r="D124" s="322"/>
    </row>
    <row r="125" spans="1:4" ht="14.5" x14ac:dyDescent="0.35">
      <c r="A125" s="321" t="s">
        <v>1482</v>
      </c>
      <c r="B125" s="321" t="s">
        <v>3</v>
      </c>
      <c r="C125" s="321" t="s">
        <v>168</v>
      </c>
      <c r="D125" s="322"/>
    </row>
    <row r="126" spans="1:4" ht="29" x14ac:dyDescent="0.35">
      <c r="A126" s="321" t="s">
        <v>3</v>
      </c>
      <c r="B126" s="321" t="s">
        <v>1483</v>
      </c>
      <c r="C126" s="321" t="s">
        <v>1484</v>
      </c>
      <c r="D126" s="322">
        <v>0</v>
      </c>
    </row>
    <row r="127" spans="1:4" ht="29" x14ac:dyDescent="0.35">
      <c r="A127" s="321" t="s">
        <v>3</v>
      </c>
      <c r="B127" s="321" t="s">
        <v>1485</v>
      </c>
      <c r="C127" s="321" t="s">
        <v>1486</v>
      </c>
      <c r="D127" s="322">
        <v>840</v>
      </c>
    </row>
    <row r="128" spans="1:4" ht="29" x14ac:dyDescent="0.35">
      <c r="A128" s="321" t="s">
        <v>3</v>
      </c>
      <c r="B128" s="321" t="s">
        <v>1487</v>
      </c>
      <c r="C128" s="321" t="s">
        <v>1488</v>
      </c>
      <c r="D128" s="322">
        <v>951</v>
      </c>
    </row>
    <row r="129" spans="1:4" ht="30.5" x14ac:dyDescent="0.5">
      <c r="A129" s="321" t="s">
        <v>3</v>
      </c>
      <c r="B129" s="321" t="s">
        <v>1489</v>
      </c>
      <c r="C129" s="321" t="s">
        <v>1490</v>
      </c>
      <c r="D129" s="320">
        <v>7735</v>
      </c>
    </row>
    <row r="130" spans="1:4" ht="29" x14ac:dyDescent="0.35">
      <c r="A130" s="321" t="s">
        <v>1491</v>
      </c>
      <c r="B130" s="321" t="s">
        <v>3</v>
      </c>
      <c r="C130" s="321" t="s">
        <v>3</v>
      </c>
      <c r="D130" s="322">
        <v>9526</v>
      </c>
    </row>
    <row r="131" spans="1:4" ht="14.5" x14ac:dyDescent="0.35">
      <c r="A131" s="321" t="s">
        <v>3</v>
      </c>
      <c r="B131" s="321" t="s">
        <v>3</v>
      </c>
      <c r="C131" s="321" t="s">
        <v>3</v>
      </c>
      <c r="D131" s="322"/>
    </row>
    <row r="132" spans="1:4" ht="14.5" x14ac:dyDescent="0.35">
      <c r="A132" s="321" t="s">
        <v>1492</v>
      </c>
      <c r="B132" s="321" t="s">
        <v>3</v>
      </c>
      <c r="C132" s="321" t="s">
        <v>571</v>
      </c>
      <c r="D132" s="322"/>
    </row>
    <row r="133" spans="1:4" ht="29" x14ac:dyDescent="0.35">
      <c r="A133" s="321" t="s">
        <v>3</v>
      </c>
      <c r="B133" s="321" t="s">
        <v>1493</v>
      </c>
      <c r="C133" s="321" t="s">
        <v>1494</v>
      </c>
      <c r="D133" s="322">
        <v>8469</v>
      </c>
    </row>
    <row r="134" spans="1:4" ht="29" x14ac:dyDescent="0.35">
      <c r="A134" s="321" t="s">
        <v>3</v>
      </c>
      <c r="B134" s="321" t="s">
        <v>1495</v>
      </c>
      <c r="C134" s="321" t="s">
        <v>1496</v>
      </c>
      <c r="D134" s="322">
        <v>700</v>
      </c>
    </row>
    <row r="135" spans="1:4" ht="29" x14ac:dyDescent="0.35">
      <c r="A135" s="321" t="s">
        <v>3</v>
      </c>
      <c r="B135" s="321" t="s">
        <v>1497</v>
      </c>
      <c r="C135" s="321" t="s">
        <v>1498</v>
      </c>
      <c r="D135" s="322">
        <v>314</v>
      </c>
    </row>
    <row r="136" spans="1:4" ht="30.5" x14ac:dyDescent="0.5">
      <c r="A136" s="321" t="s">
        <v>3</v>
      </c>
      <c r="B136" s="321" t="s">
        <v>1499</v>
      </c>
      <c r="C136" s="321" t="s">
        <v>1500</v>
      </c>
      <c r="D136" s="320">
        <v>37</v>
      </c>
    </row>
    <row r="137" spans="1:4" ht="29" x14ac:dyDescent="0.35">
      <c r="A137" s="321" t="s">
        <v>1501</v>
      </c>
      <c r="B137" s="321" t="s">
        <v>3</v>
      </c>
      <c r="C137" s="321" t="s">
        <v>3</v>
      </c>
      <c r="D137" s="322">
        <v>9520</v>
      </c>
    </row>
    <row r="138" spans="1:4" ht="14.5" x14ac:dyDescent="0.35">
      <c r="A138" s="321" t="s">
        <v>3</v>
      </c>
      <c r="B138" s="321" t="s">
        <v>3</v>
      </c>
      <c r="C138" s="321" t="s">
        <v>3</v>
      </c>
      <c r="D138" s="322"/>
    </row>
    <row r="139" spans="1:4" ht="14.5" x14ac:dyDescent="0.35">
      <c r="A139" s="321" t="s">
        <v>1502</v>
      </c>
      <c r="B139" s="321" t="s">
        <v>3</v>
      </c>
      <c r="C139" s="321" t="s">
        <v>1503</v>
      </c>
      <c r="D139" s="322"/>
    </row>
    <row r="140" spans="1:4" ht="29" x14ac:dyDescent="0.35">
      <c r="A140" s="321" t="s">
        <v>3</v>
      </c>
      <c r="B140" s="321" t="s">
        <v>1504</v>
      </c>
      <c r="C140" s="321" t="s">
        <v>1505</v>
      </c>
      <c r="D140" s="322">
        <v>58461</v>
      </c>
    </row>
    <row r="141" spans="1:4" ht="29" x14ac:dyDescent="0.35">
      <c r="A141" s="321" t="s">
        <v>3</v>
      </c>
      <c r="B141" s="321" t="s">
        <v>1506</v>
      </c>
      <c r="C141" s="321" t="s">
        <v>1507</v>
      </c>
      <c r="D141" s="322">
        <v>4233</v>
      </c>
    </row>
    <row r="142" spans="1:4" ht="29" x14ac:dyDescent="0.35">
      <c r="A142" s="321" t="s">
        <v>3</v>
      </c>
      <c r="B142" s="321" t="s">
        <v>1508</v>
      </c>
      <c r="C142" s="321" t="s">
        <v>1509</v>
      </c>
      <c r="D142" s="322">
        <v>1144</v>
      </c>
    </row>
    <row r="143" spans="1:4" ht="29" x14ac:dyDescent="0.35">
      <c r="A143" s="321" t="s">
        <v>3</v>
      </c>
      <c r="B143" s="321" t="s">
        <v>1510</v>
      </c>
      <c r="C143" s="321" t="s">
        <v>1511</v>
      </c>
      <c r="D143" s="322">
        <v>3157</v>
      </c>
    </row>
    <row r="144" spans="1:4" ht="29" x14ac:dyDescent="0.35">
      <c r="A144" s="321" t="s">
        <v>3</v>
      </c>
      <c r="B144" s="321" t="s">
        <v>1512</v>
      </c>
      <c r="C144" s="321" t="s">
        <v>1513</v>
      </c>
      <c r="D144" s="322">
        <v>14024</v>
      </c>
    </row>
    <row r="145" spans="1:4" ht="30.5" x14ac:dyDescent="0.5">
      <c r="A145" s="321" t="s">
        <v>3</v>
      </c>
      <c r="B145" s="321" t="s">
        <v>1514</v>
      </c>
      <c r="C145" s="321" t="s">
        <v>1515</v>
      </c>
      <c r="D145" s="320">
        <v>5452</v>
      </c>
    </row>
    <row r="146" spans="1:4" ht="29" x14ac:dyDescent="0.35">
      <c r="A146" s="321" t="s">
        <v>1516</v>
      </c>
      <c r="B146" s="321" t="s">
        <v>3</v>
      </c>
      <c r="C146" s="321" t="s">
        <v>3</v>
      </c>
      <c r="D146" s="322">
        <v>86471</v>
      </c>
    </row>
    <row r="147" spans="1:4" ht="14.5" x14ac:dyDescent="0.35">
      <c r="A147" s="321" t="s">
        <v>3</v>
      </c>
      <c r="B147" s="321" t="s">
        <v>3</v>
      </c>
      <c r="C147" s="321" t="s">
        <v>3</v>
      </c>
      <c r="D147" s="322"/>
    </row>
    <row r="148" spans="1:4" ht="14.5" x14ac:dyDescent="0.35">
      <c r="A148" s="321" t="s">
        <v>1517</v>
      </c>
      <c r="B148" s="321" t="s">
        <v>3</v>
      </c>
      <c r="C148" s="321" t="s">
        <v>175</v>
      </c>
      <c r="D148" s="322"/>
    </row>
    <row r="149" spans="1:4" ht="29" x14ac:dyDescent="0.35">
      <c r="A149" s="321" t="s">
        <v>3</v>
      </c>
      <c r="B149" s="321" t="s">
        <v>1518</v>
      </c>
      <c r="C149" s="321" t="s">
        <v>1519</v>
      </c>
      <c r="D149" s="322">
        <v>31220</v>
      </c>
    </row>
    <row r="150" spans="1:4" ht="29" x14ac:dyDescent="0.35">
      <c r="A150" s="321" t="s">
        <v>3</v>
      </c>
      <c r="B150" s="321" t="s">
        <v>1520</v>
      </c>
      <c r="C150" s="321" t="s">
        <v>1521</v>
      </c>
      <c r="D150" s="322">
        <v>15133</v>
      </c>
    </row>
    <row r="151" spans="1:4" ht="29" x14ac:dyDescent="0.35">
      <c r="A151" s="321" t="s">
        <v>3</v>
      </c>
      <c r="B151" s="321" t="s">
        <v>1522</v>
      </c>
      <c r="C151" s="321" t="s">
        <v>1523</v>
      </c>
      <c r="D151" s="322">
        <v>19701</v>
      </c>
    </row>
    <row r="152" spans="1:4" ht="29" x14ac:dyDescent="0.35">
      <c r="A152" s="321" t="s">
        <v>3</v>
      </c>
      <c r="B152" s="321" t="s">
        <v>1524</v>
      </c>
      <c r="C152" s="321" t="s">
        <v>1525</v>
      </c>
      <c r="D152" s="322">
        <v>8761</v>
      </c>
    </row>
    <row r="153" spans="1:4" ht="30.5" x14ac:dyDescent="0.5">
      <c r="A153" s="321" t="s">
        <v>3</v>
      </c>
      <c r="B153" s="321" t="s">
        <v>1526</v>
      </c>
      <c r="C153" s="321" t="s">
        <v>1527</v>
      </c>
      <c r="D153" s="320">
        <v>4385</v>
      </c>
    </row>
    <row r="154" spans="1:4" ht="29" x14ac:dyDescent="0.35">
      <c r="A154" s="321" t="s">
        <v>1528</v>
      </c>
      <c r="B154" s="321" t="s">
        <v>3</v>
      </c>
      <c r="C154" s="321" t="s">
        <v>3</v>
      </c>
      <c r="D154" s="322">
        <f>SUM(D149:D153)</f>
        <v>79200</v>
      </c>
    </row>
    <row r="155" spans="1:4" ht="14.5" x14ac:dyDescent="0.35">
      <c r="A155" s="321" t="s">
        <v>3</v>
      </c>
      <c r="B155" s="321" t="s">
        <v>3</v>
      </c>
      <c r="C155" s="321" t="s">
        <v>3</v>
      </c>
      <c r="D155" s="322"/>
    </row>
    <row r="156" spans="1:4" ht="14.5" x14ac:dyDescent="0.35">
      <c r="A156" s="321" t="s">
        <v>1529</v>
      </c>
      <c r="B156" s="321" t="s">
        <v>3</v>
      </c>
      <c r="C156" s="321" t="s">
        <v>584</v>
      </c>
      <c r="D156" s="322"/>
    </row>
    <row r="157" spans="1:4" ht="29" x14ac:dyDescent="0.35">
      <c r="A157" s="321" t="s">
        <v>3</v>
      </c>
      <c r="B157" s="321" t="s">
        <v>1530</v>
      </c>
      <c r="C157" s="321" t="s">
        <v>1531</v>
      </c>
      <c r="D157" s="322">
        <v>2070</v>
      </c>
    </row>
    <row r="158" spans="1:4" ht="30.5" x14ac:dyDescent="0.5">
      <c r="A158" s="321" t="s">
        <v>3</v>
      </c>
      <c r="B158" s="321" t="s">
        <v>1532</v>
      </c>
      <c r="C158" s="321" t="s">
        <v>1533</v>
      </c>
      <c r="D158" s="320">
        <v>3158</v>
      </c>
    </row>
    <row r="159" spans="1:4" ht="29" x14ac:dyDescent="0.35">
      <c r="A159" s="321" t="s">
        <v>1534</v>
      </c>
      <c r="B159" s="321" t="s">
        <v>3</v>
      </c>
      <c r="C159" s="321" t="s">
        <v>3</v>
      </c>
      <c r="D159" s="322">
        <v>5228</v>
      </c>
    </row>
    <row r="160" spans="1:4" ht="14.5" x14ac:dyDescent="0.35">
      <c r="A160" s="321" t="s">
        <v>3</v>
      </c>
      <c r="B160" s="321" t="s">
        <v>3</v>
      </c>
      <c r="C160" s="321" t="s">
        <v>3</v>
      </c>
      <c r="D160" s="322"/>
    </row>
    <row r="161" spans="1:4" ht="14.5" x14ac:dyDescent="0.35">
      <c r="A161" s="321" t="s">
        <v>1535</v>
      </c>
      <c r="B161" s="321" t="s">
        <v>3</v>
      </c>
      <c r="C161" s="321" t="s">
        <v>586</v>
      </c>
      <c r="D161" s="322"/>
    </row>
    <row r="162" spans="1:4" ht="29" x14ac:dyDescent="0.35">
      <c r="A162" s="321" t="s">
        <v>3</v>
      </c>
      <c r="B162" s="321" t="s">
        <v>1536</v>
      </c>
      <c r="C162" s="321" t="s">
        <v>1537</v>
      </c>
      <c r="D162" s="322">
        <v>32165</v>
      </c>
    </row>
    <row r="163" spans="1:4" ht="30.5" x14ac:dyDescent="0.5">
      <c r="A163" s="321" t="s">
        <v>3</v>
      </c>
      <c r="B163" s="321" t="s">
        <v>1538</v>
      </c>
      <c r="C163" s="321" t="s">
        <v>1539</v>
      </c>
      <c r="D163" s="320">
        <v>9346</v>
      </c>
    </row>
    <row r="164" spans="1:4" ht="29" x14ac:dyDescent="0.35">
      <c r="A164" s="321" t="s">
        <v>1540</v>
      </c>
      <c r="B164" s="321" t="s">
        <v>3</v>
      </c>
      <c r="C164" s="321" t="s">
        <v>3</v>
      </c>
      <c r="D164" s="322">
        <v>41511</v>
      </c>
    </row>
    <row r="165" spans="1:4" ht="14.5" x14ac:dyDescent="0.35">
      <c r="A165" s="321" t="s">
        <v>3</v>
      </c>
      <c r="B165" s="321" t="s">
        <v>3</v>
      </c>
      <c r="C165" s="321" t="s">
        <v>3</v>
      </c>
      <c r="D165" s="322"/>
    </row>
    <row r="166" spans="1:4" ht="14.5" x14ac:dyDescent="0.35">
      <c r="A166" s="321" t="s">
        <v>1541</v>
      </c>
      <c r="B166" s="321" t="s">
        <v>3</v>
      </c>
      <c r="C166" s="321" t="s">
        <v>1542</v>
      </c>
      <c r="D166" s="322"/>
    </row>
    <row r="167" spans="1:4" ht="30.5" x14ac:dyDescent="0.5">
      <c r="A167" s="321" t="s">
        <v>3</v>
      </c>
      <c r="B167" s="321" t="s">
        <v>1543</v>
      </c>
      <c r="C167" s="321" t="s">
        <v>1544</v>
      </c>
      <c r="D167" s="320">
        <v>14045</v>
      </c>
    </row>
    <row r="168" spans="1:4" ht="29" x14ac:dyDescent="0.35">
      <c r="A168" s="321" t="s">
        <v>1545</v>
      </c>
      <c r="B168" s="321" t="s">
        <v>3</v>
      </c>
      <c r="C168" s="321" t="s">
        <v>3</v>
      </c>
      <c r="D168" s="322">
        <v>14045</v>
      </c>
    </row>
    <row r="169" spans="1:4" ht="14.5" x14ac:dyDescent="0.35">
      <c r="A169" s="321" t="s">
        <v>3</v>
      </c>
      <c r="B169" s="321" t="s">
        <v>3</v>
      </c>
      <c r="C169" s="321" t="s">
        <v>3</v>
      </c>
      <c r="D169" s="322"/>
    </row>
    <row r="170" spans="1:4" ht="14.5" x14ac:dyDescent="0.35">
      <c r="A170" s="321" t="s">
        <v>1546</v>
      </c>
      <c r="B170" s="321" t="s">
        <v>3</v>
      </c>
      <c r="C170" s="321" t="s">
        <v>1547</v>
      </c>
      <c r="D170" s="322"/>
    </row>
    <row r="171" spans="1:4" ht="29" x14ac:dyDescent="0.35">
      <c r="A171" s="321" t="s">
        <v>3</v>
      </c>
      <c r="B171" s="321" t="s">
        <v>1548</v>
      </c>
      <c r="C171" s="321" t="s">
        <v>1549</v>
      </c>
      <c r="D171" s="322">
        <v>271</v>
      </c>
    </row>
    <row r="172" spans="1:4" ht="30.5" x14ac:dyDescent="0.5">
      <c r="A172" s="321" t="s">
        <v>3</v>
      </c>
      <c r="B172" s="321" t="s">
        <v>1550</v>
      </c>
      <c r="C172" s="321" t="s">
        <v>1551</v>
      </c>
      <c r="D172" s="320">
        <v>0</v>
      </c>
    </row>
    <row r="173" spans="1:4" ht="29" x14ac:dyDescent="0.35">
      <c r="A173" s="321" t="s">
        <v>1552</v>
      </c>
      <c r="B173" s="321" t="s">
        <v>3</v>
      </c>
      <c r="C173" s="321" t="s">
        <v>3</v>
      </c>
      <c r="D173" s="322">
        <v>271</v>
      </c>
    </row>
    <row r="174" spans="1:4" ht="14.5" x14ac:dyDescent="0.35">
      <c r="A174" s="321" t="s">
        <v>3</v>
      </c>
      <c r="B174" s="321" t="s">
        <v>3</v>
      </c>
      <c r="C174" s="321" t="s">
        <v>3</v>
      </c>
      <c r="D174" s="322"/>
    </row>
    <row r="175" spans="1:4" ht="14.5" x14ac:dyDescent="0.35">
      <c r="A175" s="321" t="s">
        <v>1553</v>
      </c>
      <c r="B175" s="321" t="s">
        <v>3</v>
      </c>
      <c r="C175" s="321" t="s">
        <v>594</v>
      </c>
      <c r="D175" s="322"/>
    </row>
    <row r="176" spans="1:4" ht="30.5" x14ac:dyDescent="0.5">
      <c r="A176" s="321" t="s">
        <v>3</v>
      </c>
      <c r="B176" s="321" t="s">
        <v>1554</v>
      </c>
      <c r="C176" s="321" t="s">
        <v>1555</v>
      </c>
      <c r="D176" s="320">
        <v>1112</v>
      </c>
    </row>
    <row r="177" spans="1:4" ht="14.5" x14ac:dyDescent="0.35">
      <c r="A177" s="321" t="s">
        <v>1556</v>
      </c>
      <c r="B177" s="321" t="s">
        <v>3</v>
      </c>
      <c r="C177" s="321" t="s">
        <v>3</v>
      </c>
      <c r="D177" s="322">
        <v>1112</v>
      </c>
    </row>
    <row r="178" spans="1:4" ht="14.5" x14ac:dyDescent="0.35">
      <c r="A178" s="321" t="s">
        <v>3</v>
      </c>
      <c r="B178" s="321" t="s">
        <v>3</v>
      </c>
      <c r="C178" s="321" t="s">
        <v>3</v>
      </c>
      <c r="D178" s="322"/>
    </row>
    <row r="179" spans="1:4" x14ac:dyDescent="0.25">
      <c r="D179" s="324"/>
    </row>
    <row r="180" spans="1:4" x14ac:dyDescent="0.25">
      <c r="D180">
        <f>SUM(D39:D178)/2</f>
        <v>386487</v>
      </c>
    </row>
  </sheetData>
  <pageMargins left="0.7" right="0.7" top="0.75" bottom="0.75" header="0.3" footer="0.3"/>
  <pageSetup scale="5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M24" sqref="M2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61" t="s">
        <v>808</v>
      </c>
    </row>
    <row r="2" spans="1:7" ht="20.149999999999999" customHeight="1" x14ac:dyDescent="0.35">
      <c r="A2" s="62" t="s">
        <v>809</v>
      </c>
      <c r="B2" s="62"/>
      <c r="C2" s="62"/>
      <c r="D2" s="62"/>
      <c r="E2" s="62"/>
      <c r="F2" s="62"/>
    </row>
    <row r="3" spans="1:7" ht="20.149999999999999" customHeight="1" x14ac:dyDescent="0.35">
      <c r="B3" s="62"/>
      <c r="C3" s="62"/>
      <c r="D3" s="62"/>
      <c r="E3" s="62"/>
      <c r="F3" s="62"/>
      <c r="G3" s="62"/>
    </row>
    <row r="4" spans="1:7" ht="20.149999999999999" customHeight="1" x14ac:dyDescent="0.35">
      <c r="A4" s="63">
        <v>1</v>
      </c>
      <c r="B4" s="65" t="str">
        <f>"Fiscal Year Ended:  "&amp;data!C96</f>
        <v>Fiscal Year Ended:  12/31/2022</v>
      </c>
      <c r="C4" s="64"/>
      <c r="D4" s="65"/>
      <c r="E4" s="66"/>
      <c r="F4" s="64" t="str">
        <f>"License Number:  "&amp;"H-"&amp;FIXED(data!C97,0)</f>
        <v>License Number:  H-167</v>
      </c>
      <c r="G4" s="67"/>
    </row>
    <row r="5" spans="1:7" ht="20.149999999999999" customHeight="1" x14ac:dyDescent="0.35">
      <c r="A5" s="63">
        <v>2</v>
      </c>
      <c r="B5" s="64" t="s">
        <v>295</v>
      </c>
      <c r="C5" s="67"/>
      <c r="D5" s="64" t="str">
        <f>"  "&amp;data!C98</f>
        <v xml:space="preserve">  Ferry County Public Hospital District No. 1</v>
      </c>
      <c r="E5" s="66"/>
      <c r="F5" s="66"/>
      <c r="G5" s="67"/>
    </row>
    <row r="6" spans="1:7" ht="20.149999999999999" customHeight="1" x14ac:dyDescent="0.35">
      <c r="A6" s="63">
        <v>3</v>
      </c>
      <c r="B6" s="64" t="s">
        <v>300</v>
      </c>
      <c r="C6" s="67"/>
      <c r="D6" s="64" t="str">
        <f>"  "&amp;data!C103</f>
        <v xml:space="preserve">  Ferry  </v>
      </c>
      <c r="E6" s="66"/>
      <c r="F6" s="66"/>
      <c r="G6" s="67"/>
    </row>
    <row r="7" spans="1:7" ht="20.149999999999999" customHeight="1" x14ac:dyDescent="0.35">
      <c r="A7" s="63">
        <v>4</v>
      </c>
      <c r="B7" s="64" t="s">
        <v>810</v>
      </c>
      <c r="C7" s="67"/>
      <c r="D7" s="64" t="str">
        <f>"  "&amp;data!C104</f>
        <v xml:space="preserve">  Brain Lady</v>
      </c>
      <c r="E7" s="66"/>
      <c r="F7" s="66"/>
      <c r="G7" s="67"/>
    </row>
    <row r="8" spans="1:7" ht="20.149999999999999" customHeight="1" x14ac:dyDescent="0.35">
      <c r="A8" s="63">
        <v>5</v>
      </c>
      <c r="B8" s="64" t="s">
        <v>811</v>
      </c>
      <c r="C8" s="67"/>
      <c r="D8" s="64" t="str">
        <f>"  "&amp;data!C105</f>
        <v xml:space="preserve">  Lance Spindler</v>
      </c>
      <c r="E8" s="66"/>
      <c r="F8" s="66"/>
      <c r="G8" s="67"/>
    </row>
    <row r="9" spans="1:7" ht="20.149999999999999" customHeight="1" x14ac:dyDescent="0.35">
      <c r="A9" s="63">
        <v>6</v>
      </c>
      <c r="B9" s="64" t="s">
        <v>812</v>
      </c>
      <c r="C9" s="67"/>
      <c r="D9" s="64" t="str">
        <f>"  "&amp;data!C106</f>
        <v xml:space="preserve">  DiAnne Lundgren</v>
      </c>
      <c r="E9" s="66"/>
      <c r="F9" s="66"/>
      <c r="G9" s="67"/>
    </row>
    <row r="10" spans="1:7" ht="20.149999999999999" customHeight="1" x14ac:dyDescent="0.35">
      <c r="A10" s="63">
        <v>7</v>
      </c>
      <c r="B10" s="64" t="s">
        <v>813</v>
      </c>
      <c r="C10" s="67"/>
      <c r="D10" s="64" t="str">
        <f>"  "&amp;data!C107</f>
        <v xml:space="preserve">  509-775-3333</v>
      </c>
      <c r="E10" s="66"/>
      <c r="F10" s="66"/>
      <c r="G10" s="67"/>
    </row>
    <row r="11" spans="1:7" ht="20.149999999999999" customHeight="1" x14ac:dyDescent="0.35">
      <c r="A11" s="63">
        <v>8</v>
      </c>
      <c r="B11" s="64" t="s">
        <v>814</v>
      </c>
      <c r="C11" s="67"/>
      <c r="D11" s="64" t="str">
        <f>"  "&amp;data!C108</f>
        <v xml:space="preserve">  509-775-3866</v>
      </c>
      <c r="E11" s="66"/>
      <c r="F11" s="66"/>
      <c r="G11" s="67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71"/>
      <c r="G13" s="72"/>
    </row>
    <row r="14" spans="1:7" ht="20.149999999999999" customHeight="1" x14ac:dyDescent="0.35">
      <c r="A14" s="63">
        <v>9</v>
      </c>
      <c r="B14" s="64" t="s">
        <v>815</v>
      </c>
      <c r="C14" s="64"/>
      <c r="D14" s="64"/>
      <c r="E14" s="64"/>
      <c r="F14" s="64"/>
      <c r="G14" s="70"/>
    </row>
    <row r="15" spans="1:7" ht="20.149999999999999" customHeight="1" x14ac:dyDescent="0.35">
      <c r="A15" s="73" t="s">
        <v>309</v>
      </c>
      <c r="B15" s="74"/>
      <c r="C15" s="75" t="s">
        <v>311</v>
      </c>
      <c r="D15" s="74"/>
      <c r="E15" s="75" t="s">
        <v>313</v>
      </c>
      <c r="F15" s="76"/>
      <c r="G15" s="77"/>
    </row>
    <row r="16" spans="1:7" ht="20.149999999999999" customHeight="1" x14ac:dyDescent="0.35">
      <c r="A16" s="78" t="str">
        <f>IF(data!C113&gt;0," X","")</f>
        <v/>
      </c>
      <c r="B16" s="67" t="s">
        <v>298</v>
      </c>
      <c r="C16" s="79" t="str">
        <f>IF(data!C117&gt;0," X","")</f>
        <v/>
      </c>
      <c r="D16" s="80" t="s">
        <v>816</v>
      </c>
      <c r="E16" s="229" t="str">
        <f>IF(data!C120&gt;0," X","")</f>
        <v/>
      </c>
      <c r="F16" s="81" t="s">
        <v>314</v>
      </c>
      <c r="G16" s="67"/>
    </row>
    <row r="17" spans="1:7" ht="20.149999999999999" customHeight="1" x14ac:dyDescent="0.35">
      <c r="A17" s="78" t="str">
        <f>IF(data!C114&gt;0," X","")</f>
        <v/>
      </c>
      <c r="B17" s="67" t="s">
        <v>300</v>
      </c>
      <c r="C17" s="79" t="str">
        <f>IF(data!C118&gt;0," X","")</f>
        <v/>
      </c>
      <c r="D17" s="80" t="s">
        <v>394</v>
      </c>
      <c r="E17" s="229" t="str">
        <f>IF(data!C121&gt;0," X","")</f>
        <v/>
      </c>
      <c r="F17" s="81" t="s">
        <v>315</v>
      </c>
      <c r="G17" s="67"/>
    </row>
    <row r="18" spans="1:7" ht="20.149999999999999" customHeight="1" x14ac:dyDescent="0.35">
      <c r="A18" s="63"/>
      <c r="B18" s="67" t="s">
        <v>817</v>
      </c>
      <c r="C18" s="67"/>
      <c r="D18" s="67"/>
      <c r="E18" s="229" t="str">
        <f>IF(data!C122&gt;0," X","")</f>
        <v/>
      </c>
      <c r="F18" s="81" t="s">
        <v>316</v>
      </c>
      <c r="G18" s="67"/>
    </row>
    <row r="19" spans="1:7" ht="20.149999999999999" customHeight="1" x14ac:dyDescent="0.35">
      <c r="A19" s="78" t="str">
        <f>IF(data!C115&gt;0," X","")</f>
        <v xml:space="preserve"> X</v>
      </c>
      <c r="B19" s="80" t="s">
        <v>818</v>
      </c>
      <c r="C19" s="67"/>
      <c r="D19" s="67"/>
      <c r="E19" s="67"/>
      <c r="F19" s="81"/>
      <c r="G19" s="67"/>
    </row>
    <row r="20" spans="1:7" ht="20.149999999999999" customHeight="1" x14ac:dyDescent="0.35">
      <c r="A20" s="68"/>
      <c r="B20" s="69"/>
      <c r="C20" s="69"/>
      <c r="D20" s="69"/>
      <c r="E20" s="69"/>
      <c r="F20" s="69"/>
      <c r="G20" s="70"/>
    </row>
    <row r="21" spans="1:7" ht="20.149999999999999" customHeight="1" x14ac:dyDescent="0.35">
      <c r="A21" s="71"/>
      <c r="G21" s="82"/>
    </row>
    <row r="22" spans="1:7" ht="20.149999999999999" customHeight="1" x14ac:dyDescent="0.35">
      <c r="A22" s="63">
        <v>10</v>
      </c>
      <c r="B22" s="64" t="s">
        <v>819</v>
      </c>
      <c r="C22" s="64"/>
      <c r="D22" s="64"/>
      <c r="E22" s="64"/>
      <c r="F22" s="78" t="s">
        <v>319</v>
      </c>
      <c r="G22" s="79" t="s">
        <v>238</v>
      </c>
    </row>
    <row r="23" spans="1:7" ht="20.149999999999999" customHeight="1" x14ac:dyDescent="0.35">
      <c r="A23" s="63"/>
      <c r="B23" s="64" t="s">
        <v>820</v>
      </c>
      <c r="C23" s="64"/>
      <c r="D23" s="64"/>
      <c r="E23" s="64"/>
      <c r="F23" s="63">
        <f>data!C127</f>
        <v>97</v>
      </c>
      <c r="G23" s="67">
        <f>data!D127</f>
        <v>354</v>
      </c>
    </row>
    <row r="24" spans="1:7" ht="20.149999999999999" customHeight="1" x14ac:dyDescent="0.35">
      <c r="A24" s="63"/>
      <c r="B24" s="64" t="s">
        <v>821</v>
      </c>
      <c r="C24" s="64"/>
      <c r="D24" s="64"/>
      <c r="E24" s="64"/>
      <c r="F24" s="63">
        <f>data!C128</f>
        <v>46</v>
      </c>
      <c r="G24" s="67">
        <f>data!D128</f>
        <v>4052</v>
      </c>
    </row>
    <row r="25" spans="1:7" ht="20.149999999999999" customHeight="1" x14ac:dyDescent="0.35">
      <c r="A25" s="63"/>
      <c r="B25" s="64" t="s">
        <v>822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49999999999999" customHeight="1" x14ac:dyDescent="0.35">
      <c r="A26" s="63">
        <v>11</v>
      </c>
      <c r="B26" s="64" t="s">
        <v>323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49999999999999" customHeight="1" x14ac:dyDescent="0.35">
      <c r="A27" s="68"/>
      <c r="B27" s="69"/>
      <c r="C27" s="69"/>
      <c r="D27" s="69"/>
      <c r="E27" s="69"/>
      <c r="F27" s="69"/>
      <c r="G27" s="70"/>
    </row>
    <row r="28" spans="1:7" ht="20.149999999999999" customHeight="1" x14ac:dyDescent="0.35">
      <c r="A28" s="71"/>
      <c r="G28" s="82"/>
    </row>
    <row r="29" spans="1:7" ht="20.149999999999999" customHeight="1" x14ac:dyDescent="0.35">
      <c r="A29" s="63">
        <v>12</v>
      </c>
      <c r="B29" s="83" t="s">
        <v>823</v>
      </c>
      <c r="C29" s="67"/>
      <c r="D29" s="79" t="s">
        <v>190</v>
      </c>
      <c r="E29" s="83" t="s">
        <v>823</v>
      </c>
      <c r="F29" s="67"/>
      <c r="G29" s="79" t="s">
        <v>190</v>
      </c>
    </row>
    <row r="30" spans="1:7" ht="20.149999999999999" customHeight="1" x14ac:dyDescent="0.35">
      <c r="A30" s="63"/>
      <c r="B30" s="64" t="s">
        <v>325</v>
      </c>
      <c r="C30" s="67"/>
      <c r="D30" s="67">
        <f>data!C132</f>
        <v>0</v>
      </c>
      <c r="E30" s="64" t="s">
        <v>331</v>
      </c>
      <c r="F30" s="67"/>
      <c r="G30" s="67">
        <f>data!C139</f>
        <v>0</v>
      </c>
    </row>
    <row r="31" spans="1:7" ht="20.149999999999999" customHeight="1" x14ac:dyDescent="0.35">
      <c r="A31" s="63"/>
      <c r="B31" s="83" t="s">
        <v>824</v>
      </c>
      <c r="C31" s="67"/>
      <c r="D31" s="67">
        <f>data!C133</f>
        <v>0</v>
      </c>
      <c r="E31" s="64" t="s">
        <v>332</v>
      </c>
      <c r="F31" s="67"/>
      <c r="G31" s="67">
        <f>data!C140</f>
        <v>0</v>
      </c>
    </row>
    <row r="32" spans="1:7" ht="20.149999999999999" customHeight="1" x14ac:dyDescent="0.35">
      <c r="A32" s="63"/>
      <c r="B32" s="83" t="s">
        <v>825</v>
      </c>
      <c r="C32" s="67"/>
      <c r="D32" s="67">
        <f>data!C134</f>
        <v>25</v>
      </c>
      <c r="E32" s="64" t="s">
        <v>826</v>
      </c>
      <c r="F32" s="67"/>
      <c r="G32" s="67">
        <f>data!C141</f>
        <v>0</v>
      </c>
    </row>
    <row r="33" spans="1:7" ht="20.149999999999999" customHeight="1" x14ac:dyDescent="0.35">
      <c r="A33" s="63"/>
      <c r="B33" s="83" t="s">
        <v>827</v>
      </c>
      <c r="C33" s="67"/>
      <c r="D33" s="67">
        <f>data!C135</f>
        <v>0</v>
      </c>
      <c r="E33" s="64" t="s">
        <v>828</v>
      </c>
      <c r="F33" s="67"/>
      <c r="G33" s="67">
        <f>data!C142</f>
        <v>0</v>
      </c>
    </row>
    <row r="34" spans="1:7" ht="20.149999999999999" customHeight="1" x14ac:dyDescent="0.35">
      <c r="A34" s="63"/>
      <c r="B34" s="83" t="s">
        <v>829</v>
      </c>
      <c r="C34" s="67"/>
      <c r="D34" s="67">
        <f>data!C136</f>
        <v>0</v>
      </c>
      <c r="E34" s="64" t="s">
        <v>334</v>
      </c>
      <c r="F34" s="67"/>
      <c r="G34" s="67">
        <f>data!E143</f>
        <v>25</v>
      </c>
    </row>
    <row r="35" spans="1:7" ht="20.149999999999999" customHeight="1" x14ac:dyDescent="0.35">
      <c r="A35" s="63"/>
      <c r="B35" s="83" t="s">
        <v>830</v>
      </c>
      <c r="C35" s="67"/>
      <c r="D35" s="67">
        <f>data!C137</f>
        <v>0</v>
      </c>
      <c r="E35" s="64" t="s">
        <v>831</v>
      </c>
      <c r="F35" s="84"/>
      <c r="G35" s="67"/>
    </row>
    <row r="36" spans="1:7" ht="20.149999999999999" customHeight="1" x14ac:dyDescent="0.35">
      <c r="A36" s="63"/>
      <c r="B36" s="64" t="s">
        <v>119</v>
      </c>
      <c r="C36" s="67"/>
      <c r="D36" s="67">
        <f>data!C138</f>
        <v>0</v>
      </c>
      <c r="E36" s="64" t="s">
        <v>335</v>
      </c>
      <c r="F36" s="67"/>
      <c r="G36" s="67">
        <f>data!C144</f>
        <v>25</v>
      </c>
    </row>
    <row r="37" spans="1:7" ht="20.149999999999999" customHeight="1" x14ac:dyDescent="0.35">
      <c r="A37" s="63"/>
      <c r="E37" s="64" t="s">
        <v>336</v>
      </c>
      <c r="F37" s="67"/>
      <c r="G37" s="67">
        <f>data!C145</f>
        <v>0</v>
      </c>
    </row>
    <row r="38" spans="1:7" ht="20.149999999999999" customHeight="1" x14ac:dyDescent="0.35">
      <c r="A38" s="63"/>
      <c r="B38" s="64"/>
      <c r="C38" s="64"/>
      <c r="D38" s="64"/>
      <c r="E38" s="64"/>
      <c r="F38" s="64"/>
      <c r="G38" s="67"/>
    </row>
    <row r="39" spans="1:7" ht="20.149999999999999" customHeight="1" x14ac:dyDescent="0.35">
      <c r="A39" s="85">
        <v>13</v>
      </c>
      <c r="B39" s="86" t="s">
        <v>331</v>
      </c>
      <c r="C39" s="82"/>
      <c r="D39" s="82"/>
      <c r="E39" s="87"/>
      <c r="F39" s="87"/>
      <c r="G39" s="88"/>
    </row>
    <row r="40" spans="1:7" ht="20.149999999999999" customHeight="1" x14ac:dyDescent="0.35">
      <c r="A40" s="89"/>
      <c r="B40" s="90" t="s">
        <v>832</v>
      </c>
      <c r="C40" s="91" t="s">
        <v>294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M24" sqref="M2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0" t="s">
        <v>833</v>
      </c>
      <c r="G1" s="61" t="s">
        <v>834</v>
      </c>
    </row>
    <row r="2" spans="1:7" ht="20.149999999999999" customHeight="1" x14ac:dyDescent="0.35">
      <c r="A2" s="1" t="str">
        <f>"Hospital: "&amp;data!C98</f>
        <v>Hospital: Ferry County Public Hospital District No. 1</v>
      </c>
      <c r="G2" s="4" t="s">
        <v>835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21" t="s">
        <v>836</v>
      </c>
      <c r="B4" s="122"/>
      <c r="C4" s="122"/>
      <c r="D4" s="122"/>
      <c r="E4" s="122"/>
      <c r="F4" s="122"/>
      <c r="G4" s="123"/>
    </row>
    <row r="5" spans="1:7" ht="20.149999999999999" customHeight="1" x14ac:dyDescent="0.35">
      <c r="A5" s="124"/>
      <c r="B5" s="74" t="s">
        <v>837</v>
      </c>
      <c r="C5" s="74"/>
      <c r="D5" s="74"/>
      <c r="E5" s="125" t="s">
        <v>346</v>
      </c>
      <c r="F5" s="74"/>
      <c r="G5" s="74"/>
    </row>
    <row r="6" spans="1:7" ht="20.149999999999999" customHeight="1" x14ac:dyDescent="0.35">
      <c r="A6" s="126" t="s">
        <v>838</v>
      </c>
      <c r="B6" s="79" t="s">
        <v>319</v>
      </c>
      <c r="C6" s="79" t="s">
        <v>839</v>
      </c>
      <c r="D6" s="79" t="s">
        <v>342</v>
      </c>
      <c r="E6" s="79" t="s">
        <v>191</v>
      </c>
      <c r="F6" s="79" t="s">
        <v>154</v>
      </c>
      <c r="G6" s="79" t="s">
        <v>226</v>
      </c>
    </row>
    <row r="7" spans="1:7" ht="20.149999999999999" customHeight="1" x14ac:dyDescent="0.35">
      <c r="A7" s="63" t="s">
        <v>340</v>
      </c>
      <c r="B7" s="127">
        <f>data!B154</f>
        <v>78</v>
      </c>
      <c r="C7" s="127">
        <f>data!B155</f>
        <v>318</v>
      </c>
      <c r="D7" s="127">
        <f>data!B156</f>
        <v>0</v>
      </c>
      <c r="E7" s="127">
        <f>data!B157</f>
        <v>1537946</v>
      </c>
      <c r="F7" s="127">
        <f>data!B158</f>
        <v>11162177</v>
      </c>
      <c r="G7" s="127">
        <f>data!B157+data!B158</f>
        <v>12700123</v>
      </c>
    </row>
    <row r="8" spans="1:7" ht="20.149999999999999" customHeight="1" x14ac:dyDescent="0.35">
      <c r="A8" s="63" t="s">
        <v>341</v>
      </c>
      <c r="B8" s="127">
        <f>data!C154</f>
        <v>7</v>
      </c>
      <c r="C8" s="127">
        <f>data!C155</f>
        <v>12</v>
      </c>
      <c r="D8" s="127">
        <f>data!C156</f>
        <v>0</v>
      </c>
      <c r="E8" s="127">
        <f>data!C157</f>
        <v>574768</v>
      </c>
      <c r="F8" s="127">
        <f>data!C158</f>
        <v>5398709</v>
      </c>
      <c r="G8" s="127">
        <f>data!C157+data!C158</f>
        <v>5973477</v>
      </c>
    </row>
    <row r="9" spans="1:7" ht="20.149999999999999" customHeight="1" x14ac:dyDescent="0.35">
      <c r="A9" s="63" t="s">
        <v>840</v>
      </c>
      <c r="B9" s="127">
        <f>data!D154</f>
        <v>12</v>
      </c>
      <c r="C9" s="127">
        <f>data!D155</f>
        <v>24</v>
      </c>
      <c r="D9" s="127">
        <f>data!D156</f>
        <v>0</v>
      </c>
      <c r="E9" s="127">
        <f>data!D157</f>
        <v>375526</v>
      </c>
      <c r="F9" s="127">
        <f>data!D158</f>
        <v>8250823</v>
      </c>
      <c r="G9" s="127">
        <f>data!D157+data!D158</f>
        <v>8626349</v>
      </c>
    </row>
    <row r="10" spans="1:7" ht="20.149999999999999" customHeight="1" x14ac:dyDescent="0.35">
      <c r="A10" s="78" t="s">
        <v>226</v>
      </c>
      <c r="B10" s="127">
        <f>data!E154</f>
        <v>97</v>
      </c>
      <c r="C10" s="127">
        <f>data!E155</f>
        <v>354</v>
      </c>
      <c r="D10" s="127">
        <f>data!E156</f>
        <v>0</v>
      </c>
      <c r="E10" s="127">
        <f>data!E157</f>
        <v>2488240</v>
      </c>
      <c r="F10" s="127">
        <f>data!E158</f>
        <v>24811709</v>
      </c>
      <c r="G10" s="127">
        <f>E10+F10</f>
        <v>27299949</v>
      </c>
    </row>
    <row r="11" spans="1:7" ht="20.149999999999999" customHeight="1" x14ac:dyDescent="0.35">
      <c r="A11" s="128"/>
      <c r="B11" s="129"/>
      <c r="C11" s="129"/>
      <c r="D11" s="129"/>
      <c r="E11" s="129"/>
      <c r="F11" s="129"/>
      <c r="G11" s="130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131" t="s">
        <v>841</v>
      </c>
      <c r="B13" s="62"/>
      <c r="C13" s="62"/>
      <c r="D13" s="62"/>
      <c r="E13" s="62"/>
      <c r="F13" s="62"/>
      <c r="G13" s="132"/>
    </row>
    <row r="14" spans="1:7" ht="20.149999999999999" customHeight="1" x14ac:dyDescent="0.35">
      <c r="A14" s="124"/>
      <c r="B14" s="133" t="s">
        <v>837</v>
      </c>
      <c r="C14" s="133"/>
      <c r="D14" s="133"/>
      <c r="E14" s="133" t="s">
        <v>346</v>
      </c>
      <c r="F14" s="133"/>
      <c r="G14" s="133"/>
    </row>
    <row r="15" spans="1:7" ht="20.149999999999999" customHeight="1" x14ac:dyDescent="0.35">
      <c r="A15" s="126" t="s">
        <v>838</v>
      </c>
      <c r="B15" s="79" t="s">
        <v>319</v>
      </c>
      <c r="C15" s="79" t="s">
        <v>839</v>
      </c>
      <c r="D15" s="79" t="s">
        <v>342</v>
      </c>
      <c r="E15" s="79" t="s">
        <v>191</v>
      </c>
      <c r="F15" s="79" t="s">
        <v>154</v>
      </c>
      <c r="G15" s="79" t="s">
        <v>226</v>
      </c>
    </row>
    <row r="16" spans="1:7" ht="20.149999999999999" customHeight="1" x14ac:dyDescent="0.35">
      <c r="A16" s="63" t="s">
        <v>340</v>
      </c>
      <c r="B16" s="127">
        <f>data!B160</f>
        <v>42</v>
      </c>
      <c r="C16" s="127">
        <f>data!B161</f>
        <v>770</v>
      </c>
      <c r="D16" s="127">
        <f>data!B162</f>
        <v>0</v>
      </c>
      <c r="E16" s="127">
        <f>data!B163</f>
        <v>1645317</v>
      </c>
      <c r="F16" s="127">
        <f>data!B164</f>
        <v>0</v>
      </c>
      <c r="G16" s="127">
        <f>data!B163+data!B164</f>
        <v>1645317</v>
      </c>
    </row>
    <row r="17" spans="1:7" ht="20.149999999999999" customHeight="1" x14ac:dyDescent="0.35">
      <c r="A17" s="63" t="s">
        <v>341</v>
      </c>
      <c r="B17" s="127">
        <f>data!C160</f>
        <v>3</v>
      </c>
      <c r="C17" s="127">
        <f>data!C161</f>
        <v>2460</v>
      </c>
      <c r="D17" s="127">
        <f>data!C162</f>
        <v>0</v>
      </c>
      <c r="E17" s="127">
        <f>data!C163</f>
        <v>79088</v>
      </c>
      <c r="F17" s="127">
        <f>data!C164</f>
        <v>0</v>
      </c>
      <c r="G17" s="127">
        <f>data!C163+data!C164</f>
        <v>79088</v>
      </c>
    </row>
    <row r="18" spans="1:7" ht="20.149999999999999" customHeight="1" x14ac:dyDescent="0.35">
      <c r="A18" s="63" t="s">
        <v>840</v>
      </c>
      <c r="B18" s="127">
        <f>data!D160</f>
        <v>1</v>
      </c>
      <c r="C18" s="127">
        <f>data!D161</f>
        <v>822</v>
      </c>
      <c r="D18" s="127">
        <f>data!D162</f>
        <v>0</v>
      </c>
      <c r="E18" s="127">
        <f>data!D163</f>
        <v>18413</v>
      </c>
      <c r="F18" s="127">
        <f>data!D164</f>
        <v>0</v>
      </c>
      <c r="G18" s="127">
        <f>data!D163+data!D164</f>
        <v>18413</v>
      </c>
    </row>
    <row r="19" spans="1:7" ht="20.149999999999999" customHeight="1" x14ac:dyDescent="0.35">
      <c r="A19" s="78" t="s">
        <v>226</v>
      </c>
      <c r="B19" s="127">
        <f>data!E160</f>
        <v>46</v>
      </c>
      <c r="C19" s="127">
        <f>data!E161</f>
        <v>4052</v>
      </c>
      <c r="D19" s="127">
        <f>data!E162</f>
        <v>0</v>
      </c>
      <c r="E19" s="127">
        <f>data!E163</f>
        <v>1742818</v>
      </c>
      <c r="F19" s="127">
        <f>data!E164</f>
        <v>0</v>
      </c>
      <c r="G19" s="127">
        <f>data!E163+data!E164</f>
        <v>1742818</v>
      </c>
    </row>
    <row r="20" spans="1:7" ht="20.149999999999999" customHeight="1" x14ac:dyDescent="0.35">
      <c r="A20" s="128"/>
      <c r="B20" s="129"/>
      <c r="C20" s="129"/>
      <c r="D20" s="129"/>
      <c r="E20" s="129"/>
      <c r="F20" s="129"/>
      <c r="G20" s="130"/>
    </row>
    <row r="21" spans="1:7" ht="20.149999999999999" customHeight="1" x14ac:dyDescent="0.35">
      <c r="A21" s="68"/>
      <c r="B21" s="69"/>
      <c r="C21" s="69"/>
      <c r="D21" s="69"/>
      <c r="E21" s="69"/>
      <c r="F21" s="69"/>
      <c r="G21" s="70"/>
    </row>
    <row r="22" spans="1:7" ht="20.149999999999999" customHeight="1" x14ac:dyDescent="0.35">
      <c r="A22" s="131" t="s">
        <v>842</v>
      </c>
      <c r="B22" s="62"/>
      <c r="C22" s="62"/>
      <c r="D22" s="62"/>
      <c r="E22" s="62"/>
      <c r="F22" s="62"/>
      <c r="G22" s="132"/>
    </row>
    <row r="23" spans="1:7" ht="20.149999999999999" customHeight="1" x14ac:dyDescent="0.35">
      <c r="A23" s="124"/>
      <c r="B23" s="74" t="s">
        <v>837</v>
      </c>
      <c r="C23" s="74"/>
      <c r="D23" s="74"/>
      <c r="E23" s="74" t="s">
        <v>346</v>
      </c>
      <c r="F23" s="74"/>
      <c r="G23" s="74"/>
    </row>
    <row r="24" spans="1:7" ht="20.149999999999999" customHeight="1" x14ac:dyDescent="0.35">
      <c r="A24" s="126" t="s">
        <v>838</v>
      </c>
      <c r="B24" s="79" t="s">
        <v>319</v>
      </c>
      <c r="C24" s="79" t="s">
        <v>839</v>
      </c>
      <c r="D24" s="79" t="s">
        <v>342</v>
      </c>
      <c r="E24" s="79" t="s">
        <v>191</v>
      </c>
      <c r="F24" s="79" t="s">
        <v>154</v>
      </c>
      <c r="G24" s="79" t="s">
        <v>226</v>
      </c>
    </row>
    <row r="25" spans="1:7" ht="20.149999999999999" customHeight="1" x14ac:dyDescent="0.35">
      <c r="A25" s="63" t="s">
        <v>340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49999999999999" customHeight="1" x14ac:dyDescent="0.35">
      <c r="A26" s="63" t="s">
        <v>341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49999999999999" customHeight="1" x14ac:dyDescent="0.35">
      <c r="A27" s="63" t="s">
        <v>840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49999999999999" customHeight="1" x14ac:dyDescent="0.35">
      <c r="A28" s="78" t="s">
        <v>226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49999999999999" customHeight="1" x14ac:dyDescent="0.35">
      <c r="A29" s="128"/>
      <c r="B29" s="129"/>
      <c r="C29" s="129"/>
      <c r="D29" s="129"/>
      <c r="E29" s="129"/>
      <c r="F29" s="129"/>
      <c r="G29" s="130"/>
    </row>
    <row r="30" spans="1:7" ht="20.149999999999999" customHeight="1" x14ac:dyDescent="0.35">
      <c r="A30" s="68"/>
      <c r="B30" s="81"/>
      <c r="C30" s="69"/>
      <c r="D30" s="69"/>
      <c r="E30" s="69"/>
      <c r="F30" s="69"/>
      <c r="G30" s="70"/>
    </row>
    <row r="31" spans="1:7" ht="20.149999999999999" customHeight="1" x14ac:dyDescent="0.35">
      <c r="A31" s="134" t="s">
        <v>843</v>
      </c>
      <c r="B31" s="135"/>
      <c r="C31" s="66"/>
      <c r="D31" s="65"/>
      <c r="E31" s="65"/>
      <c r="F31" s="65"/>
      <c r="G31" s="136"/>
    </row>
    <row r="32" spans="1:7" ht="20.149999999999999" customHeight="1" x14ac:dyDescent="0.35">
      <c r="A32" s="137"/>
      <c r="B32" s="138" t="s">
        <v>844</v>
      </c>
      <c r="C32" s="139">
        <f>data!B173</f>
        <v>1389955</v>
      </c>
      <c r="D32" s="66"/>
      <c r="E32" s="66"/>
      <c r="F32" s="66"/>
      <c r="G32" s="84"/>
    </row>
    <row r="33" spans="1:7" ht="20.149999999999999" customHeight="1" x14ac:dyDescent="0.35">
      <c r="A33" s="137"/>
      <c r="B33" s="140" t="s">
        <v>845</v>
      </c>
      <c r="C33" s="135">
        <f>data!C173</f>
        <v>230839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workbookViewId="0">
      <selection activeCell="M24" sqref="M2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41" t="s">
        <v>349</v>
      </c>
      <c r="B1" s="62"/>
      <c r="C1" s="61" t="s">
        <v>846</v>
      </c>
    </row>
    <row r="2" spans="1:3" ht="20.149999999999999" customHeight="1" x14ac:dyDescent="0.35">
      <c r="A2" s="86"/>
    </row>
    <row r="3" spans="1:3" ht="20.149999999999999" customHeight="1" x14ac:dyDescent="0.35">
      <c r="A3" s="120" t="str">
        <f>"Hospital: "&amp;data!C98</f>
        <v>Hospital: Ferry County Public Hospital District No. 1</v>
      </c>
      <c r="B3" s="69"/>
      <c r="C3" s="142" t="str">
        <f>"FYE: "&amp;data!C96</f>
        <v>FYE: 12/31/2022</v>
      </c>
    </row>
    <row r="4" spans="1:3" ht="20.149999999999999" customHeight="1" x14ac:dyDescent="0.35">
      <c r="A4" s="69"/>
    </row>
    <row r="5" spans="1:3" ht="20.149999999999999" customHeight="1" x14ac:dyDescent="0.35">
      <c r="A5" s="63">
        <v>1</v>
      </c>
      <c r="B5" s="75" t="s">
        <v>350</v>
      </c>
      <c r="C5" s="123"/>
    </row>
    <row r="6" spans="1:3" ht="20.149999999999999" customHeight="1" x14ac:dyDescent="0.35">
      <c r="A6" s="143">
        <v>2</v>
      </c>
      <c r="B6" s="64" t="s">
        <v>847</v>
      </c>
      <c r="C6" s="63">
        <f>data!C181</f>
        <v>681455</v>
      </c>
    </row>
    <row r="7" spans="1:3" ht="20.149999999999999" customHeight="1" x14ac:dyDescent="0.35">
      <c r="A7" s="144">
        <v>3</v>
      </c>
      <c r="B7" s="83" t="s">
        <v>352</v>
      </c>
      <c r="C7" s="63">
        <f>data!C182</f>
        <v>53489</v>
      </c>
    </row>
    <row r="8" spans="1:3" ht="20.149999999999999" customHeight="1" x14ac:dyDescent="0.35">
      <c r="A8" s="144">
        <v>4</v>
      </c>
      <c r="B8" s="64" t="s">
        <v>353</v>
      </c>
      <c r="C8" s="63">
        <f>data!C183</f>
        <v>85869</v>
      </c>
    </row>
    <row r="9" spans="1:3" ht="20.149999999999999" customHeight="1" x14ac:dyDescent="0.35">
      <c r="A9" s="144">
        <v>5</v>
      </c>
      <c r="B9" s="64" t="s">
        <v>354</v>
      </c>
      <c r="C9" s="63">
        <f>data!C184</f>
        <v>1167201</v>
      </c>
    </row>
    <row r="10" spans="1:3" ht="20.149999999999999" customHeight="1" x14ac:dyDescent="0.35">
      <c r="A10" s="144">
        <v>6</v>
      </c>
      <c r="B10" s="64" t="s">
        <v>355</v>
      </c>
      <c r="C10" s="63">
        <f>data!C185</f>
        <v>0</v>
      </c>
    </row>
    <row r="11" spans="1:3" ht="20.149999999999999" customHeight="1" x14ac:dyDescent="0.35">
      <c r="A11" s="144">
        <v>7</v>
      </c>
      <c r="B11" s="64" t="s">
        <v>356</v>
      </c>
      <c r="C11" s="63">
        <f>data!C186</f>
        <v>101670</v>
      </c>
    </row>
    <row r="12" spans="1:3" ht="20.149999999999999" customHeight="1" x14ac:dyDescent="0.35">
      <c r="A12" s="144">
        <v>8</v>
      </c>
      <c r="B12" s="64" t="s">
        <v>357</v>
      </c>
      <c r="C12" s="63">
        <f>data!C187</f>
        <v>14344</v>
      </c>
    </row>
    <row r="13" spans="1:3" ht="20.149999999999999" customHeight="1" x14ac:dyDescent="0.35">
      <c r="A13" s="144">
        <v>9</v>
      </c>
      <c r="B13" s="64" t="s">
        <v>357</v>
      </c>
      <c r="C13" s="63">
        <f>data!C188</f>
        <v>0</v>
      </c>
    </row>
    <row r="14" spans="1:3" ht="20.149999999999999" customHeight="1" x14ac:dyDescent="0.35">
      <c r="A14" s="144">
        <v>10</v>
      </c>
      <c r="B14" s="64" t="s">
        <v>848</v>
      </c>
      <c r="C14" s="63">
        <f>data!D189</f>
        <v>2104028</v>
      </c>
    </row>
    <row r="15" spans="1:3" ht="20.149999999999999" customHeight="1" x14ac:dyDescent="0.35">
      <c r="A15" s="68"/>
      <c r="B15" s="69"/>
      <c r="C15" s="70"/>
    </row>
    <row r="16" spans="1:3" ht="20.149999999999999" customHeight="1" x14ac:dyDescent="0.35">
      <c r="A16" s="68"/>
      <c r="B16" s="69"/>
      <c r="C16" s="70"/>
    </row>
    <row r="17" spans="1:3" ht="20.149999999999999" customHeight="1" x14ac:dyDescent="0.35">
      <c r="A17" s="145">
        <v>11</v>
      </c>
      <c r="B17" s="76" t="s">
        <v>358</v>
      </c>
      <c r="C17" s="77"/>
    </row>
    <row r="18" spans="1:3" ht="20.149999999999999" customHeight="1" x14ac:dyDescent="0.35">
      <c r="A18" s="63">
        <v>12</v>
      </c>
      <c r="B18" s="64" t="s">
        <v>849</v>
      </c>
      <c r="C18" s="63">
        <f>data!C191</f>
        <v>206835</v>
      </c>
    </row>
    <row r="19" spans="1:3" ht="20.149999999999999" customHeight="1" x14ac:dyDescent="0.35">
      <c r="A19" s="63">
        <v>13</v>
      </c>
      <c r="B19" s="64" t="s">
        <v>850</v>
      </c>
      <c r="C19" s="63">
        <f>data!C192</f>
        <v>48086</v>
      </c>
    </row>
    <row r="20" spans="1:3" ht="20.149999999999999" customHeight="1" x14ac:dyDescent="0.35">
      <c r="A20" s="63">
        <v>14</v>
      </c>
      <c r="B20" s="64" t="s">
        <v>851</v>
      </c>
      <c r="C20" s="63">
        <f>data!D193</f>
        <v>254921</v>
      </c>
    </row>
    <row r="21" spans="1:3" ht="20.149999999999999" customHeight="1" x14ac:dyDescent="0.35">
      <c r="A21" s="68"/>
      <c r="B21" s="69"/>
      <c r="C21" s="70"/>
    </row>
    <row r="22" spans="1:3" ht="20.149999999999999" customHeight="1" x14ac:dyDescent="0.35">
      <c r="A22" s="68"/>
      <c r="C22" s="146"/>
    </row>
    <row r="23" spans="1:3" ht="20.149999999999999" customHeight="1" x14ac:dyDescent="0.35">
      <c r="A23" s="124">
        <v>15</v>
      </c>
      <c r="B23" s="147" t="s">
        <v>361</v>
      </c>
      <c r="C23" s="123"/>
    </row>
    <row r="24" spans="1:3" ht="20.149999999999999" customHeight="1" x14ac:dyDescent="0.35">
      <c r="A24" s="63">
        <v>16</v>
      </c>
      <c r="B24" s="75" t="s">
        <v>852</v>
      </c>
      <c r="C24" s="148"/>
    </row>
    <row r="25" spans="1:3" ht="20.149999999999999" customHeight="1" x14ac:dyDescent="0.35">
      <c r="A25" s="63">
        <v>17</v>
      </c>
      <c r="B25" s="64" t="s">
        <v>853</v>
      </c>
      <c r="C25" s="63">
        <f>data!C195</f>
        <v>85661</v>
      </c>
    </row>
    <row r="26" spans="1:3" ht="20.149999999999999" customHeight="1" x14ac:dyDescent="0.35">
      <c r="A26" s="63">
        <v>18</v>
      </c>
      <c r="B26" s="64" t="s">
        <v>363</v>
      </c>
      <c r="C26" s="63">
        <f>data!C196</f>
        <v>55987</v>
      </c>
    </row>
    <row r="27" spans="1:3" ht="20.149999999999999" customHeight="1" x14ac:dyDescent="0.35">
      <c r="A27" s="63">
        <v>19</v>
      </c>
      <c r="B27" s="64" t="s">
        <v>854</v>
      </c>
      <c r="C27" s="63">
        <f>data!D197</f>
        <v>141648</v>
      </c>
    </row>
    <row r="28" spans="1:3" ht="20.149999999999999" customHeight="1" x14ac:dyDescent="0.35">
      <c r="A28" s="68"/>
      <c r="B28" s="69"/>
      <c r="C28" s="70"/>
    </row>
    <row r="29" spans="1:3" ht="20.149999999999999" customHeight="1" x14ac:dyDescent="0.35">
      <c r="A29" s="68"/>
      <c r="B29" s="69"/>
      <c r="C29" s="70"/>
    </row>
    <row r="30" spans="1:3" ht="20.149999999999999" customHeight="1" x14ac:dyDescent="0.35">
      <c r="A30" s="124">
        <v>20</v>
      </c>
      <c r="B30" s="147" t="s">
        <v>855</v>
      </c>
      <c r="C30" s="133"/>
    </row>
    <row r="31" spans="1:3" ht="20.149999999999999" customHeight="1" x14ac:dyDescent="0.35">
      <c r="A31" s="63">
        <v>21</v>
      </c>
      <c r="B31" s="64" t="s">
        <v>365</v>
      </c>
      <c r="C31" s="63">
        <f>data!C199</f>
        <v>143710</v>
      </c>
    </row>
    <row r="32" spans="1:3" ht="20.149999999999999" customHeight="1" x14ac:dyDescent="0.35">
      <c r="A32" s="63">
        <v>22</v>
      </c>
      <c r="B32" s="64" t="s">
        <v>856</v>
      </c>
      <c r="C32" s="63">
        <f>data!C200</f>
        <v>0</v>
      </c>
    </row>
    <row r="33" spans="1:3" ht="20.149999999999999" customHeight="1" x14ac:dyDescent="0.35">
      <c r="A33" s="63">
        <v>23</v>
      </c>
      <c r="B33" s="64" t="s">
        <v>155</v>
      </c>
      <c r="C33" s="63">
        <f>data!C201</f>
        <v>0</v>
      </c>
    </row>
    <row r="34" spans="1:3" ht="20.149999999999999" customHeight="1" x14ac:dyDescent="0.35">
      <c r="A34" s="63">
        <v>24</v>
      </c>
      <c r="B34" s="64" t="s">
        <v>857</v>
      </c>
      <c r="C34" s="63">
        <f>data!D202</f>
        <v>143710</v>
      </c>
    </row>
    <row r="35" spans="1:3" ht="20.149999999999999" customHeight="1" x14ac:dyDescent="0.35">
      <c r="A35" s="68"/>
      <c r="B35" s="69"/>
      <c r="C35" s="70"/>
    </row>
    <row r="36" spans="1:3" ht="20.149999999999999" customHeight="1" x14ac:dyDescent="0.35">
      <c r="A36" s="68"/>
      <c r="B36" s="69"/>
      <c r="C36" s="70"/>
    </row>
    <row r="37" spans="1:3" ht="20.149999999999999" customHeight="1" x14ac:dyDescent="0.35">
      <c r="A37" s="124">
        <v>25</v>
      </c>
      <c r="B37" s="147" t="s">
        <v>367</v>
      </c>
      <c r="C37" s="123"/>
    </row>
    <row r="38" spans="1:3" ht="20.149999999999999" customHeight="1" x14ac:dyDescent="0.35">
      <c r="A38" s="63">
        <v>26</v>
      </c>
      <c r="B38" s="64" t="s">
        <v>858</v>
      </c>
      <c r="C38" s="63">
        <f>data!C204</f>
        <v>48067</v>
      </c>
    </row>
    <row r="39" spans="1:3" ht="20.149999999999999" customHeight="1" x14ac:dyDescent="0.35">
      <c r="A39" s="63">
        <v>27</v>
      </c>
      <c r="B39" s="64" t="s">
        <v>369</v>
      </c>
      <c r="C39" s="63">
        <f>data!C205</f>
        <v>0</v>
      </c>
    </row>
    <row r="40" spans="1:3" ht="20.149999999999999" customHeight="1" x14ac:dyDescent="0.35">
      <c r="A40" s="63">
        <v>28</v>
      </c>
      <c r="B40" s="64" t="s">
        <v>859</v>
      </c>
      <c r="C40" s="63">
        <f>data!D206</f>
        <v>48067</v>
      </c>
    </row>
    <row r="41" spans="1:3" x14ac:dyDescent="0.3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M24" sqref="M2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41" t="s">
        <v>370</v>
      </c>
      <c r="B1" s="62"/>
      <c r="C1" s="62"/>
      <c r="D1" s="62"/>
      <c r="E1" s="62"/>
      <c r="F1" s="61" t="s">
        <v>860</v>
      </c>
    </row>
    <row r="3" spans="1:6" ht="20.149999999999999" customHeight="1" x14ac:dyDescent="0.35">
      <c r="A3" s="120" t="str">
        <f>"Hospital: "&amp;data!C98</f>
        <v>Hospital: Ferry County Public Hospital District No. 1</v>
      </c>
      <c r="F3" s="142" t="str">
        <f>"FYE: "&amp;data!C96</f>
        <v>FYE: 12/31/2022</v>
      </c>
    </row>
    <row r="4" spans="1:6" ht="20.149999999999999" customHeight="1" x14ac:dyDescent="0.35">
      <c r="A4" s="148" t="s">
        <v>371</v>
      </c>
      <c r="B4" s="74"/>
      <c r="C4" s="74"/>
      <c r="D4" s="75"/>
      <c r="E4" s="75"/>
      <c r="F4" s="74"/>
    </row>
    <row r="5" spans="1:6" ht="20.149999999999999" customHeight="1" x14ac:dyDescent="0.35">
      <c r="A5" s="124"/>
      <c r="B5" s="150"/>
      <c r="C5" s="151" t="s">
        <v>861</v>
      </c>
      <c r="D5" s="151"/>
      <c r="E5" s="151"/>
      <c r="F5" s="151" t="s">
        <v>862</v>
      </c>
    </row>
    <row r="6" spans="1:6" ht="20.149999999999999" customHeight="1" x14ac:dyDescent="0.35">
      <c r="A6" s="152"/>
      <c r="B6" s="70"/>
      <c r="C6" s="153" t="s">
        <v>863</v>
      </c>
      <c r="D6" s="153" t="s">
        <v>373</v>
      </c>
      <c r="E6" s="153" t="s">
        <v>864</v>
      </c>
      <c r="F6" s="153" t="s">
        <v>863</v>
      </c>
    </row>
    <row r="7" spans="1:6" ht="20.149999999999999" customHeight="1" x14ac:dyDescent="0.35">
      <c r="A7" s="63">
        <v>1</v>
      </c>
      <c r="B7" s="67" t="s">
        <v>376</v>
      </c>
      <c r="C7" s="67">
        <f>data!B211</f>
        <v>47282</v>
      </c>
      <c r="D7" s="67">
        <f>data!C211</f>
        <v>0</v>
      </c>
      <c r="E7" s="67">
        <f>data!D211</f>
        <v>0</v>
      </c>
      <c r="F7" s="67">
        <f>data!E211</f>
        <v>47282</v>
      </c>
    </row>
    <row r="8" spans="1:6" ht="20.149999999999999" customHeight="1" x14ac:dyDescent="0.35">
      <c r="A8" s="63">
        <v>2</v>
      </c>
      <c r="B8" s="67" t="s">
        <v>377</v>
      </c>
      <c r="C8" s="67">
        <f>data!B212</f>
        <v>671889</v>
      </c>
      <c r="D8" s="67">
        <f>data!C212</f>
        <v>139501</v>
      </c>
      <c r="E8" s="67">
        <f>data!D212</f>
        <v>0</v>
      </c>
      <c r="F8" s="67">
        <f>data!E212</f>
        <v>811390</v>
      </c>
    </row>
    <row r="9" spans="1:6" ht="20.149999999999999" customHeight="1" x14ac:dyDescent="0.35">
      <c r="A9" s="63">
        <v>3</v>
      </c>
      <c r="B9" s="67" t="s">
        <v>378</v>
      </c>
      <c r="C9" s="67">
        <f>data!B213</f>
        <v>9217231</v>
      </c>
      <c r="D9" s="67" t="str">
        <f>data!C213</f>
        <v xml:space="preserve"> </v>
      </c>
      <c r="E9" s="67">
        <f>data!D213</f>
        <v>0</v>
      </c>
      <c r="F9" s="67">
        <f>data!E213</f>
        <v>9217231</v>
      </c>
    </row>
    <row r="10" spans="1:6" ht="20.149999999999999" customHeight="1" x14ac:dyDescent="0.35">
      <c r="A10" s="63">
        <v>4</v>
      </c>
      <c r="B10" s="67" t="s">
        <v>865</v>
      </c>
      <c r="C10" s="67">
        <f>data!B214</f>
        <v>2117342</v>
      </c>
      <c r="D10" s="67">
        <f>data!C214</f>
        <v>30866</v>
      </c>
      <c r="E10" s="67">
        <f>data!D214</f>
        <v>0</v>
      </c>
      <c r="F10" s="67">
        <f>data!E214</f>
        <v>2148208</v>
      </c>
    </row>
    <row r="11" spans="1:6" ht="20.149999999999999" customHeight="1" x14ac:dyDescent="0.35">
      <c r="A11" s="63">
        <v>5</v>
      </c>
      <c r="B11" s="67" t="s">
        <v>866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49999999999999" customHeight="1" x14ac:dyDescent="0.35">
      <c r="A12" s="63">
        <v>6</v>
      </c>
      <c r="B12" s="67" t="s">
        <v>867</v>
      </c>
      <c r="C12" s="67">
        <f>data!B216</f>
        <v>5340404</v>
      </c>
      <c r="D12" s="67">
        <f>data!C216</f>
        <v>456642</v>
      </c>
      <c r="E12" s="67">
        <f>data!D216</f>
        <v>0</v>
      </c>
      <c r="F12" s="67">
        <f>data!E216</f>
        <v>5797046</v>
      </c>
    </row>
    <row r="13" spans="1:6" ht="20.149999999999999" customHeight="1" x14ac:dyDescent="0.35">
      <c r="A13" s="63">
        <v>7</v>
      </c>
      <c r="B13" s="67" t="s">
        <v>868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49999999999999" customHeight="1" x14ac:dyDescent="0.35">
      <c r="A14" s="63">
        <v>8</v>
      </c>
      <c r="B14" s="67" t="s">
        <v>383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49999999999999" customHeight="1" x14ac:dyDescent="0.35">
      <c r="A15" s="63">
        <v>9</v>
      </c>
      <c r="B15" s="67" t="s">
        <v>869</v>
      </c>
      <c r="C15" s="67">
        <f>data!B219</f>
        <v>0</v>
      </c>
      <c r="D15" s="67">
        <f>data!C219</f>
        <v>56478</v>
      </c>
      <c r="E15" s="67" t="str">
        <f>data!D219</f>
        <v xml:space="preserve"> </v>
      </c>
      <c r="F15" s="67">
        <f>data!E219</f>
        <v>56478</v>
      </c>
    </row>
    <row r="16" spans="1:6" ht="20.149999999999999" customHeight="1" x14ac:dyDescent="0.35">
      <c r="A16" s="63">
        <v>10</v>
      </c>
      <c r="B16" s="67" t="s">
        <v>597</v>
      </c>
      <c r="C16" s="67">
        <f>data!B220</f>
        <v>17394148</v>
      </c>
      <c r="D16" s="67">
        <f>data!C220</f>
        <v>683487</v>
      </c>
      <c r="E16" s="67">
        <f>data!D220</f>
        <v>0</v>
      </c>
      <c r="F16" s="67">
        <f>data!E220</f>
        <v>18077635</v>
      </c>
    </row>
    <row r="17" spans="1:6" ht="20.149999999999999" customHeight="1" x14ac:dyDescent="0.35">
      <c r="A17" s="68"/>
      <c r="B17" s="69"/>
      <c r="C17" s="69"/>
      <c r="D17" s="69"/>
      <c r="E17" s="69"/>
      <c r="F17" s="70"/>
    </row>
    <row r="18" spans="1:6" ht="20.149999999999999" customHeight="1" x14ac:dyDescent="0.35">
      <c r="A18" s="71"/>
      <c r="F18" s="82"/>
    </row>
    <row r="19" spans="1:6" ht="20.149999999999999" customHeight="1" x14ac:dyDescent="0.35">
      <c r="A19" s="71"/>
      <c r="F19" s="82"/>
    </row>
    <row r="20" spans="1:6" ht="20.149999999999999" customHeight="1" x14ac:dyDescent="0.35">
      <c r="A20" s="148" t="s">
        <v>385</v>
      </c>
      <c r="B20" s="74"/>
      <c r="C20" s="74"/>
      <c r="D20" s="74"/>
      <c r="E20" s="74"/>
      <c r="F20" s="74"/>
    </row>
    <row r="21" spans="1:6" ht="20.149999999999999" customHeight="1" x14ac:dyDescent="0.35">
      <c r="A21" s="154"/>
      <c r="B21" s="146"/>
      <c r="C21" s="153" t="s">
        <v>861</v>
      </c>
      <c r="D21" s="4" t="s">
        <v>226</v>
      </c>
      <c r="E21" s="153"/>
      <c r="F21" s="153" t="s">
        <v>862</v>
      </c>
    </row>
    <row r="22" spans="1:6" ht="20.149999999999999" customHeight="1" x14ac:dyDescent="0.35">
      <c r="A22" s="154"/>
      <c r="B22" s="146"/>
      <c r="C22" s="153" t="s">
        <v>863</v>
      </c>
      <c r="D22" s="153" t="s">
        <v>870</v>
      </c>
      <c r="E22" s="153" t="s">
        <v>864</v>
      </c>
      <c r="F22" s="153" t="s">
        <v>863</v>
      </c>
    </row>
    <row r="23" spans="1:6" ht="20.149999999999999" customHeight="1" x14ac:dyDescent="0.35">
      <c r="A23" s="63">
        <v>11</v>
      </c>
      <c r="B23" s="155" t="s">
        <v>376</v>
      </c>
      <c r="C23" s="155"/>
      <c r="D23" s="155"/>
      <c r="E23" s="155"/>
      <c r="F23" s="155"/>
    </row>
    <row r="24" spans="1:6" ht="20.149999999999999" customHeight="1" x14ac:dyDescent="0.35">
      <c r="A24" s="63">
        <v>12</v>
      </c>
      <c r="B24" s="67" t="s">
        <v>377</v>
      </c>
      <c r="C24" s="67">
        <f>data!B225</f>
        <v>246515</v>
      </c>
      <c r="D24" s="67">
        <f>data!C225</f>
        <v>40332</v>
      </c>
      <c r="E24" s="67">
        <f>data!D225</f>
        <v>0</v>
      </c>
      <c r="F24" s="67">
        <f>data!E225</f>
        <v>286847</v>
      </c>
    </row>
    <row r="25" spans="1:6" ht="20.149999999999999" customHeight="1" x14ac:dyDescent="0.35">
      <c r="A25" s="63">
        <v>13</v>
      </c>
      <c r="B25" s="67" t="s">
        <v>378</v>
      </c>
      <c r="C25" s="67">
        <f>data!B226</f>
        <v>5239362</v>
      </c>
      <c r="D25" s="67">
        <f>data!C226</f>
        <v>474096</v>
      </c>
      <c r="E25" s="67">
        <f>data!D226</f>
        <v>0</v>
      </c>
      <c r="F25" s="67">
        <f>data!E226</f>
        <v>5713458</v>
      </c>
    </row>
    <row r="26" spans="1:6" ht="20.149999999999999" customHeight="1" x14ac:dyDescent="0.35">
      <c r="A26" s="63">
        <v>14</v>
      </c>
      <c r="B26" s="67" t="s">
        <v>865</v>
      </c>
      <c r="C26" s="67">
        <f>data!B227</f>
        <v>1779453</v>
      </c>
      <c r="D26" s="67">
        <f>data!C227</f>
        <v>31994</v>
      </c>
      <c r="E26" s="67">
        <f>data!D227</f>
        <v>0</v>
      </c>
      <c r="F26" s="67">
        <f>data!E227</f>
        <v>1811447</v>
      </c>
    </row>
    <row r="27" spans="1:6" ht="20.149999999999999" customHeight="1" x14ac:dyDescent="0.35">
      <c r="A27" s="63">
        <v>15</v>
      </c>
      <c r="B27" s="67" t="s">
        <v>866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49999999999999" customHeight="1" x14ac:dyDescent="0.35">
      <c r="A28" s="63">
        <v>16</v>
      </c>
      <c r="B28" s="67" t="s">
        <v>867</v>
      </c>
      <c r="C28" s="67">
        <f>data!B229</f>
        <v>3689077</v>
      </c>
      <c r="D28" s="67">
        <f>data!C229</f>
        <v>390096</v>
      </c>
      <c r="E28" s="67">
        <f>data!D229</f>
        <v>0</v>
      </c>
      <c r="F28" s="67">
        <f>data!E229</f>
        <v>4079173</v>
      </c>
    </row>
    <row r="29" spans="1:6" ht="20.149999999999999" customHeight="1" x14ac:dyDescent="0.35">
      <c r="A29" s="63">
        <v>17</v>
      </c>
      <c r="B29" s="67" t="s">
        <v>868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49999999999999" customHeight="1" x14ac:dyDescent="0.35">
      <c r="A30" s="63">
        <v>18</v>
      </c>
      <c r="B30" s="67" t="s">
        <v>383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49999999999999" customHeight="1" x14ac:dyDescent="0.35">
      <c r="A31" s="63">
        <v>19</v>
      </c>
      <c r="B31" s="67" t="s">
        <v>869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49999999999999" customHeight="1" x14ac:dyDescent="0.35">
      <c r="A32" s="63">
        <v>20</v>
      </c>
      <c r="B32" s="67" t="s">
        <v>597</v>
      </c>
      <c r="C32" s="67">
        <f>data!B233</f>
        <v>10954407</v>
      </c>
      <c r="D32" s="67">
        <f>data!C233</f>
        <v>936518</v>
      </c>
      <c r="E32" s="67">
        <f>data!D233</f>
        <v>0</v>
      </c>
      <c r="F32" s="67">
        <f>data!E233</f>
        <v>11890925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M24" sqref="M2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62" t="s">
        <v>871</v>
      </c>
      <c r="B1" s="62"/>
      <c r="C1" s="62"/>
      <c r="D1" s="61" t="s">
        <v>872</v>
      </c>
    </row>
    <row r="2" spans="1:4" ht="20.149999999999999" customHeight="1" x14ac:dyDescent="0.35">
      <c r="A2" s="120" t="str">
        <f>"Hospital: "&amp;data!C98</f>
        <v>Hospital: Ferry County Public Hospital District No. 1</v>
      </c>
      <c r="B2" s="69"/>
      <c r="C2" s="69"/>
      <c r="D2" s="142" t="str">
        <f>"FYE: "&amp;data!C96</f>
        <v>FYE: 12/31/2022</v>
      </c>
    </row>
    <row r="3" spans="1:4" ht="20.149999999999999" customHeight="1" x14ac:dyDescent="0.35">
      <c r="A3" s="124"/>
      <c r="B3" s="150"/>
      <c r="C3" s="150"/>
      <c r="D3" s="150"/>
    </row>
    <row r="4" spans="1:4" ht="20.149999999999999" customHeight="1" x14ac:dyDescent="0.35">
      <c r="A4" s="144"/>
      <c r="B4" s="156" t="s">
        <v>873</v>
      </c>
      <c r="C4" s="156" t="s">
        <v>874</v>
      </c>
      <c r="D4" s="157"/>
    </row>
    <row r="5" spans="1:4" ht="20.149999999999999" customHeight="1" x14ac:dyDescent="0.35">
      <c r="A5" s="124">
        <v>1</v>
      </c>
      <c r="B5" s="158"/>
      <c r="C5" s="80" t="s">
        <v>387</v>
      </c>
      <c r="D5" s="67">
        <f>data!D237</f>
        <v>322454</v>
      </c>
    </row>
    <row r="6" spans="1:4" ht="20.149999999999999" customHeight="1" x14ac:dyDescent="0.35">
      <c r="A6" s="63">
        <v>2</v>
      </c>
      <c r="B6" s="69"/>
      <c r="C6" s="142" t="s">
        <v>483</v>
      </c>
      <c r="D6" s="153"/>
    </row>
    <row r="7" spans="1:4" ht="20.149999999999999" customHeight="1" x14ac:dyDescent="0.35">
      <c r="A7" s="63">
        <v>3</v>
      </c>
      <c r="B7" s="158">
        <v>5810</v>
      </c>
      <c r="C7" s="67" t="s">
        <v>340</v>
      </c>
      <c r="D7" s="67">
        <f>data!C239</f>
        <v>4617237</v>
      </c>
    </row>
    <row r="8" spans="1:4" ht="20.149999999999999" customHeight="1" x14ac:dyDescent="0.35">
      <c r="A8" s="63">
        <v>4</v>
      </c>
      <c r="B8" s="158">
        <v>5820</v>
      </c>
      <c r="C8" s="67" t="s">
        <v>341</v>
      </c>
      <c r="D8" s="67">
        <f>data!C240</f>
        <v>2917918</v>
      </c>
    </row>
    <row r="9" spans="1:4" ht="20.149999999999999" customHeight="1" x14ac:dyDescent="0.35">
      <c r="A9" s="63">
        <v>5</v>
      </c>
      <c r="B9" s="158">
        <v>5830</v>
      </c>
      <c r="C9" s="67" t="s">
        <v>353</v>
      </c>
      <c r="D9" s="67">
        <f>data!C241</f>
        <v>0</v>
      </c>
    </row>
    <row r="10" spans="1:4" ht="20.149999999999999" customHeight="1" x14ac:dyDescent="0.35">
      <c r="A10" s="63">
        <v>6</v>
      </c>
      <c r="B10" s="158">
        <v>5840</v>
      </c>
      <c r="C10" s="67" t="s">
        <v>392</v>
      </c>
      <c r="D10" s="67">
        <f>data!C242</f>
        <v>0</v>
      </c>
    </row>
    <row r="11" spans="1:4" ht="20.149999999999999" customHeight="1" x14ac:dyDescent="0.35">
      <c r="A11" s="63">
        <v>7</v>
      </c>
      <c r="B11" s="158">
        <v>5850</v>
      </c>
      <c r="C11" s="67" t="s">
        <v>875</v>
      </c>
      <c r="D11" s="67">
        <f>data!C243</f>
        <v>0</v>
      </c>
    </row>
    <row r="12" spans="1:4" ht="20.149999999999999" customHeight="1" x14ac:dyDescent="0.35">
      <c r="A12" s="63">
        <v>8</v>
      </c>
      <c r="B12" s="158">
        <v>5860</v>
      </c>
      <c r="C12" s="67" t="s">
        <v>155</v>
      </c>
      <c r="D12" s="67">
        <f>data!C244</f>
        <v>2817215</v>
      </c>
    </row>
    <row r="13" spans="1:4" ht="20.149999999999999" customHeight="1" x14ac:dyDescent="0.35">
      <c r="A13" s="63">
        <v>9</v>
      </c>
      <c r="B13" s="67"/>
      <c r="C13" s="67" t="s">
        <v>876</v>
      </c>
      <c r="D13" s="67">
        <f>data!D245</f>
        <v>10352370</v>
      </c>
    </row>
    <row r="14" spans="1:4" ht="20.149999999999999" customHeight="1" x14ac:dyDescent="0.35">
      <c r="A14" s="152">
        <v>10</v>
      </c>
      <c r="B14" s="79"/>
      <c r="C14" s="79"/>
      <c r="D14" s="79"/>
    </row>
    <row r="15" spans="1:4" ht="20.149999999999999" customHeight="1" x14ac:dyDescent="0.35">
      <c r="A15" s="63">
        <v>11</v>
      </c>
      <c r="B15" s="159"/>
      <c r="C15" s="159" t="s">
        <v>396</v>
      </c>
      <c r="D15" s="153"/>
    </row>
    <row r="16" spans="1:4" ht="20.149999999999999" customHeight="1" x14ac:dyDescent="0.35">
      <c r="A16" s="152">
        <v>12</v>
      </c>
      <c r="B16" s="79"/>
      <c r="C16" s="64" t="s">
        <v>877</v>
      </c>
      <c r="D16" s="63">
        <f>data!C247</f>
        <v>81</v>
      </c>
    </row>
    <row r="17" spans="1:4" ht="20.149999999999999" customHeight="1" x14ac:dyDescent="0.35">
      <c r="A17" s="63">
        <v>13</v>
      </c>
      <c r="B17" s="159"/>
      <c r="C17" s="69"/>
      <c r="D17" s="70"/>
    </row>
    <row r="18" spans="1:4" ht="20.149999999999999" customHeight="1" x14ac:dyDescent="0.35">
      <c r="A18" s="63">
        <v>14</v>
      </c>
      <c r="B18" s="160">
        <v>5900</v>
      </c>
      <c r="C18" s="67" t="s">
        <v>398</v>
      </c>
      <c r="D18" s="67">
        <f>data!C249</f>
        <v>79161</v>
      </c>
    </row>
    <row r="19" spans="1:4" ht="20.149999999999999" customHeight="1" x14ac:dyDescent="0.35">
      <c r="A19" s="161">
        <v>15</v>
      </c>
      <c r="B19" s="158">
        <v>5910</v>
      </c>
      <c r="C19" s="80" t="s">
        <v>878</v>
      </c>
      <c r="D19" s="67">
        <f>data!C250</f>
        <v>337279</v>
      </c>
    </row>
    <row r="20" spans="1:4" ht="20.149999999999999" customHeight="1" x14ac:dyDescent="0.35">
      <c r="A20" s="63">
        <v>16</v>
      </c>
      <c r="B20" s="67"/>
      <c r="C20" s="67"/>
      <c r="D20" s="79"/>
    </row>
    <row r="21" spans="1:4" ht="20.149999999999999" customHeight="1" x14ac:dyDescent="0.35">
      <c r="A21" s="63">
        <v>17</v>
      </c>
      <c r="B21" s="79"/>
      <c r="C21" s="79"/>
      <c r="D21" s="79"/>
    </row>
    <row r="22" spans="1:4" ht="20.149999999999999" customHeight="1" x14ac:dyDescent="0.35">
      <c r="A22" s="152">
        <v>18</v>
      </c>
      <c r="B22" s="79"/>
      <c r="C22" s="79" t="s">
        <v>879</v>
      </c>
      <c r="D22" s="67">
        <f>data!D252</f>
        <v>416440</v>
      </c>
    </row>
    <row r="23" spans="1:4" ht="20.149999999999999" customHeight="1" x14ac:dyDescent="0.35">
      <c r="A23" s="161">
        <v>19</v>
      </c>
      <c r="B23" s="159"/>
      <c r="C23" s="159"/>
      <c r="D23" s="153"/>
    </row>
    <row r="24" spans="1:4" ht="20.149999999999999" customHeight="1" x14ac:dyDescent="0.35">
      <c r="A24" s="162">
        <v>20</v>
      </c>
      <c r="B24" s="158">
        <v>5970</v>
      </c>
      <c r="C24" s="67" t="s">
        <v>402</v>
      </c>
      <c r="D24" s="67">
        <f>data!C254</f>
        <v>0</v>
      </c>
    </row>
    <row r="25" spans="1:4" ht="20.149999999999999" customHeight="1" x14ac:dyDescent="0.35">
      <c r="A25" s="161">
        <v>21</v>
      </c>
      <c r="B25" s="69"/>
      <c r="C25" s="69"/>
      <c r="D25" s="153"/>
    </row>
    <row r="26" spans="1:4" ht="20.149999999999999" customHeight="1" x14ac:dyDescent="0.35">
      <c r="A26" s="63">
        <v>22</v>
      </c>
      <c r="B26" s="158">
        <v>5980</v>
      </c>
      <c r="C26" s="67" t="s">
        <v>880</v>
      </c>
      <c r="D26" s="67">
        <f>data!C255</f>
        <v>0</v>
      </c>
    </row>
    <row r="27" spans="1:4" ht="20.149999999999999" customHeight="1" x14ac:dyDescent="0.35">
      <c r="A27" s="144">
        <v>23</v>
      </c>
      <c r="B27" s="163" t="s">
        <v>881</v>
      </c>
      <c r="C27" s="79"/>
      <c r="D27" s="67">
        <f>data!D258</f>
        <v>11091264</v>
      </c>
    </row>
    <row r="28" spans="1:4" ht="20.149999999999999" customHeight="1" x14ac:dyDescent="0.35">
      <c r="A28" s="72">
        <v>24</v>
      </c>
      <c r="B28" s="138" t="s">
        <v>882</v>
      </c>
      <c r="C28" s="81"/>
      <c r="D28" s="157"/>
    </row>
    <row r="29" spans="1:4" ht="20.149999999999999" customHeight="1" x14ac:dyDescent="0.35">
      <c r="A29" s="164"/>
      <c r="B29" s="165"/>
      <c r="C29" s="165"/>
      <c r="D29" s="79"/>
    </row>
    <row r="30" spans="1:4" ht="20.149999999999999" customHeight="1" x14ac:dyDescent="0.35">
      <c r="A30" s="166"/>
      <c r="B30" s="64"/>
      <c r="C30" s="64"/>
      <c r="D30" s="79"/>
    </row>
    <row r="31" spans="1:4" ht="20.149999999999999" customHeight="1" x14ac:dyDescent="0.35">
      <c r="A31" s="166"/>
      <c r="B31" s="64"/>
      <c r="C31" s="64"/>
      <c r="D31" s="79"/>
    </row>
    <row r="32" spans="1:4" ht="20.149999999999999" customHeight="1" x14ac:dyDescent="0.35">
      <c r="A32" s="166"/>
      <c r="B32" s="64"/>
      <c r="C32" s="64"/>
      <c r="D32" s="79"/>
    </row>
    <row r="33" spans="1:4" ht="20.149999999999999" customHeight="1" x14ac:dyDescent="0.35">
      <c r="A33" s="166"/>
      <c r="B33" s="64"/>
      <c r="C33" s="64"/>
      <c r="D33" s="67"/>
    </row>
    <row r="34" spans="1:4" ht="20.149999999999999" customHeight="1" x14ac:dyDescent="0.3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2024-04-17T17:23:16Z</cp:lastPrinted>
  <dcterms:created xsi:type="dcterms:W3CDTF">1999-06-02T22:01:56Z</dcterms:created>
  <dcterms:modified xsi:type="dcterms:W3CDTF">2025-08-13T15:15:00Z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000000NFZM20250729231714.xlsx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