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7172B274-E831-4E4F-B022-A6A9DED48F00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data!$A:$E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C59" i="24" l="1"/>
  <c r="C418" i="24" l="1"/>
  <c r="C334" i="24"/>
  <c r="C266" i="24"/>
  <c r="C254" i="24" l="1"/>
  <c r="AE59" i="24"/>
  <c r="Y59" i="24"/>
  <c r="AJ94" i="24" l="1"/>
  <c r="AG94" i="24"/>
  <c r="P94" i="24"/>
  <c r="C371" i="24" l="1"/>
  <c r="C380" i="24"/>
  <c r="D33" i="33"/>
  <c r="D32" i="33"/>
  <c r="CC84" i="24"/>
  <c r="BX84" i="24"/>
  <c r="BW84" i="24"/>
  <c r="BR84" i="24"/>
  <c r="BP84" i="24"/>
  <c r="BO84" i="24"/>
  <c r="BN84" i="24"/>
  <c r="BK84" i="24"/>
  <c r="BI84" i="24"/>
  <c r="BH84" i="24"/>
  <c r="BB84" i="24"/>
  <c r="AY84" i="24"/>
  <c r="AP84" i="24"/>
  <c r="AG84" i="24"/>
  <c r="AE84" i="24"/>
  <c r="AA84" i="24"/>
  <c r="Y84" i="24"/>
  <c r="X84" i="24"/>
  <c r="U84" i="24"/>
  <c r="P84" i="24"/>
  <c r="O84" i="24"/>
  <c r="E84" i="24"/>
  <c r="C84" i="24"/>
  <c r="BN80" i="24"/>
  <c r="AE80" i="24"/>
  <c r="U80" i="24"/>
  <c r="C80" i="24"/>
  <c r="BR80" i="24"/>
  <c r="BP80" i="24"/>
  <c r="BO80" i="24"/>
  <c r="BK80" i="24"/>
  <c r="AY80" i="24"/>
  <c r="BI80" i="24"/>
  <c r="AA80" i="24"/>
  <c r="Y80" i="24"/>
  <c r="X80" i="24"/>
  <c r="BW80" i="24"/>
  <c r="E80" i="24"/>
  <c r="AG80" i="24"/>
  <c r="AP80" i="24"/>
  <c r="BB80" i="24"/>
  <c r="O80" i="24"/>
  <c r="C243" i="24" l="1"/>
  <c r="C244" i="24"/>
  <c r="BE84" i="24"/>
  <c r="S84" i="24"/>
  <c r="AC84" i="24"/>
  <c r="AB84" i="24"/>
  <c r="BN66" i="24"/>
  <c r="BE66" i="24"/>
  <c r="BR66" i="24"/>
  <c r="BW66" i="24"/>
  <c r="BK66" i="24"/>
  <c r="BH66" i="24"/>
  <c r="BD66" i="24"/>
  <c r="BB66" i="24"/>
  <c r="AY66" i="24"/>
  <c r="AV66" i="24"/>
  <c r="AP66" i="24"/>
  <c r="AG66" i="24"/>
  <c r="AE66" i="24"/>
  <c r="AC66" i="24"/>
  <c r="AB66" i="24"/>
  <c r="Y66" i="24"/>
  <c r="P66" i="24"/>
  <c r="O65" i="24"/>
  <c r="E66" i="24"/>
  <c r="CC65" i="24"/>
  <c r="BH65" i="24"/>
  <c r="P65" i="24"/>
  <c r="AG65" i="24"/>
  <c r="BE65" i="24"/>
  <c r="BN65" i="24"/>
  <c r="BK65" i="24"/>
  <c r="AP65" i="24"/>
  <c r="AE65" i="24"/>
  <c r="Y65" i="24"/>
  <c r="U65" i="24"/>
  <c r="E65" i="24"/>
  <c r="AE64" i="24"/>
  <c r="BW64" i="24"/>
  <c r="BO64" i="24"/>
  <c r="BN64" i="24"/>
  <c r="BK64" i="24"/>
  <c r="BH64" i="24"/>
  <c r="AP64" i="24"/>
  <c r="AG64" i="24"/>
  <c r="AC64" i="24"/>
  <c r="AB64" i="24"/>
  <c r="Y64" i="24"/>
  <c r="U64" i="24"/>
  <c r="S64" i="24"/>
  <c r="P64" i="24"/>
  <c r="E64" i="24"/>
  <c r="BN63" i="24"/>
  <c r="BK63" i="24"/>
  <c r="AP63" i="24"/>
  <c r="AC63" i="24"/>
  <c r="AB63" i="24"/>
  <c r="Y63" i="24"/>
  <c r="P63" i="24"/>
  <c r="E63" i="24"/>
  <c r="C216" i="24" l="1"/>
  <c r="D229" i="24" l="1"/>
  <c r="D226" i="24"/>
  <c r="C229" i="24"/>
  <c r="C173" i="24"/>
  <c r="B173" i="24"/>
  <c r="C204" i="24"/>
  <c r="C205" i="24"/>
  <c r="C200" i="24"/>
  <c r="C196" i="24"/>
  <c r="C195" i="24"/>
  <c r="C191" i="24"/>
  <c r="D158" i="24"/>
  <c r="D157" i="24"/>
  <c r="C188" i="24"/>
  <c r="C184" i="24"/>
  <c r="C181" i="24"/>
  <c r="D155" i="24"/>
  <c r="B155" i="24"/>
  <c r="D154" i="24"/>
  <c r="E59" i="24"/>
  <c r="E60" i="24" l="1"/>
  <c r="BN60" i="24"/>
  <c r="BO60" i="24"/>
  <c r="BY60" i="24"/>
  <c r="BH60" i="24"/>
  <c r="BW60" i="24"/>
  <c r="BK60" i="24"/>
  <c r="AP60" i="24"/>
  <c r="AG60" i="24"/>
  <c r="AE60" i="24"/>
  <c r="AC60" i="24"/>
  <c r="Y60" i="24"/>
  <c r="U60" i="24"/>
  <c r="P60" i="24"/>
  <c r="BK61" i="24" l="1"/>
  <c r="BW61" i="24"/>
  <c r="BN61" i="24"/>
  <c r="BO61" i="24"/>
  <c r="BY61" i="24"/>
  <c r="AE61" i="24"/>
  <c r="BH61" i="24"/>
  <c r="AP61" i="24"/>
  <c r="AG61" i="24"/>
  <c r="AC61" i="24"/>
  <c r="Y61" i="24"/>
  <c r="U61" i="24"/>
  <c r="P61" i="24"/>
  <c r="O61" i="24"/>
  <c r="E61" i="24"/>
  <c r="C61" i="24"/>
  <c r="AZ59" i="24" l="1"/>
  <c r="AG91" i="24"/>
  <c r="P91" i="24"/>
  <c r="E91" i="24"/>
  <c r="O91" i="24"/>
  <c r="E88" i="24"/>
  <c r="E87" i="24"/>
  <c r="C91" i="24"/>
  <c r="C365" i="24"/>
  <c r="CC90" i="24" l="1"/>
  <c r="BW90" i="24"/>
  <c r="BS90" i="24"/>
  <c r="BN90" i="24"/>
  <c r="BL90" i="24"/>
  <c r="BH90" i="24"/>
  <c r="BD90" i="24"/>
  <c r="BB90" i="24"/>
  <c r="AZ90" i="24"/>
  <c r="AV90" i="24"/>
  <c r="AP90" i="24"/>
  <c r="AE90" i="24"/>
  <c r="AC90" i="24"/>
  <c r="AA90" i="24"/>
  <c r="Y90" i="24"/>
  <c r="P90" i="24"/>
  <c r="AP88" i="24"/>
  <c r="AP87" i="24"/>
  <c r="AE88" i="24"/>
  <c r="AC88" i="24"/>
  <c r="AC87" i="24"/>
  <c r="U88" i="24"/>
  <c r="U87" i="24"/>
  <c r="AG88" i="24"/>
  <c r="AG87" i="24"/>
  <c r="AE87" i="24"/>
  <c r="Y88" i="24"/>
  <c r="Y87" i="24"/>
  <c r="P88" i="24"/>
  <c r="P87" i="24"/>
  <c r="D213" i="24" l="1"/>
  <c r="D216" i="24"/>
  <c r="C379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F64" i="15" s="1"/>
  <c r="B64" i="15"/>
  <c r="E63" i="15"/>
  <c r="D63" i="15"/>
  <c r="F63" i="15" s="1"/>
  <c r="B63" i="15"/>
  <c r="I62" i="15"/>
  <c r="B62" i="15"/>
  <c r="I61" i="15"/>
  <c r="B61" i="15"/>
  <c r="I60" i="15"/>
  <c r="B60" i="15"/>
  <c r="F59" i="15"/>
  <c r="E59" i="15"/>
  <c r="D59" i="15"/>
  <c r="B59" i="15"/>
  <c r="H59" i="15" s="1"/>
  <c r="I59" i="15" s="1"/>
  <c r="H58" i="15"/>
  <c r="I58" i="15" s="1"/>
  <c r="E58" i="15"/>
  <c r="D58" i="15"/>
  <c r="B58" i="15"/>
  <c r="F58" i="15" s="1"/>
  <c r="E57" i="15"/>
  <c r="D57" i="15"/>
  <c r="B57" i="15"/>
  <c r="F56" i="15"/>
  <c r="E56" i="15"/>
  <c r="D56" i="15"/>
  <c r="B56" i="15"/>
  <c r="H56" i="15" s="1"/>
  <c r="I56" i="15" s="1"/>
  <c r="H55" i="15"/>
  <c r="I55" i="15" s="1"/>
  <c r="F55" i="15"/>
  <c r="E55" i="15"/>
  <c r="D55" i="15"/>
  <c r="B55" i="15"/>
  <c r="E54" i="15"/>
  <c r="D54" i="15"/>
  <c r="B54" i="15"/>
  <c r="F53" i="15"/>
  <c r="E53" i="15"/>
  <c r="D53" i="15"/>
  <c r="B53" i="15"/>
  <c r="H53" i="15" s="1"/>
  <c r="I53" i="15" s="1"/>
  <c r="H52" i="15"/>
  <c r="I52" i="15" s="1"/>
  <c r="F52" i="15"/>
  <c r="E52" i="15"/>
  <c r="D52" i="15"/>
  <c r="B52" i="15"/>
  <c r="E51" i="15"/>
  <c r="D51" i="15"/>
  <c r="B51" i="15"/>
  <c r="F50" i="15"/>
  <c r="E50" i="15"/>
  <c r="D50" i="15"/>
  <c r="B50" i="15"/>
  <c r="H50" i="15" s="1"/>
  <c r="I50" i="15" s="1"/>
  <c r="H49" i="15"/>
  <c r="I49" i="15" s="1"/>
  <c r="F49" i="15"/>
  <c r="E49" i="15"/>
  <c r="D49" i="15"/>
  <c r="B49" i="15"/>
  <c r="E48" i="15"/>
  <c r="D48" i="15"/>
  <c r="B48" i="15"/>
  <c r="F47" i="15"/>
  <c r="E47" i="15"/>
  <c r="D47" i="15"/>
  <c r="B47" i="15"/>
  <c r="H47" i="15" s="1"/>
  <c r="I47" i="15" s="1"/>
  <c r="E46" i="15"/>
  <c r="D46" i="15"/>
  <c r="B46" i="15"/>
  <c r="E45" i="15"/>
  <c r="D45" i="15"/>
  <c r="B45" i="15"/>
  <c r="F44" i="15"/>
  <c r="E44" i="15"/>
  <c r="D44" i="15"/>
  <c r="B44" i="15"/>
  <c r="H44" i="15" s="1"/>
  <c r="I44" i="15" s="1"/>
  <c r="E43" i="15"/>
  <c r="D43" i="15"/>
  <c r="F43" i="15" s="1"/>
  <c r="B43" i="15"/>
  <c r="E42" i="15"/>
  <c r="D42" i="15"/>
  <c r="B42" i="15"/>
  <c r="E41" i="15"/>
  <c r="D41" i="15"/>
  <c r="B41" i="15"/>
  <c r="F41" i="15" s="1"/>
  <c r="I40" i="15"/>
  <c r="B40" i="15"/>
  <c r="F39" i="15"/>
  <c r="E39" i="15"/>
  <c r="D39" i="15"/>
  <c r="B39" i="15"/>
  <c r="E38" i="15"/>
  <c r="D38" i="15"/>
  <c r="B38" i="15"/>
  <c r="H38" i="15" s="1"/>
  <c r="I38" i="15" s="1"/>
  <c r="E37" i="15"/>
  <c r="D37" i="15"/>
  <c r="B37" i="15"/>
  <c r="E36" i="15"/>
  <c r="D36" i="15"/>
  <c r="B36" i="15"/>
  <c r="F36" i="15" s="1"/>
  <c r="F35" i="15"/>
  <c r="E35" i="15"/>
  <c r="D35" i="15"/>
  <c r="B35" i="15"/>
  <c r="E34" i="15"/>
  <c r="D34" i="15"/>
  <c r="B34" i="15"/>
  <c r="F33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F29" i="15" s="1"/>
  <c r="F28" i="15"/>
  <c r="E28" i="15"/>
  <c r="D28" i="15"/>
  <c r="B28" i="15"/>
  <c r="E27" i="15"/>
  <c r="D27" i="15"/>
  <c r="B27" i="15"/>
  <c r="F26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E20" i="15"/>
  <c r="D20" i="15"/>
  <c r="B20" i="15"/>
  <c r="H20" i="15" s="1"/>
  <c r="I20" i="15" s="1"/>
  <c r="E19" i="15"/>
  <c r="D19" i="15"/>
  <c r="B19" i="15"/>
  <c r="H19" i="15" s="1"/>
  <c r="I19" i="15" s="1"/>
  <c r="F18" i="15"/>
  <c r="E18" i="15"/>
  <c r="D18" i="15"/>
  <c r="B18" i="15"/>
  <c r="H18" i="15" s="1"/>
  <c r="I18" i="15" s="1"/>
  <c r="E17" i="15"/>
  <c r="D17" i="15"/>
  <c r="B17" i="15"/>
  <c r="F17" i="15" s="1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AZ91" i="24"/>
  <c r="CE91" i="24" s="1"/>
  <c r="G612" i="24" s="1"/>
  <c r="CE90" i="24"/>
  <c r="CF90" i="24" s="1"/>
  <c r="BZ52" i="24" s="1"/>
  <c r="BZ67" i="24" s="1"/>
  <c r="AV89" i="24"/>
  <c r="AU89" i="24"/>
  <c r="AT89" i="24"/>
  <c r="AE45" i="31" s="1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H122" i="32" s="1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O53" i="31" s="1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O35" i="31" s="1"/>
  <c r="AI69" i="24"/>
  <c r="AH69" i="24"/>
  <c r="AG69" i="24"/>
  <c r="AF69" i="24"/>
  <c r="AE69" i="24"/>
  <c r="AD69" i="24"/>
  <c r="AC69" i="24"/>
  <c r="AB69" i="24"/>
  <c r="AA69" i="24"/>
  <c r="Z69" i="24"/>
  <c r="O25" i="31" s="1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D52" i="24"/>
  <c r="CA52" i="24"/>
  <c r="CA67" i="24" s="1"/>
  <c r="BR52" i="24"/>
  <c r="BR67" i="24" s="1"/>
  <c r="BO52" i="24"/>
  <c r="BO67" i="24" s="1"/>
  <c r="BF52" i="24"/>
  <c r="BF67" i="24" s="1"/>
  <c r="BC52" i="24"/>
  <c r="BC67" i="24" s="1"/>
  <c r="AT52" i="24"/>
  <c r="AT67" i="24" s="1"/>
  <c r="AQ52" i="24"/>
  <c r="AQ67" i="24" s="1"/>
  <c r="AH52" i="24"/>
  <c r="AH67" i="24" s="1"/>
  <c r="AE52" i="24"/>
  <c r="AE67" i="24" s="1"/>
  <c r="V52" i="24"/>
  <c r="V67" i="24" s="1"/>
  <c r="S52" i="24"/>
  <c r="S67" i="24" s="1"/>
  <c r="J52" i="24"/>
  <c r="J67" i="24" s="1"/>
  <c r="G52" i="24"/>
  <c r="G67" i="24" s="1"/>
  <c r="CE51" i="24"/>
  <c r="B49" i="24"/>
  <c r="CE47" i="24"/>
  <c r="J612" i="24" l="1"/>
  <c r="CE69" i="24"/>
  <c r="I371" i="32" s="1"/>
  <c r="F65" i="15"/>
  <c r="F20" i="15"/>
  <c r="F23" i="15"/>
  <c r="G10" i="4"/>
  <c r="F22" i="15"/>
  <c r="H16" i="15"/>
  <c r="I16" i="15" s="1"/>
  <c r="Q48" i="24"/>
  <c r="Q62" i="24" s="1"/>
  <c r="H16" i="31" s="1"/>
  <c r="C48" i="24"/>
  <c r="C62" i="24" s="1"/>
  <c r="H2" i="31" s="1"/>
  <c r="O48" i="24"/>
  <c r="O62" i="24" s="1"/>
  <c r="H14" i="31" s="1"/>
  <c r="AA48" i="24"/>
  <c r="AA62" i="24" s="1"/>
  <c r="H26" i="31" s="1"/>
  <c r="AM48" i="24"/>
  <c r="AM62" i="24" s="1"/>
  <c r="H38" i="31" s="1"/>
  <c r="AY48" i="24"/>
  <c r="AY62" i="24" s="1"/>
  <c r="H50" i="31" s="1"/>
  <c r="BK48" i="24"/>
  <c r="BK62" i="24" s="1"/>
  <c r="G268" i="32" s="1"/>
  <c r="D48" i="24"/>
  <c r="D62" i="24" s="1"/>
  <c r="H3" i="31" s="1"/>
  <c r="P48" i="24"/>
  <c r="P62" i="24" s="1"/>
  <c r="I44" i="32" s="1"/>
  <c r="AB48" i="24"/>
  <c r="AB62" i="24" s="1"/>
  <c r="H27" i="31" s="1"/>
  <c r="AN48" i="24"/>
  <c r="AN62" i="24" s="1"/>
  <c r="AN85" i="24" s="1"/>
  <c r="AZ48" i="24"/>
  <c r="AZ62" i="24" s="1"/>
  <c r="C236" i="32" s="1"/>
  <c r="BL48" i="24"/>
  <c r="BL62" i="24" s="1"/>
  <c r="BL85" i="24" s="1"/>
  <c r="BX48" i="24"/>
  <c r="BX62" i="24" s="1"/>
  <c r="F332" i="32" s="1"/>
  <c r="F48" i="24"/>
  <c r="F62" i="24" s="1"/>
  <c r="H5" i="31" s="1"/>
  <c r="R48" i="24"/>
  <c r="R62" i="24" s="1"/>
  <c r="D76" i="32" s="1"/>
  <c r="AD48" i="24"/>
  <c r="AD62" i="24" s="1"/>
  <c r="I108" i="32" s="1"/>
  <c r="AP48" i="24"/>
  <c r="AP62" i="24" s="1"/>
  <c r="H41" i="31" s="1"/>
  <c r="BB48" i="24"/>
  <c r="BB62" i="24" s="1"/>
  <c r="E236" i="32" s="1"/>
  <c r="BN48" i="24"/>
  <c r="BN62" i="24" s="1"/>
  <c r="BZ48" i="24"/>
  <c r="BZ62" i="24" s="1"/>
  <c r="H332" i="32" s="1"/>
  <c r="E48" i="24"/>
  <c r="E62" i="24" s="1"/>
  <c r="E85" i="24" s="1"/>
  <c r="AC48" i="24"/>
  <c r="AC62" i="24" s="1"/>
  <c r="H28" i="31" s="1"/>
  <c r="AO48" i="24"/>
  <c r="AO62" i="24" s="1"/>
  <c r="H40" i="31" s="1"/>
  <c r="BA48" i="24"/>
  <c r="BA62" i="24" s="1"/>
  <c r="H52" i="31" s="1"/>
  <c r="BM48" i="24"/>
  <c r="BM62" i="24" s="1"/>
  <c r="I268" i="32" s="1"/>
  <c r="BY48" i="24"/>
  <c r="BY62" i="24" s="1"/>
  <c r="G332" i="32" s="1"/>
  <c r="G48" i="24"/>
  <c r="G62" i="24" s="1"/>
  <c r="G12" i="32" s="1"/>
  <c r="S48" i="24"/>
  <c r="S62" i="24" s="1"/>
  <c r="H18" i="31" s="1"/>
  <c r="AE48" i="24"/>
  <c r="AE62" i="24" s="1"/>
  <c r="AE85" i="24" s="1"/>
  <c r="AQ48" i="24"/>
  <c r="AQ62" i="24" s="1"/>
  <c r="H42" i="31" s="1"/>
  <c r="BC48" i="24"/>
  <c r="BC62" i="24" s="1"/>
  <c r="H54" i="31" s="1"/>
  <c r="BO48" i="24"/>
  <c r="BO62" i="24" s="1"/>
  <c r="D300" i="32" s="1"/>
  <c r="CA48" i="24"/>
  <c r="CA62" i="24" s="1"/>
  <c r="CA85" i="24" s="1"/>
  <c r="H48" i="24"/>
  <c r="H62" i="24" s="1"/>
  <c r="H12" i="32" s="1"/>
  <c r="T48" i="24"/>
  <c r="T62" i="24" s="1"/>
  <c r="H19" i="31" s="1"/>
  <c r="CC48" i="24"/>
  <c r="CC62" i="24" s="1"/>
  <c r="CC85" i="24" s="1"/>
  <c r="BP48" i="24"/>
  <c r="BP62" i="24" s="1"/>
  <c r="H67" i="31" s="1"/>
  <c r="CD48" i="24"/>
  <c r="AF48" i="24"/>
  <c r="AF62" i="24" s="1"/>
  <c r="H31" i="31" s="1"/>
  <c r="I48" i="24"/>
  <c r="I62" i="24" s="1"/>
  <c r="I85" i="24" s="1"/>
  <c r="AG48" i="24"/>
  <c r="AG62" i="24" s="1"/>
  <c r="H32" i="31" s="1"/>
  <c r="BQ48" i="24"/>
  <c r="BQ62" i="24" s="1"/>
  <c r="BQ85" i="24" s="1"/>
  <c r="J48" i="24"/>
  <c r="J62" i="24" s="1"/>
  <c r="H9" i="31" s="1"/>
  <c r="AH48" i="24"/>
  <c r="AH62" i="24" s="1"/>
  <c r="H33" i="31" s="1"/>
  <c r="BR48" i="24"/>
  <c r="BR62" i="24" s="1"/>
  <c r="G300" i="32" s="1"/>
  <c r="K48" i="24"/>
  <c r="K62" i="24" s="1"/>
  <c r="D44" i="32" s="1"/>
  <c r="W48" i="24"/>
  <c r="W62" i="24" s="1"/>
  <c r="W85" i="24" s="1"/>
  <c r="I85" i="32" s="1"/>
  <c r="AI48" i="24"/>
  <c r="AI62" i="24" s="1"/>
  <c r="H34" i="31" s="1"/>
  <c r="AU48" i="24"/>
  <c r="AU62" i="24" s="1"/>
  <c r="E204" i="32" s="1"/>
  <c r="BG48" i="24"/>
  <c r="BG62" i="24" s="1"/>
  <c r="BG85" i="24" s="1"/>
  <c r="C277" i="32" s="1"/>
  <c r="BS48" i="24"/>
  <c r="BS62" i="24" s="1"/>
  <c r="H70" i="31" s="1"/>
  <c r="AR48" i="24"/>
  <c r="AR62" i="24" s="1"/>
  <c r="H43" i="31" s="1"/>
  <c r="U48" i="24"/>
  <c r="U62" i="24" s="1"/>
  <c r="H20" i="31" s="1"/>
  <c r="AS48" i="24"/>
  <c r="AS62" i="24" s="1"/>
  <c r="C204" i="32" s="1"/>
  <c r="BE48" i="24"/>
  <c r="BE62" i="24" s="1"/>
  <c r="V48" i="24"/>
  <c r="V62" i="24" s="1"/>
  <c r="H76" i="32" s="1"/>
  <c r="AT48" i="24"/>
  <c r="AT62" i="24" s="1"/>
  <c r="D204" i="32" s="1"/>
  <c r="BF48" i="24"/>
  <c r="BF62" i="24" s="1"/>
  <c r="H57" i="31" s="1"/>
  <c r="L48" i="24"/>
  <c r="L62" i="24" s="1"/>
  <c r="L85" i="24" s="1"/>
  <c r="X48" i="24"/>
  <c r="X62" i="24" s="1"/>
  <c r="X85" i="24" s="1"/>
  <c r="C36" i="15" s="1"/>
  <c r="G36" i="15" s="1"/>
  <c r="AJ48" i="24"/>
  <c r="AJ62" i="24" s="1"/>
  <c r="H35" i="31" s="1"/>
  <c r="AV48" i="24"/>
  <c r="AV62" i="24" s="1"/>
  <c r="F204" i="32" s="1"/>
  <c r="BH48" i="24"/>
  <c r="BH62" i="24" s="1"/>
  <c r="BH85" i="24" s="1"/>
  <c r="BT48" i="24"/>
  <c r="BT62" i="24" s="1"/>
  <c r="I300" i="32" s="1"/>
  <c r="BD48" i="24"/>
  <c r="BD62" i="24" s="1"/>
  <c r="H55" i="31" s="1"/>
  <c r="BI48" i="24"/>
  <c r="BI62" i="24" s="1"/>
  <c r="H60" i="31" s="1"/>
  <c r="CB48" i="24"/>
  <c r="CB62" i="24" s="1"/>
  <c r="CB85" i="24" s="1"/>
  <c r="M48" i="24"/>
  <c r="M62" i="24" s="1"/>
  <c r="F44" i="32" s="1"/>
  <c r="Y48" i="24"/>
  <c r="Y62" i="24" s="1"/>
  <c r="Y85" i="24" s="1"/>
  <c r="AK48" i="24"/>
  <c r="AK62" i="24" s="1"/>
  <c r="H36" i="31" s="1"/>
  <c r="AW48" i="24"/>
  <c r="AW62" i="24" s="1"/>
  <c r="H48" i="31" s="1"/>
  <c r="BU48" i="24"/>
  <c r="BU62" i="24" s="1"/>
  <c r="H72" i="31" s="1"/>
  <c r="N48" i="24"/>
  <c r="N62" i="24" s="1"/>
  <c r="G44" i="32" s="1"/>
  <c r="Z48" i="24"/>
  <c r="Z62" i="24" s="1"/>
  <c r="H25" i="31" s="1"/>
  <c r="AL48" i="24"/>
  <c r="AL62" i="24" s="1"/>
  <c r="AL85" i="24" s="1"/>
  <c r="AX48" i="24"/>
  <c r="AX62" i="24" s="1"/>
  <c r="H204" i="32" s="1"/>
  <c r="BJ48" i="24"/>
  <c r="BJ62" i="24" s="1"/>
  <c r="BJ85" i="24" s="1"/>
  <c r="BV48" i="24"/>
  <c r="BV62" i="24" s="1"/>
  <c r="H73" i="31" s="1"/>
  <c r="BW48" i="24"/>
  <c r="BW62" i="24" s="1"/>
  <c r="E332" i="32" s="1"/>
  <c r="CB52" i="24"/>
  <c r="CB67" i="24" s="1"/>
  <c r="H52" i="24"/>
  <c r="H67" i="24" s="1"/>
  <c r="CE67" i="24" s="1"/>
  <c r="I369" i="32" s="1"/>
  <c r="T52" i="24"/>
  <c r="T67" i="24" s="1"/>
  <c r="AF52" i="24"/>
  <c r="AF67" i="24" s="1"/>
  <c r="AR52" i="24"/>
  <c r="AR67" i="24" s="1"/>
  <c r="BD52" i="24"/>
  <c r="BD67" i="24" s="1"/>
  <c r="G241" i="32" s="1"/>
  <c r="BP52" i="24"/>
  <c r="BP67" i="24" s="1"/>
  <c r="I52" i="24"/>
  <c r="I67" i="24" s="1"/>
  <c r="U52" i="24"/>
  <c r="U67" i="24" s="1"/>
  <c r="M20" i="31" s="1"/>
  <c r="AG52" i="24"/>
  <c r="AG67" i="24" s="1"/>
  <c r="AS52" i="24"/>
  <c r="AS67" i="24" s="1"/>
  <c r="BE52" i="24"/>
  <c r="BE67" i="24" s="1"/>
  <c r="BQ52" i="24"/>
  <c r="BQ67" i="24" s="1"/>
  <c r="CC52" i="24"/>
  <c r="CC67" i="24" s="1"/>
  <c r="W52" i="24"/>
  <c r="W67" i="24" s="1"/>
  <c r="AU52" i="24"/>
  <c r="AU67" i="24" s="1"/>
  <c r="BS52" i="24"/>
  <c r="BS67" i="24" s="1"/>
  <c r="K52" i="24"/>
  <c r="K67" i="24" s="1"/>
  <c r="AI52" i="24"/>
  <c r="AI67" i="24" s="1"/>
  <c r="BG52" i="24"/>
  <c r="BG67" i="24" s="1"/>
  <c r="L52" i="24"/>
  <c r="L67" i="24" s="1"/>
  <c r="E49" i="32" s="1"/>
  <c r="X52" i="24"/>
  <c r="X67" i="24" s="1"/>
  <c r="AJ52" i="24"/>
  <c r="AJ67" i="24" s="1"/>
  <c r="AV52" i="24"/>
  <c r="AV67" i="24" s="1"/>
  <c r="BH52" i="24"/>
  <c r="BH67" i="24" s="1"/>
  <c r="BT52" i="24"/>
  <c r="BT67" i="24" s="1"/>
  <c r="Y52" i="24"/>
  <c r="Y67" i="24" s="1"/>
  <c r="Z52" i="24"/>
  <c r="Z67" i="24" s="1"/>
  <c r="BV52" i="24"/>
  <c r="BV67" i="24" s="1"/>
  <c r="AW52" i="24"/>
  <c r="AW67" i="24" s="1"/>
  <c r="BJ52" i="24"/>
  <c r="BJ67" i="24" s="1"/>
  <c r="C52" i="24"/>
  <c r="C67" i="24" s="1"/>
  <c r="O52" i="24"/>
  <c r="O67" i="24" s="1"/>
  <c r="H49" i="32" s="1"/>
  <c r="AA52" i="24"/>
  <c r="AA67" i="24" s="1"/>
  <c r="F113" i="32" s="1"/>
  <c r="AM52" i="24"/>
  <c r="AM67" i="24" s="1"/>
  <c r="AY52" i="24"/>
  <c r="AY67" i="24" s="1"/>
  <c r="BK52" i="24"/>
  <c r="BK67" i="24" s="1"/>
  <c r="G273" i="32" s="1"/>
  <c r="BW52" i="24"/>
  <c r="BW67" i="24" s="1"/>
  <c r="M74" i="31" s="1"/>
  <c r="BU52" i="24"/>
  <c r="BU67" i="24" s="1"/>
  <c r="BX52" i="24"/>
  <c r="BX67" i="24" s="1"/>
  <c r="AK52" i="24"/>
  <c r="AK67" i="24" s="1"/>
  <c r="N52" i="24"/>
  <c r="N67" i="24" s="1"/>
  <c r="G49" i="32" s="1"/>
  <c r="AL52" i="24"/>
  <c r="AL67" i="24" s="1"/>
  <c r="D52" i="24"/>
  <c r="D67" i="24" s="1"/>
  <c r="AB52" i="24"/>
  <c r="AB67" i="24" s="1"/>
  <c r="G113" i="32" s="1"/>
  <c r="AN52" i="24"/>
  <c r="AN67" i="24" s="1"/>
  <c r="E177" i="32" s="1"/>
  <c r="BL52" i="24"/>
  <c r="BL67" i="24" s="1"/>
  <c r="E52" i="24"/>
  <c r="E67" i="24" s="1"/>
  <c r="Q52" i="24"/>
  <c r="Q67" i="24" s="1"/>
  <c r="AC52" i="24"/>
  <c r="AC67" i="24" s="1"/>
  <c r="AO52" i="24"/>
  <c r="AO67" i="24" s="1"/>
  <c r="BA52" i="24"/>
  <c r="BA67" i="24" s="1"/>
  <c r="BM52" i="24"/>
  <c r="BM67" i="24" s="1"/>
  <c r="BY52" i="24"/>
  <c r="BY67" i="24" s="1"/>
  <c r="G337" i="32" s="1"/>
  <c r="M52" i="24"/>
  <c r="M67" i="24" s="1"/>
  <c r="BI52" i="24"/>
  <c r="BI67" i="24" s="1"/>
  <c r="AX52" i="24"/>
  <c r="AX67" i="24" s="1"/>
  <c r="P52" i="24"/>
  <c r="P67" i="24" s="1"/>
  <c r="AZ52" i="24"/>
  <c r="AZ67" i="24" s="1"/>
  <c r="F52" i="24"/>
  <c r="F67" i="24" s="1"/>
  <c r="R52" i="24"/>
  <c r="R67" i="24" s="1"/>
  <c r="AD52" i="24"/>
  <c r="AD67" i="24" s="1"/>
  <c r="M29" i="31" s="1"/>
  <c r="AP52" i="24"/>
  <c r="AP67" i="24" s="1"/>
  <c r="BB52" i="24"/>
  <c r="BB67" i="24" s="1"/>
  <c r="BN52" i="24"/>
  <c r="BN67" i="24" s="1"/>
  <c r="M65" i="31" s="1"/>
  <c r="CE89" i="24"/>
  <c r="K612" i="24" s="1"/>
  <c r="D416" i="24"/>
  <c r="E414" i="24" s="1"/>
  <c r="M42" i="31"/>
  <c r="H177" i="32"/>
  <c r="M25" i="31"/>
  <c r="E113" i="32"/>
  <c r="M61" i="31"/>
  <c r="F273" i="32"/>
  <c r="M2" i="31"/>
  <c r="C17" i="32"/>
  <c r="M26" i="31"/>
  <c r="M38" i="31"/>
  <c r="D177" i="32"/>
  <c r="M50" i="31"/>
  <c r="I209" i="32"/>
  <c r="M62" i="31"/>
  <c r="E337" i="32"/>
  <c r="BW85" i="24"/>
  <c r="Q85" i="24"/>
  <c r="M6" i="31"/>
  <c r="G17" i="32"/>
  <c r="M3" i="31"/>
  <c r="D17" i="32"/>
  <c r="M15" i="31"/>
  <c r="I49" i="32"/>
  <c r="M39" i="31"/>
  <c r="M51" i="31"/>
  <c r="C241" i="32"/>
  <c r="M63" i="31"/>
  <c r="H273" i="32"/>
  <c r="M75" i="31"/>
  <c r="F337" i="32"/>
  <c r="M18" i="31"/>
  <c r="E81" i="32"/>
  <c r="M13" i="31"/>
  <c r="D337" i="32"/>
  <c r="M4" i="31"/>
  <c r="E17" i="32"/>
  <c r="M16" i="31"/>
  <c r="C81" i="32"/>
  <c r="M28" i="31"/>
  <c r="H113" i="32"/>
  <c r="M40" i="31"/>
  <c r="F177" i="32"/>
  <c r="M52" i="31"/>
  <c r="D241" i="32"/>
  <c r="M64" i="31"/>
  <c r="I273" i="32"/>
  <c r="M76" i="31"/>
  <c r="M30" i="31"/>
  <c r="C145" i="32"/>
  <c r="M37" i="31"/>
  <c r="C177" i="32"/>
  <c r="D12" i="32"/>
  <c r="D85" i="24"/>
  <c r="H63" i="31"/>
  <c r="M5" i="31"/>
  <c r="F17" i="32"/>
  <c r="M17" i="31"/>
  <c r="D81" i="32"/>
  <c r="I113" i="32"/>
  <c r="M41" i="31"/>
  <c r="G177" i="32"/>
  <c r="M53" i="31"/>
  <c r="E241" i="32"/>
  <c r="C305" i="32"/>
  <c r="M77" i="31"/>
  <c r="H337" i="32"/>
  <c r="M66" i="31"/>
  <c r="D305" i="32"/>
  <c r="M19" i="31"/>
  <c r="F81" i="32"/>
  <c r="M55" i="31"/>
  <c r="M8" i="31"/>
  <c r="I17" i="32"/>
  <c r="M32" i="31"/>
  <c r="E145" i="32"/>
  <c r="M56" i="31"/>
  <c r="H241" i="32"/>
  <c r="M80" i="31"/>
  <c r="D369" i="32"/>
  <c r="M54" i="31"/>
  <c r="F241" i="32"/>
  <c r="M78" i="31"/>
  <c r="I337" i="32"/>
  <c r="M43" i="31"/>
  <c r="I177" i="32"/>
  <c r="M79" i="31"/>
  <c r="C369" i="32"/>
  <c r="M44" i="31"/>
  <c r="C209" i="32"/>
  <c r="M33" i="31"/>
  <c r="F145" i="32"/>
  <c r="M69" i="31"/>
  <c r="G305" i="32"/>
  <c r="M7" i="31"/>
  <c r="H17" i="32"/>
  <c r="M31" i="31"/>
  <c r="D145" i="32"/>
  <c r="M67" i="31"/>
  <c r="E305" i="32"/>
  <c r="M68" i="31"/>
  <c r="F305" i="32"/>
  <c r="M9" i="31"/>
  <c r="C49" i="32"/>
  <c r="M21" i="31"/>
  <c r="H81" i="32"/>
  <c r="M45" i="31"/>
  <c r="D209" i="32"/>
  <c r="M57" i="31"/>
  <c r="I241" i="32"/>
  <c r="BN85" i="24"/>
  <c r="M10" i="31"/>
  <c r="D49" i="32"/>
  <c r="M22" i="31"/>
  <c r="I81" i="32"/>
  <c r="M34" i="31"/>
  <c r="G145" i="32"/>
  <c r="M46" i="31"/>
  <c r="E209" i="32"/>
  <c r="M58" i="31"/>
  <c r="C273" i="32"/>
  <c r="M70" i="31"/>
  <c r="H305" i="32"/>
  <c r="C44" i="32"/>
  <c r="M11" i="31"/>
  <c r="M23" i="31"/>
  <c r="C113" i="32"/>
  <c r="M35" i="31"/>
  <c r="H145" i="32"/>
  <c r="M47" i="31"/>
  <c r="F209" i="32"/>
  <c r="M59" i="31"/>
  <c r="D273" i="32"/>
  <c r="M71" i="31"/>
  <c r="I305" i="32"/>
  <c r="M12" i="31"/>
  <c r="F49" i="32"/>
  <c r="M24" i="31"/>
  <c r="D113" i="32"/>
  <c r="M36" i="31"/>
  <c r="I145" i="32"/>
  <c r="M48" i="31"/>
  <c r="G209" i="32"/>
  <c r="M60" i="31"/>
  <c r="E273" i="32"/>
  <c r="M72" i="31"/>
  <c r="C337" i="32"/>
  <c r="I378" i="32"/>
  <c r="O20" i="31"/>
  <c r="G83" i="32"/>
  <c r="O56" i="31"/>
  <c r="H243" i="32"/>
  <c r="AE8" i="31"/>
  <c r="I26" i="32"/>
  <c r="AE44" i="31"/>
  <c r="C218" i="32"/>
  <c r="DF2" i="30"/>
  <c r="C170" i="8"/>
  <c r="F420" i="24"/>
  <c r="O9" i="31"/>
  <c r="C51" i="32"/>
  <c r="O21" i="31"/>
  <c r="H83" i="32"/>
  <c r="O33" i="31"/>
  <c r="F147" i="32"/>
  <c r="O45" i="31"/>
  <c r="D211" i="32"/>
  <c r="O57" i="31"/>
  <c r="I243" i="32"/>
  <c r="O69" i="31"/>
  <c r="G307" i="32"/>
  <c r="E371" i="32"/>
  <c r="CD85" i="24"/>
  <c r="AE9" i="31"/>
  <c r="C58" i="32"/>
  <c r="AE21" i="31"/>
  <c r="H90" i="32"/>
  <c r="F154" i="32"/>
  <c r="AE33" i="31"/>
  <c r="D27" i="7"/>
  <c r="D341" i="24"/>
  <c r="C87" i="8" s="1"/>
  <c r="H42" i="15"/>
  <c r="I42" i="15" s="1"/>
  <c r="F42" i="15"/>
  <c r="AE28" i="31"/>
  <c r="O10" i="31"/>
  <c r="D51" i="32"/>
  <c r="O22" i="31"/>
  <c r="I83" i="32"/>
  <c r="O34" i="31"/>
  <c r="G147" i="32"/>
  <c r="O46" i="31"/>
  <c r="E211" i="32"/>
  <c r="O58" i="31"/>
  <c r="C275" i="32"/>
  <c r="O70" i="31"/>
  <c r="H307" i="32"/>
  <c r="D258" i="24"/>
  <c r="H147" i="32"/>
  <c r="C300" i="32"/>
  <c r="H65" i="31"/>
  <c r="O8" i="31"/>
  <c r="I19" i="32"/>
  <c r="O44" i="31"/>
  <c r="C211" i="32"/>
  <c r="O80" i="31"/>
  <c r="D371" i="32"/>
  <c r="AE20" i="31"/>
  <c r="G90" i="32"/>
  <c r="O47" i="31"/>
  <c r="F211" i="32"/>
  <c r="O59" i="31"/>
  <c r="D275" i="32"/>
  <c r="O71" i="31"/>
  <c r="I307" i="32"/>
  <c r="BB85" i="24"/>
  <c r="AE11" i="31"/>
  <c r="E58" i="32"/>
  <c r="AE23" i="31"/>
  <c r="C122" i="32"/>
  <c r="AE35" i="31"/>
  <c r="H154" i="32"/>
  <c r="AE47" i="31"/>
  <c r="F218" i="32"/>
  <c r="G28" i="4"/>
  <c r="E28" i="4"/>
  <c r="F612" i="24"/>
  <c r="F12" i="32"/>
  <c r="G172" i="32"/>
  <c r="O32" i="31"/>
  <c r="E147" i="32"/>
  <c r="O68" i="31"/>
  <c r="F307" i="32"/>
  <c r="E154" i="32"/>
  <c r="AE32" i="31"/>
  <c r="H56" i="31"/>
  <c r="H236" i="32"/>
  <c r="H68" i="31"/>
  <c r="F300" i="32"/>
  <c r="O11" i="31"/>
  <c r="E51" i="32"/>
  <c r="O23" i="31"/>
  <c r="C115" i="32"/>
  <c r="O12" i="31"/>
  <c r="F51" i="32"/>
  <c r="O24" i="31"/>
  <c r="D115" i="32"/>
  <c r="O36" i="31"/>
  <c r="I147" i="32"/>
  <c r="O48" i="31"/>
  <c r="G211" i="32"/>
  <c r="O60" i="31"/>
  <c r="E275" i="32"/>
  <c r="O72" i="31"/>
  <c r="C339" i="32"/>
  <c r="AE12" i="31"/>
  <c r="F58" i="32"/>
  <c r="AE24" i="31"/>
  <c r="D122" i="32"/>
  <c r="AE36" i="31"/>
  <c r="I154" i="32"/>
  <c r="BN2" i="30"/>
  <c r="C117" i="8"/>
  <c r="F15" i="15"/>
  <c r="F48" i="15"/>
  <c r="O14" i="31"/>
  <c r="H51" i="32"/>
  <c r="O38" i="31"/>
  <c r="D179" i="32"/>
  <c r="O50" i="31"/>
  <c r="I211" i="32"/>
  <c r="O74" i="31"/>
  <c r="E339" i="32"/>
  <c r="H46" i="15"/>
  <c r="I46" i="15" s="1"/>
  <c r="F46" i="15"/>
  <c r="E115" i="32"/>
  <c r="O49" i="31"/>
  <c r="H211" i="32"/>
  <c r="AE37" i="31"/>
  <c r="C186" i="32"/>
  <c r="O2" i="31"/>
  <c r="C19" i="32"/>
  <c r="O26" i="31"/>
  <c r="F115" i="32"/>
  <c r="O62" i="31"/>
  <c r="G275" i="32"/>
  <c r="BE85" i="24"/>
  <c r="AE2" i="31"/>
  <c r="C26" i="32"/>
  <c r="AE14" i="31"/>
  <c r="H58" i="32"/>
  <c r="F122" i="32"/>
  <c r="AE26" i="31"/>
  <c r="AE38" i="31"/>
  <c r="D186" i="32"/>
  <c r="BK2" i="30"/>
  <c r="I362" i="32"/>
  <c r="O3" i="31"/>
  <c r="D19" i="32"/>
  <c r="O15" i="31"/>
  <c r="I51" i="32"/>
  <c r="O27" i="31"/>
  <c r="G115" i="32"/>
  <c r="O39" i="31"/>
  <c r="E179" i="32"/>
  <c r="O51" i="31"/>
  <c r="C243" i="32"/>
  <c r="O63" i="31"/>
  <c r="H275" i="32"/>
  <c r="O75" i="31"/>
  <c r="F339" i="32"/>
  <c r="AE3" i="31"/>
  <c r="D26" i="32"/>
  <c r="AE15" i="31"/>
  <c r="I58" i="32"/>
  <c r="G122" i="32"/>
  <c r="AE27" i="31"/>
  <c r="E186" i="32"/>
  <c r="AE39" i="31"/>
  <c r="AH51" i="31"/>
  <c r="C253" i="32"/>
  <c r="D383" i="24"/>
  <c r="C137" i="8" s="1"/>
  <c r="L612" i="24"/>
  <c r="O37" i="31"/>
  <c r="C179" i="32"/>
  <c r="AE13" i="31"/>
  <c r="G58" i="32"/>
  <c r="O4" i="31"/>
  <c r="E19" i="32"/>
  <c r="O16" i="31"/>
  <c r="C83" i="32"/>
  <c r="O28" i="31"/>
  <c r="H115" i="32"/>
  <c r="O40" i="31"/>
  <c r="F179" i="32"/>
  <c r="O52" i="31"/>
  <c r="D243" i="32"/>
  <c r="O64" i="31"/>
  <c r="I275" i="32"/>
  <c r="O76" i="31"/>
  <c r="G339" i="32"/>
  <c r="AE4" i="31"/>
  <c r="E26" i="32"/>
  <c r="AE16" i="31"/>
  <c r="C90" i="32"/>
  <c r="F186" i="32"/>
  <c r="AE40" i="31"/>
  <c r="I381" i="32"/>
  <c r="CF91" i="24"/>
  <c r="D308" i="24"/>
  <c r="C615" i="24"/>
  <c r="E243" i="32"/>
  <c r="O13" i="31"/>
  <c r="G51" i="32"/>
  <c r="O73" i="31"/>
  <c r="D339" i="32"/>
  <c r="I380" i="32"/>
  <c r="D612" i="24"/>
  <c r="F54" i="15"/>
  <c r="O61" i="31"/>
  <c r="F275" i="32"/>
  <c r="E122" i="32"/>
  <c r="AE25" i="31"/>
  <c r="H44" i="32"/>
  <c r="H62" i="31"/>
  <c r="O65" i="31"/>
  <c r="C307" i="32"/>
  <c r="O77" i="31"/>
  <c r="H339" i="32"/>
  <c r="F85" i="24"/>
  <c r="I382" i="32"/>
  <c r="I612" i="24"/>
  <c r="O6" i="31"/>
  <c r="G19" i="32"/>
  <c r="O18" i="31"/>
  <c r="E83" i="32"/>
  <c r="O30" i="31"/>
  <c r="C147" i="32"/>
  <c r="O42" i="31"/>
  <c r="H179" i="32"/>
  <c r="O54" i="31"/>
  <c r="F243" i="32"/>
  <c r="O66" i="31"/>
  <c r="D307" i="32"/>
  <c r="O78" i="31"/>
  <c r="I339" i="32"/>
  <c r="AE6" i="31"/>
  <c r="G26" i="32"/>
  <c r="AE18" i="31"/>
  <c r="E90" i="32"/>
  <c r="AE30" i="31"/>
  <c r="C154" i="32"/>
  <c r="H186" i="32"/>
  <c r="AE42" i="31"/>
  <c r="E220" i="24"/>
  <c r="F24" i="6"/>
  <c r="E233" i="24"/>
  <c r="F32" i="6" s="1"/>
  <c r="C74" i="8"/>
  <c r="I204" i="32"/>
  <c r="O5" i="31"/>
  <c r="F19" i="32"/>
  <c r="O17" i="31"/>
  <c r="D83" i="32"/>
  <c r="O29" i="31"/>
  <c r="I115" i="32"/>
  <c r="O41" i="31"/>
  <c r="G179" i="32"/>
  <c r="O7" i="31"/>
  <c r="H19" i="32"/>
  <c r="O19" i="31"/>
  <c r="F83" i="32"/>
  <c r="O31" i="31"/>
  <c r="D147" i="32"/>
  <c r="O43" i="31"/>
  <c r="I179" i="32"/>
  <c r="O55" i="31"/>
  <c r="G243" i="32"/>
  <c r="O67" i="31"/>
  <c r="E307" i="32"/>
  <c r="O79" i="31"/>
  <c r="C371" i="32"/>
  <c r="BZ85" i="24"/>
  <c r="AE7" i="31"/>
  <c r="H26" i="32"/>
  <c r="AE19" i="31"/>
  <c r="F90" i="32"/>
  <c r="AE31" i="31"/>
  <c r="D154" i="32"/>
  <c r="AE43" i="31"/>
  <c r="I186" i="32"/>
  <c r="D218" i="32"/>
  <c r="H21" i="15"/>
  <c r="I21" i="15" s="1"/>
  <c r="F21" i="15"/>
  <c r="F27" i="15"/>
  <c r="F34" i="15"/>
  <c r="AE5" i="31"/>
  <c r="F26" i="32"/>
  <c r="AE17" i="31"/>
  <c r="D90" i="32"/>
  <c r="AE29" i="31"/>
  <c r="I122" i="32"/>
  <c r="AE41" i="31"/>
  <c r="G186" i="32"/>
  <c r="C113" i="8"/>
  <c r="F19" i="15"/>
  <c r="F25" i="15"/>
  <c r="F38" i="15"/>
  <c r="F45" i="15"/>
  <c r="H51" i="15"/>
  <c r="I51" i="15" s="1"/>
  <c r="F51" i="15"/>
  <c r="H57" i="15"/>
  <c r="I57" i="15" s="1"/>
  <c r="F57" i="15"/>
  <c r="F69" i="15"/>
  <c r="G19" i="4"/>
  <c r="E19" i="4"/>
  <c r="H24" i="15"/>
  <c r="I24" i="15" s="1"/>
  <c r="F24" i="15"/>
  <c r="F30" i="15"/>
  <c r="F37" i="15"/>
  <c r="CF2" i="28"/>
  <c r="D5" i="7"/>
  <c r="AE10" i="31"/>
  <c r="D58" i="32"/>
  <c r="AE22" i="31"/>
  <c r="I90" i="32"/>
  <c r="G154" i="32"/>
  <c r="AE34" i="31"/>
  <c r="AE46" i="31"/>
  <c r="E218" i="32"/>
  <c r="C648" i="34"/>
  <c r="M716" i="34" s="1"/>
  <c r="D615" i="34"/>
  <c r="C715" i="34"/>
  <c r="C167" i="8" l="1"/>
  <c r="D26" i="33"/>
  <c r="H74" i="31"/>
  <c r="BK85" i="24"/>
  <c r="C635" i="24" s="1"/>
  <c r="AS85" i="24"/>
  <c r="H53" i="31"/>
  <c r="C364" i="32"/>
  <c r="H76" i="31"/>
  <c r="J85" i="24"/>
  <c r="H79" i="31"/>
  <c r="G85" i="24"/>
  <c r="H80" i="31"/>
  <c r="AY85" i="24"/>
  <c r="I213" i="32" s="1"/>
  <c r="R85" i="24"/>
  <c r="C30" i="15" s="1"/>
  <c r="H17" i="31"/>
  <c r="D140" i="32"/>
  <c r="F108" i="32"/>
  <c r="D172" i="32"/>
  <c r="AV85" i="24"/>
  <c r="F213" i="32" s="1"/>
  <c r="BC85" i="24"/>
  <c r="H47" i="31"/>
  <c r="F236" i="32"/>
  <c r="E108" i="32"/>
  <c r="AD85" i="24"/>
  <c r="I117" i="32" s="1"/>
  <c r="H66" i="31"/>
  <c r="H6" i="31"/>
  <c r="H77" i="31"/>
  <c r="BS85" i="24"/>
  <c r="C639" i="24" s="1"/>
  <c r="AP85" i="24"/>
  <c r="C54" i="15" s="1"/>
  <c r="G76" i="32"/>
  <c r="H300" i="32"/>
  <c r="AG85" i="24"/>
  <c r="C45" i="15" s="1"/>
  <c r="H30" i="31"/>
  <c r="E76" i="32"/>
  <c r="H58" i="31"/>
  <c r="C108" i="32"/>
  <c r="AI85" i="24"/>
  <c r="C47" i="15" s="1"/>
  <c r="G47" i="15" s="1"/>
  <c r="D268" i="32"/>
  <c r="H59" i="31"/>
  <c r="BD85" i="24"/>
  <c r="C68" i="15" s="1"/>
  <c r="G68" i="15" s="1"/>
  <c r="E140" i="32"/>
  <c r="G236" i="32"/>
  <c r="BY85" i="24"/>
  <c r="C89" i="15" s="1"/>
  <c r="G89" i="15" s="1"/>
  <c r="Z85" i="24"/>
  <c r="D236" i="32"/>
  <c r="H46" i="31"/>
  <c r="H268" i="32"/>
  <c r="H37" i="31"/>
  <c r="F140" i="32"/>
  <c r="H15" i="31"/>
  <c r="H21" i="31"/>
  <c r="H23" i="31"/>
  <c r="D364" i="32"/>
  <c r="BO85" i="24"/>
  <c r="C79" i="15" s="1"/>
  <c r="G79" i="15" s="1"/>
  <c r="G140" i="32"/>
  <c r="E12" i="32"/>
  <c r="E44" i="32"/>
  <c r="AO85" i="24"/>
  <c r="F181" i="32" s="1"/>
  <c r="T85" i="24"/>
  <c r="F85" i="32" s="1"/>
  <c r="BA85" i="24"/>
  <c r="D245" i="32" s="1"/>
  <c r="F172" i="32"/>
  <c r="I76" i="32"/>
  <c r="F76" i="32"/>
  <c r="H22" i="31"/>
  <c r="C140" i="32"/>
  <c r="AZ85" i="24"/>
  <c r="C245" i="32" s="1"/>
  <c r="F268" i="32"/>
  <c r="C76" i="32"/>
  <c r="I12" i="32"/>
  <c r="H61" i="31"/>
  <c r="C332" i="32"/>
  <c r="BU85" i="24"/>
  <c r="C341" i="32" s="1"/>
  <c r="H11" i="31"/>
  <c r="G204" i="32"/>
  <c r="H49" i="31"/>
  <c r="H108" i="32"/>
  <c r="AU85" i="24"/>
  <c r="E213" i="32" s="1"/>
  <c r="CE48" i="24"/>
  <c r="BX85" i="24"/>
  <c r="C644" i="24" s="1"/>
  <c r="I332" i="32"/>
  <c r="H12" i="31"/>
  <c r="H29" i="31"/>
  <c r="AM85" i="24"/>
  <c r="D181" i="32" s="1"/>
  <c r="S85" i="24"/>
  <c r="E85" i="32" s="1"/>
  <c r="H51" i="31"/>
  <c r="H39" i="31"/>
  <c r="H10" i="31"/>
  <c r="H44" i="31"/>
  <c r="BF85" i="24"/>
  <c r="C629" i="24" s="1"/>
  <c r="G108" i="32"/>
  <c r="AQ85" i="24"/>
  <c r="H181" i="32" s="1"/>
  <c r="H7" i="31"/>
  <c r="H69" i="31"/>
  <c r="AC85" i="24"/>
  <c r="H117" i="32" s="1"/>
  <c r="E172" i="32"/>
  <c r="H64" i="31"/>
  <c r="E268" i="32"/>
  <c r="I140" i="32"/>
  <c r="I236" i="32"/>
  <c r="H71" i="31"/>
  <c r="C268" i="32"/>
  <c r="AH85" i="24"/>
  <c r="C46" i="15" s="1"/>
  <c r="G46" i="15" s="1"/>
  <c r="D108" i="32"/>
  <c r="H78" i="31"/>
  <c r="V85" i="24"/>
  <c r="H85" i="32" s="1"/>
  <c r="H13" i="31"/>
  <c r="C85" i="24"/>
  <c r="C21" i="32" s="1"/>
  <c r="BP85" i="24"/>
  <c r="C621" i="24" s="1"/>
  <c r="H85" i="24"/>
  <c r="C20" i="15" s="1"/>
  <c r="G20" i="15" s="1"/>
  <c r="K85" i="24"/>
  <c r="D53" i="32" s="1"/>
  <c r="C12" i="32"/>
  <c r="E300" i="32"/>
  <c r="CE62" i="24"/>
  <c r="I364" i="32" s="1"/>
  <c r="BR85" i="24"/>
  <c r="G309" i="32" s="1"/>
  <c r="H8" i="31"/>
  <c r="H172" i="32"/>
  <c r="AJ85" i="24"/>
  <c r="C701" i="24" s="1"/>
  <c r="AT85" i="24"/>
  <c r="C711" i="24" s="1"/>
  <c r="AR85" i="24"/>
  <c r="I181" i="32" s="1"/>
  <c r="AF85" i="24"/>
  <c r="D149" i="32" s="1"/>
  <c r="C172" i="32"/>
  <c r="H4" i="31"/>
  <c r="D332" i="32"/>
  <c r="H24" i="31"/>
  <c r="H140" i="32"/>
  <c r="H45" i="31"/>
  <c r="I172" i="32"/>
  <c r="N85" i="24"/>
  <c r="C26" i="15" s="1"/>
  <c r="G26" i="15" s="1"/>
  <c r="M85" i="24"/>
  <c r="C678" i="24" s="1"/>
  <c r="BI85" i="24"/>
  <c r="C73" i="15" s="1"/>
  <c r="G73" i="15" s="1"/>
  <c r="H75" i="31"/>
  <c r="P85" i="24"/>
  <c r="C28" i="15" s="1"/>
  <c r="AW85" i="24"/>
  <c r="G213" i="32" s="1"/>
  <c r="AX85" i="24"/>
  <c r="C616" i="24" s="1"/>
  <c r="BT85" i="24"/>
  <c r="C640" i="24" s="1"/>
  <c r="BM85" i="24"/>
  <c r="C638" i="24" s="1"/>
  <c r="AK85" i="24"/>
  <c r="I149" i="32" s="1"/>
  <c r="BV85" i="24"/>
  <c r="C86" i="15" s="1"/>
  <c r="G86" i="15" s="1"/>
  <c r="C71" i="15"/>
  <c r="G71" i="15" s="1"/>
  <c r="C117" i="32"/>
  <c r="C688" i="24"/>
  <c r="C35" i="15"/>
  <c r="C618" i="24"/>
  <c r="M27" i="31"/>
  <c r="M14" i="31"/>
  <c r="CE52" i="24"/>
  <c r="O85" i="24"/>
  <c r="M73" i="31"/>
  <c r="C689" i="24"/>
  <c r="M49" i="31"/>
  <c r="H209" i="32"/>
  <c r="AB85" i="24"/>
  <c r="C693" i="24" s="1"/>
  <c r="AA85" i="24"/>
  <c r="C39" i="15" s="1"/>
  <c r="U85" i="24"/>
  <c r="C686" i="24" s="1"/>
  <c r="G81" i="32"/>
  <c r="H36" i="15"/>
  <c r="I36" i="15" s="1"/>
  <c r="D350" i="24"/>
  <c r="C92" i="15"/>
  <c r="G92" i="15" s="1"/>
  <c r="C373" i="32"/>
  <c r="C622" i="24"/>
  <c r="H277" i="32"/>
  <c r="C76" i="15"/>
  <c r="G76" i="15" s="1"/>
  <c r="C637" i="24"/>
  <c r="C679" i="24"/>
  <c r="E341" i="32"/>
  <c r="C87" i="15"/>
  <c r="G87" i="15" s="1"/>
  <c r="C643" i="24"/>
  <c r="E117" i="32"/>
  <c r="C691" i="24"/>
  <c r="C38" i="15"/>
  <c r="G38" i="15" s="1"/>
  <c r="E373" i="32"/>
  <c r="C94" i="15"/>
  <c r="G94" i="15" s="1"/>
  <c r="D277" i="32"/>
  <c r="C636" i="24"/>
  <c r="C72" i="15"/>
  <c r="G72" i="15" s="1"/>
  <c r="D309" i="32"/>
  <c r="BP2" i="30"/>
  <c r="C119" i="8"/>
  <c r="D366" i="24"/>
  <c r="C213" i="32"/>
  <c r="C57" i="15"/>
  <c r="G57" i="15" s="1"/>
  <c r="C710" i="24"/>
  <c r="C309" i="32"/>
  <c r="C78" i="15"/>
  <c r="G78" i="15" s="1"/>
  <c r="C619" i="24"/>
  <c r="E53" i="32"/>
  <c r="C24" i="15"/>
  <c r="G24" i="15" s="1"/>
  <c r="C677" i="24"/>
  <c r="D21" i="32"/>
  <c r="C16" i="15"/>
  <c r="G16" i="15" s="1"/>
  <c r="C669" i="24"/>
  <c r="C149" i="32"/>
  <c r="C696" i="24"/>
  <c r="C43" i="15"/>
  <c r="H341" i="32"/>
  <c r="C646" i="24"/>
  <c r="C90" i="15"/>
  <c r="G90" i="15" s="1"/>
  <c r="F21" i="32"/>
  <c r="C18" i="15"/>
  <c r="G18" i="15" s="1"/>
  <c r="C671" i="24"/>
  <c r="E21" i="32"/>
  <c r="C17" i="15"/>
  <c r="C670" i="24"/>
  <c r="E380" i="24"/>
  <c r="D12" i="33"/>
  <c r="C50" i="8"/>
  <c r="F309" i="24"/>
  <c r="D352" i="24"/>
  <c r="C103" i="8" s="1"/>
  <c r="D373" i="32"/>
  <c r="C620" i="24"/>
  <c r="C93" i="15"/>
  <c r="G93" i="15" s="1"/>
  <c r="E181" i="32"/>
  <c r="C705" i="24"/>
  <c r="C52" i="15"/>
  <c r="G52" i="15" s="1"/>
  <c r="F277" i="32"/>
  <c r="C74" i="15"/>
  <c r="G74" i="15" s="1"/>
  <c r="C617" i="24"/>
  <c r="D117" i="32"/>
  <c r="C37" i="15"/>
  <c r="C690" i="24"/>
  <c r="D708" i="34"/>
  <c r="D696" i="34"/>
  <c r="D684" i="34"/>
  <c r="D709" i="34"/>
  <c r="D697" i="34"/>
  <c r="D685" i="34"/>
  <c r="D673" i="34"/>
  <c r="D692" i="34"/>
  <c r="D688" i="34"/>
  <c r="D683" i="34"/>
  <c r="D640" i="34"/>
  <c r="D679" i="34"/>
  <c r="D675" i="34"/>
  <c r="D669" i="34"/>
  <c r="D635" i="34"/>
  <c r="D626" i="34"/>
  <c r="D623" i="34"/>
  <c r="D617" i="34"/>
  <c r="D711" i="34"/>
  <c r="D706" i="34"/>
  <c r="D702" i="34"/>
  <c r="D698" i="34"/>
  <c r="D643" i="34"/>
  <c r="D630" i="34"/>
  <c r="D693" i="34"/>
  <c r="D689" i="34"/>
  <c r="D670" i="34"/>
  <c r="D646" i="34"/>
  <c r="D638" i="34"/>
  <c r="D628" i="34"/>
  <c r="D622" i="34"/>
  <c r="D616" i="34"/>
  <c r="D707" i="34"/>
  <c r="D680" i="34"/>
  <c r="D676" i="34"/>
  <c r="D633" i="34"/>
  <c r="D703" i="34"/>
  <c r="D699" i="34"/>
  <c r="D671" i="34"/>
  <c r="D641" i="34"/>
  <c r="D621" i="34"/>
  <c r="D716" i="34"/>
  <c r="D712" i="34"/>
  <c r="D694" i="34"/>
  <c r="D690" i="34"/>
  <c r="D686" i="34"/>
  <c r="D672" i="34"/>
  <c r="D636" i="34"/>
  <c r="D631" i="34"/>
  <c r="D625" i="34"/>
  <c r="D681" i="34"/>
  <c r="D677" i="34"/>
  <c r="D644" i="34"/>
  <c r="D620" i="34"/>
  <c r="D704" i="34"/>
  <c r="D700" i="34"/>
  <c r="D695" i="34"/>
  <c r="D647" i="34"/>
  <c r="D639" i="34"/>
  <c r="D634" i="34"/>
  <c r="D627" i="34"/>
  <c r="D645" i="34"/>
  <c r="D691" i="34"/>
  <c r="D687" i="34"/>
  <c r="D624" i="34"/>
  <c r="D710" i="34"/>
  <c r="D668" i="34"/>
  <c r="D629" i="34"/>
  <c r="D682" i="34"/>
  <c r="D678" i="34"/>
  <c r="D674" i="34"/>
  <c r="D713" i="34"/>
  <c r="D642" i="34"/>
  <c r="D637" i="34"/>
  <c r="D619" i="34"/>
  <c r="D705" i="34"/>
  <c r="D701" i="34"/>
  <c r="D632" i="34"/>
  <c r="D618" i="34"/>
  <c r="F16" i="6"/>
  <c r="F234" i="24"/>
  <c r="C672" i="24"/>
  <c r="G21" i="32"/>
  <c r="C19" i="15"/>
  <c r="G19" i="15" s="1"/>
  <c r="C706" i="24"/>
  <c r="H245" i="32"/>
  <c r="C69" i="15"/>
  <c r="C614" i="24"/>
  <c r="E245" i="32"/>
  <c r="C66" i="15"/>
  <c r="G66" i="15" s="1"/>
  <c r="C632" i="24"/>
  <c r="F309" i="32"/>
  <c r="C81" i="15"/>
  <c r="G81" i="15" s="1"/>
  <c r="C623" i="24"/>
  <c r="I21" i="32"/>
  <c r="C21" i="15"/>
  <c r="G21" i="15" s="1"/>
  <c r="C674" i="24"/>
  <c r="F245" i="32"/>
  <c r="C67" i="15"/>
  <c r="G67" i="15" s="1"/>
  <c r="C633" i="24"/>
  <c r="C53" i="32"/>
  <c r="C22" i="15"/>
  <c r="G22" i="15" s="1"/>
  <c r="C675" i="24"/>
  <c r="I341" i="32"/>
  <c r="C91" i="15"/>
  <c r="G91" i="15" s="1"/>
  <c r="C647" i="24"/>
  <c r="C50" i="15"/>
  <c r="G50" i="15" s="1"/>
  <c r="C181" i="32"/>
  <c r="C703" i="24"/>
  <c r="C85" i="32"/>
  <c r="C29" i="15"/>
  <c r="C682" i="24"/>
  <c r="C627" i="24" l="1"/>
  <c r="C75" i="15"/>
  <c r="G75" i="15" s="1"/>
  <c r="G277" i="32"/>
  <c r="C683" i="24"/>
  <c r="D85" i="32"/>
  <c r="E149" i="32"/>
  <c r="C698" i="24"/>
  <c r="C51" i="15"/>
  <c r="G51" i="15" s="1"/>
  <c r="G149" i="32"/>
  <c r="G341" i="32"/>
  <c r="C625" i="24"/>
  <c r="C63" i="15"/>
  <c r="G63" i="15" s="1"/>
  <c r="H63" i="15" s="1"/>
  <c r="I63" i="15" s="1"/>
  <c r="C707" i="24"/>
  <c r="H309" i="32"/>
  <c r="G181" i="32"/>
  <c r="C83" i="15"/>
  <c r="G83" i="15" s="1"/>
  <c r="C673" i="24"/>
  <c r="H21" i="32"/>
  <c r="E277" i="32"/>
  <c r="C65" i="15"/>
  <c r="H65" i="15" s="1"/>
  <c r="I65" i="15" s="1"/>
  <c r="H149" i="32"/>
  <c r="C630" i="24"/>
  <c r="C695" i="24"/>
  <c r="C31" i="15"/>
  <c r="G31" i="15" s="1"/>
  <c r="C42" i="15"/>
  <c r="G42" i="15" s="1"/>
  <c r="C713" i="24"/>
  <c r="C60" i="15"/>
  <c r="C641" i="24"/>
  <c r="C684" i="24"/>
  <c r="C645" i="24"/>
  <c r="C85" i="15"/>
  <c r="G85" i="15" s="1"/>
  <c r="C53" i="15"/>
  <c r="G53" i="15" s="1"/>
  <c r="C32" i="15"/>
  <c r="G32" i="15" s="1"/>
  <c r="G53" i="32"/>
  <c r="C685" i="24"/>
  <c r="C704" i="24"/>
  <c r="C668" i="24"/>
  <c r="C697" i="24"/>
  <c r="C700" i="24"/>
  <c r="C44" i="15"/>
  <c r="G44" i="15" s="1"/>
  <c r="C624" i="24"/>
  <c r="G245" i="32"/>
  <c r="F53" i="32"/>
  <c r="C709" i="24"/>
  <c r="C15" i="15"/>
  <c r="G15" i="15" s="1"/>
  <c r="C58" i="15"/>
  <c r="G58" i="15" s="1"/>
  <c r="C25" i="15"/>
  <c r="G25" i="15" s="1"/>
  <c r="C62" i="15"/>
  <c r="C34" i="15"/>
  <c r="G34" i="15" s="1"/>
  <c r="H213" i="32"/>
  <c r="C687" i="24"/>
  <c r="C23" i="15"/>
  <c r="G23" i="15" s="1"/>
  <c r="D341" i="32"/>
  <c r="C708" i="24"/>
  <c r="F341" i="32"/>
  <c r="C88" i="15"/>
  <c r="G88" i="15" s="1"/>
  <c r="C61" i="15"/>
  <c r="C70" i="15"/>
  <c r="G70" i="15" s="1"/>
  <c r="I245" i="32"/>
  <c r="C642" i="24"/>
  <c r="C82" i="15"/>
  <c r="G82" i="15" s="1"/>
  <c r="C628" i="24"/>
  <c r="C64" i="15"/>
  <c r="G64" i="15" s="1"/>
  <c r="H64" i="15" s="1"/>
  <c r="C699" i="24"/>
  <c r="C626" i="24"/>
  <c r="F149" i="32"/>
  <c r="C634" i="24"/>
  <c r="C56" i="15"/>
  <c r="G56" i="15" s="1"/>
  <c r="C694" i="24"/>
  <c r="C55" i="15"/>
  <c r="G55" i="15" s="1"/>
  <c r="C59" i="15"/>
  <c r="G59" i="15" s="1"/>
  <c r="C48" i="15"/>
  <c r="G48" i="15" s="1"/>
  <c r="E309" i="32"/>
  <c r="C80" i="15"/>
  <c r="G80" i="15" s="1"/>
  <c r="C712" i="24"/>
  <c r="D213" i="32"/>
  <c r="C681" i="24"/>
  <c r="I53" i="32"/>
  <c r="C631" i="24"/>
  <c r="C676" i="24"/>
  <c r="C77" i="15"/>
  <c r="G77" i="15" s="1"/>
  <c r="C49" i="15"/>
  <c r="G49" i="15" s="1"/>
  <c r="I277" i="32"/>
  <c r="C84" i="15"/>
  <c r="G84" i="15" s="1"/>
  <c r="C41" i="15"/>
  <c r="G41" i="15" s="1"/>
  <c r="I309" i="32"/>
  <c r="C702" i="24"/>
  <c r="G117" i="32"/>
  <c r="G35" i="15"/>
  <c r="H35" i="15" s="1"/>
  <c r="I35" i="15" s="1"/>
  <c r="C40" i="15"/>
  <c r="G40" i="15" s="1"/>
  <c r="C692" i="24"/>
  <c r="G85" i="32"/>
  <c r="C33" i="15"/>
  <c r="CE85" i="24"/>
  <c r="C716" i="24" s="1"/>
  <c r="F117" i="32"/>
  <c r="H53" i="32"/>
  <c r="C27" i="15"/>
  <c r="C680" i="24"/>
  <c r="D615" i="24"/>
  <c r="G43" i="15"/>
  <c r="H43" i="15" s="1"/>
  <c r="I43" i="15" s="1"/>
  <c r="G45" i="15"/>
  <c r="H45" i="15" s="1"/>
  <c r="I45" i="15" s="1"/>
  <c r="G65" i="15"/>
  <c r="G69" i="15"/>
  <c r="H69" i="15" s="1"/>
  <c r="I69" i="15" s="1"/>
  <c r="G37" i="15"/>
  <c r="H37" i="15" s="1"/>
  <c r="I37" i="15" s="1"/>
  <c r="C120" i="8"/>
  <c r="D367" i="24"/>
  <c r="D715" i="34"/>
  <c r="E623" i="34"/>
  <c r="G29" i="15"/>
  <c r="H29" i="15"/>
  <c r="G30" i="15"/>
  <c r="H30" i="15"/>
  <c r="I30" i="15" s="1"/>
  <c r="G54" i="15"/>
  <c r="H54" i="15" s="1"/>
  <c r="I54" i="15" s="1"/>
  <c r="G39" i="15"/>
  <c r="H39" i="15" s="1"/>
  <c r="E612" i="34"/>
  <c r="G17" i="15"/>
  <c r="H17" i="15" s="1"/>
  <c r="I17" i="15" s="1"/>
  <c r="G28" i="15"/>
  <c r="H28" i="15" s="1"/>
  <c r="I28" i="15" s="1"/>
  <c r="H15" i="15" l="1"/>
  <c r="I15" i="15" s="1"/>
  <c r="H34" i="15"/>
  <c r="I34" i="15" s="1"/>
  <c r="H48" i="15"/>
  <c r="I48" i="15" s="1"/>
  <c r="C648" i="24"/>
  <c r="M716" i="24" s="1"/>
  <c r="H41" i="15"/>
  <c r="I41" i="15" s="1"/>
  <c r="C715" i="24"/>
  <c r="I373" i="32"/>
  <c r="G33" i="15"/>
  <c r="H33" i="15" s="1"/>
  <c r="I33" i="15" s="1"/>
  <c r="G27" i="15"/>
  <c r="H27" i="15" s="1"/>
  <c r="I27" i="15" s="1"/>
  <c r="C121" i="8"/>
  <c r="D384" i="24"/>
  <c r="E709" i="34"/>
  <c r="E697" i="34"/>
  <c r="E685" i="34"/>
  <c r="E673" i="34"/>
  <c r="E710" i="34"/>
  <c r="E698" i="34"/>
  <c r="E686" i="34"/>
  <c r="E674" i="34"/>
  <c r="E646" i="34"/>
  <c r="E679" i="34"/>
  <c r="E675" i="34"/>
  <c r="E669" i="34"/>
  <c r="E635" i="34"/>
  <c r="E626" i="34"/>
  <c r="E711" i="34"/>
  <c r="E706" i="34"/>
  <c r="E702" i="34"/>
  <c r="E684" i="34"/>
  <c r="E643" i="34"/>
  <c r="E630" i="34"/>
  <c r="E693" i="34"/>
  <c r="E689" i="34"/>
  <c r="E670" i="34"/>
  <c r="E638" i="34"/>
  <c r="E628" i="34"/>
  <c r="E707" i="34"/>
  <c r="E680" i="34"/>
  <c r="E676" i="34"/>
  <c r="E633" i="34"/>
  <c r="E703" i="34"/>
  <c r="E699" i="34"/>
  <c r="E671" i="34"/>
  <c r="E641" i="34"/>
  <c r="E716" i="34"/>
  <c r="E712" i="34"/>
  <c r="E708" i="34"/>
  <c r="E694" i="34"/>
  <c r="E690" i="34"/>
  <c r="E672" i="34"/>
  <c r="E636" i="34"/>
  <c r="E631" i="34"/>
  <c r="E625" i="34"/>
  <c r="E681" i="34"/>
  <c r="E677" i="34"/>
  <c r="E644" i="34"/>
  <c r="E704" i="34"/>
  <c r="E700" i="34"/>
  <c r="E695" i="34"/>
  <c r="E647" i="34"/>
  <c r="E639" i="34"/>
  <c r="E634" i="34"/>
  <c r="E627" i="34"/>
  <c r="E691" i="34"/>
  <c r="E687" i="34"/>
  <c r="E629" i="34"/>
  <c r="E696" i="34"/>
  <c r="E645" i="34"/>
  <c r="E692" i="34"/>
  <c r="E688" i="34"/>
  <c r="E640" i="34"/>
  <c r="E624" i="34"/>
  <c r="E668" i="34"/>
  <c r="E683" i="34"/>
  <c r="E682" i="34"/>
  <c r="E678" i="34"/>
  <c r="E713" i="34"/>
  <c r="E642" i="34"/>
  <c r="E637" i="34"/>
  <c r="E705" i="34"/>
  <c r="E701" i="34"/>
  <c r="E632" i="34"/>
  <c r="D706" i="24"/>
  <c r="D710" i="24"/>
  <c r="D713" i="24"/>
  <c r="D707" i="24"/>
  <c r="D697" i="24"/>
  <c r="D685" i="24"/>
  <c r="D673" i="24"/>
  <c r="D711" i="24"/>
  <c r="D698" i="24"/>
  <c r="D686" i="24"/>
  <c r="D674" i="24"/>
  <c r="D646" i="24"/>
  <c r="D621" i="24"/>
  <c r="D708" i="24"/>
  <c r="D700" i="24"/>
  <c r="D688" i="24"/>
  <c r="D676" i="24"/>
  <c r="D620" i="24"/>
  <c r="D701" i="24"/>
  <c r="D689" i="24"/>
  <c r="D677" i="24"/>
  <c r="D627" i="24"/>
  <c r="D716" i="24"/>
  <c r="D712" i="24"/>
  <c r="D702" i="24"/>
  <c r="D690" i="24"/>
  <c r="D678" i="24"/>
  <c r="D647" i="24"/>
  <c r="D629" i="24"/>
  <c r="D619" i="24"/>
  <c r="D704" i="24"/>
  <c r="D692" i="24"/>
  <c r="D680" i="24"/>
  <c r="D668" i="24"/>
  <c r="D618" i="24"/>
  <c r="D705" i="24"/>
  <c r="D693" i="24"/>
  <c r="D681" i="24"/>
  <c r="D694" i="24"/>
  <c r="D682" i="24"/>
  <c r="D670" i="24"/>
  <c r="D645" i="24"/>
  <c r="D699" i="24"/>
  <c r="D636" i="24"/>
  <c r="D633" i="24"/>
  <c r="D630" i="24"/>
  <c r="D617" i="24"/>
  <c r="D709" i="24"/>
  <c r="D679" i="24"/>
  <c r="D643" i="24"/>
  <c r="D671" i="24"/>
  <c r="D695" i="24"/>
  <c r="D669" i="24"/>
  <c r="D639" i="24"/>
  <c r="D625" i="24"/>
  <c r="D616" i="24"/>
  <c r="D672" i="24"/>
  <c r="D635" i="24"/>
  <c r="D632" i="24"/>
  <c r="D624" i="24"/>
  <c r="D675" i="24"/>
  <c r="D642" i="24"/>
  <c r="D691" i="24"/>
  <c r="D638" i="24"/>
  <c r="D623" i="24"/>
  <c r="D684" i="24"/>
  <c r="D641" i="24"/>
  <c r="D628" i="24"/>
  <c r="D622" i="24"/>
  <c r="D640" i="24"/>
  <c r="D687" i="24"/>
  <c r="D634" i="24"/>
  <c r="D631" i="24"/>
  <c r="D626" i="24"/>
  <c r="D703" i="24"/>
  <c r="D644" i="24"/>
  <c r="D637" i="24"/>
  <c r="D696" i="24"/>
  <c r="D683" i="24"/>
  <c r="D715" i="24" l="1"/>
  <c r="E623" i="24"/>
  <c r="E715" i="34"/>
  <c r="F624" i="34"/>
  <c r="C138" i="8"/>
  <c r="D417" i="24"/>
  <c r="E612" i="24"/>
  <c r="C168" i="8" l="1"/>
  <c r="D421" i="24"/>
  <c r="E707" i="24"/>
  <c r="E711" i="24"/>
  <c r="E698" i="24"/>
  <c r="E686" i="24"/>
  <c r="E674" i="24"/>
  <c r="E646" i="24"/>
  <c r="E699" i="24"/>
  <c r="E687" i="24"/>
  <c r="E675" i="24"/>
  <c r="E643" i="24"/>
  <c r="E640" i="24"/>
  <c r="E637" i="24"/>
  <c r="E634" i="24"/>
  <c r="E631" i="24"/>
  <c r="E625" i="24"/>
  <c r="E701" i="24"/>
  <c r="E689" i="24"/>
  <c r="E677" i="24"/>
  <c r="E627" i="24"/>
  <c r="E716" i="24"/>
  <c r="E712" i="24"/>
  <c r="E702" i="24"/>
  <c r="E690" i="24"/>
  <c r="E678" i="24"/>
  <c r="E647" i="24"/>
  <c r="E629" i="24"/>
  <c r="E709" i="24"/>
  <c r="E703" i="24"/>
  <c r="E691" i="24"/>
  <c r="E679" i="24"/>
  <c r="E644" i="24"/>
  <c r="E641" i="24"/>
  <c r="E638" i="24"/>
  <c r="E635" i="24"/>
  <c r="E632" i="24"/>
  <c r="E624" i="24"/>
  <c r="E705" i="24"/>
  <c r="E693" i="24"/>
  <c r="E681" i="24"/>
  <c r="E669" i="24"/>
  <c r="E713" i="24"/>
  <c r="E694" i="24"/>
  <c r="E682" i="24"/>
  <c r="E670" i="24"/>
  <c r="E710" i="24"/>
  <c r="E706" i="24"/>
  <c r="E695" i="24"/>
  <c r="E683" i="24"/>
  <c r="E671" i="24"/>
  <c r="E642" i="24"/>
  <c r="E639" i="24"/>
  <c r="E636" i="24"/>
  <c r="E676" i="24"/>
  <c r="E668" i="24"/>
  <c r="E628" i="24"/>
  <c r="E692" i="24"/>
  <c r="E684" i="24"/>
  <c r="E672" i="24"/>
  <c r="E685" i="24"/>
  <c r="E708" i="24"/>
  <c r="E688" i="24"/>
  <c r="E704" i="24"/>
  <c r="E645" i="24"/>
  <c r="E697" i="24"/>
  <c r="E700" i="24"/>
  <c r="E673" i="24"/>
  <c r="E680" i="24"/>
  <c r="E630" i="24"/>
  <c r="E696" i="24"/>
  <c r="E626" i="24"/>
  <c r="E633" i="24"/>
  <c r="F710" i="34"/>
  <c r="F698" i="34"/>
  <c r="F686" i="34"/>
  <c r="F674" i="34"/>
  <c r="F711" i="34"/>
  <c r="F699" i="34"/>
  <c r="F687" i="34"/>
  <c r="F675" i="34"/>
  <c r="F643" i="34"/>
  <c r="F640" i="34"/>
  <c r="F637" i="34"/>
  <c r="F634" i="34"/>
  <c r="F631" i="34"/>
  <c r="F706" i="34"/>
  <c r="F702" i="34"/>
  <c r="F684" i="34"/>
  <c r="F630" i="34"/>
  <c r="F693" i="34"/>
  <c r="F689" i="34"/>
  <c r="F670" i="34"/>
  <c r="F638" i="34"/>
  <c r="F628" i="34"/>
  <c r="F707" i="34"/>
  <c r="F680" i="34"/>
  <c r="F676" i="34"/>
  <c r="F646" i="34"/>
  <c r="F633" i="34"/>
  <c r="F703" i="34"/>
  <c r="F685" i="34"/>
  <c r="F671" i="34"/>
  <c r="F641" i="34"/>
  <c r="F716" i="34"/>
  <c r="F712" i="34"/>
  <c r="F708" i="34"/>
  <c r="F694" i="34"/>
  <c r="F690" i="34"/>
  <c r="F672" i="34"/>
  <c r="F636" i="34"/>
  <c r="F625" i="34"/>
  <c r="F681" i="34"/>
  <c r="F677" i="34"/>
  <c r="F644" i="34"/>
  <c r="F704" i="34"/>
  <c r="F700" i="34"/>
  <c r="F695" i="34"/>
  <c r="F647" i="34"/>
  <c r="F639" i="34"/>
  <c r="F627" i="34"/>
  <c r="F709" i="34"/>
  <c r="F691" i="34"/>
  <c r="F673" i="34"/>
  <c r="F629" i="34"/>
  <c r="F713" i="34"/>
  <c r="F696" i="34"/>
  <c r="F682" i="34"/>
  <c r="F678" i="34"/>
  <c r="F642" i="34"/>
  <c r="F692" i="34"/>
  <c r="F688" i="34"/>
  <c r="F669" i="34"/>
  <c r="F635" i="34"/>
  <c r="F668" i="34"/>
  <c r="F683" i="34"/>
  <c r="F679" i="34"/>
  <c r="F705" i="34"/>
  <c r="F701" i="34"/>
  <c r="F632" i="34"/>
  <c r="F697" i="34"/>
  <c r="F626" i="34"/>
  <c r="F645" i="34"/>
  <c r="E715" i="24" l="1"/>
  <c r="F624" i="24"/>
  <c r="C172" i="8"/>
  <c r="D424" i="24"/>
  <c r="C177" i="8" s="1"/>
  <c r="F715" i="34"/>
  <c r="G625" i="34"/>
  <c r="F708" i="24" l="1"/>
  <c r="F625" i="24"/>
  <c r="G625" i="24" s="1"/>
  <c r="F679" i="24"/>
  <c r="F682" i="24"/>
  <c r="F689" i="24"/>
  <c r="F707" i="24"/>
  <c r="F712" i="24"/>
  <c r="F700" i="24"/>
  <c r="F644" i="24"/>
  <c r="F670" i="24"/>
  <c r="F705" i="24"/>
  <c r="F674" i="24"/>
  <c r="F716" i="24"/>
  <c r="F688" i="24"/>
  <c r="F641" i="24"/>
  <c r="F645" i="24"/>
  <c r="F669" i="24"/>
  <c r="F677" i="24"/>
  <c r="F711" i="24"/>
  <c r="F676" i="24"/>
  <c r="F638" i="24"/>
  <c r="F626" i="24"/>
  <c r="F639" i="24"/>
  <c r="F627" i="24"/>
  <c r="F699" i="24"/>
  <c r="F702" i="24"/>
  <c r="F635" i="24"/>
  <c r="F710" i="24"/>
  <c r="F697" i="24"/>
  <c r="F636" i="24"/>
  <c r="F687" i="24"/>
  <c r="F690" i="24"/>
  <c r="F632" i="24"/>
  <c r="F706" i="24"/>
  <c r="F685" i="24"/>
  <c r="F693" i="24"/>
  <c r="F675" i="24"/>
  <c r="F678" i="24"/>
  <c r="F704" i="24"/>
  <c r="F695" i="24"/>
  <c r="F646" i="24"/>
  <c r="F686" i="24"/>
  <c r="F643" i="24"/>
  <c r="F647" i="24"/>
  <c r="F692" i="24"/>
  <c r="F683" i="24"/>
  <c r="F698" i="24"/>
  <c r="F673" i="24"/>
  <c r="F640" i="24"/>
  <c r="F629" i="24"/>
  <c r="F680" i="24"/>
  <c r="F671" i="24"/>
  <c r="F642" i="24"/>
  <c r="F633" i="24"/>
  <c r="F637" i="24"/>
  <c r="F709" i="24"/>
  <c r="F668" i="24"/>
  <c r="F696" i="24"/>
  <c r="F701" i="24"/>
  <c r="F630" i="24"/>
  <c r="F634" i="24"/>
  <c r="F703" i="24"/>
  <c r="F713" i="24"/>
  <c r="F684" i="24"/>
  <c r="F681" i="24"/>
  <c r="F631" i="24"/>
  <c r="F691" i="24"/>
  <c r="F694" i="24"/>
  <c r="F672" i="24"/>
  <c r="F628" i="24"/>
  <c r="G710" i="34"/>
  <c r="G711" i="34"/>
  <c r="G699" i="34"/>
  <c r="G687" i="34"/>
  <c r="G675" i="34"/>
  <c r="G712" i="34"/>
  <c r="G700" i="34"/>
  <c r="G688" i="34"/>
  <c r="G676" i="34"/>
  <c r="G693" i="34"/>
  <c r="G689" i="34"/>
  <c r="G670" i="34"/>
  <c r="G643" i="34"/>
  <c r="G638" i="34"/>
  <c r="G628" i="34"/>
  <c r="G707" i="34"/>
  <c r="G698" i="34"/>
  <c r="G680" i="34"/>
  <c r="G646" i="34"/>
  <c r="G633" i="34"/>
  <c r="G703" i="34"/>
  <c r="G685" i="34"/>
  <c r="G671" i="34"/>
  <c r="G641" i="34"/>
  <c r="G716" i="34"/>
  <c r="G708" i="34"/>
  <c r="G694" i="34"/>
  <c r="G690" i="34"/>
  <c r="G672" i="34"/>
  <c r="G636" i="34"/>
  <c r="G681" i="34"/>
  <c r="G677" i="34"/>
  <c r="G644" i="34"/>
  <c r="G631" i="34"/>
  <c r="G704" i="34"/>
  <c r="G695" i="34"/>
  <c r="G686" i="34"/>
  <c r="G647" i="34"/>
  <c r="G639" i="34"/>
  <c r="G627" i="34"/>
  <c r="G709" i="34"/>
  <c r="G691" i="34"/>
  <c r="G673" i="34"/>
  <c r="G634" i="34"/>
  <c r="G629" i="34"/>
  <c r="G713" i="34"/>
  <c r="G696" i="34"/>
  <c r="G682" i="34"/>
  <c r="G678" i="34"/>
  <c r="G642" i="34"/>
  <c r="G705" i="34"/>
  <c r="G701" i="34"/>
  <c r="G668" i="34"/>
  <c r="G645" i="34"/>
  <c r="G637" i="34"/>
  <c r="G632" i="34"/>
  <c r="G669" i="34"/>
  <c r="G684" i="34"/>
  <c r="G640" i="34"/>
  <c r="G635" i="34"/>
  <c r="G683" i="34"/>
  <c r="G630" i="34"/>
  <c r="G679" i="34"/>
  <c r="G674" i="34"/>
  <c r="G697" i="34"/>
  <c r="G626" i="34"/>
  <c r="G706" i="34"/>
  <c r="G692" i="34"/>
  <c r="G702" i="34"/>
  <c r="G705" i="24" l="1"/>
  <c r="G669" i="24"/>
  <c r="G642" i="24"/>
  <c r="G697" i="24"/>
  <c r="G677" i="24"/>
  <c r="G634" i="24"/>
  <c r="G633" i="24"/>
  <c r="G700" i="24"/>
  <c r="G687" i="24"/>
  <c r="G645" i="24"/>
  <c r="G704" i="24"/>
  <c r="G711" i="24"/>
  <c r="G683" i="24"/>
  <c r="G702" i="24"/>
  <c r="G707" i="24"/>
  <c r="G646" i="24"/>
  <c r="G679" i="24"/>
  <c r="G676" i="24"/>
  <c r="G626" i="24"/>
  <c r="G671" i="24"/>
  <c r="G641" i="24"/>
  <c r="G709" i="24"/>
  <c r="G639" i="24"/>
  <c r="G689" i="24"/>
  <c r="G681" i="24"/>
  <c r="G712" i="24"/>
  <c r="G632" i="24"/>
  <c r="G696" i="24"/>
  <c r="G710" i="24"/>
  <c r="G692" i="24"/>
  <c r="G694" i="24"/>
  <c r="G635" i="24"/>
  <c r="G631" i="24"/>
  <c r="G688" i="24"/>
  <c r="G716" i="24"/>
  <c r="G699" i="24"/>
  <c r="G668" i="24"/>
  <c r="G647" i="24"/>
  <c r="G629" i="24"/>
  <c r="G672" i="24"/>
  <c r="G701" i="24"/>
  <c r="G640" i="24"/>
  <c r="G685" i="24"/>
  <c r="G703" i="24"/>
  <c r="G636" i="24"/>
  <c r="G713" i="24"/>
  <c r="G637" i="24"/>
  <c r="G678" i="24"/>
  <c r="G627" i="24"/>
  <c r="G684" i="24"/>
  <c r="G682" i="24"/>
  <c r="G691" i="24"/>
  <c r="G675" i="24"/>
  <c r="G670" i="24"/>
  <c r="G695" i="24"/>
  <c r="G643" i="24"/>
  <c r="G686" i="24"/>
  <c r="G706" i="24"/>
  <c r="G693" i="24"/>
  <c r="G674" i="24"/>
  <c r="G673" i="24"/>
  <c r="G630" i="24"/>
  <c r="G644" i="24"/>
  <c r="G708" i="24"/>
  <c r="G628" i="24"/>
  <c r="G680" i="24"/>
  <c r="G698" i="24"/>
  <c r="G638" i="24"/>
  <c r="G690" i="24"/>
  <c r="F715" i="24"/>
  <c r="G715" i="34"/>
  <c r="H628" i="34"/>
  <c r="H628" i="24" l="1"/>
  <c r="H642" i="24" s="1"/>
  <c r="G715" i="24"/>
  <c r="H711" i="34"/>
  <c r="H712" i="34"/>
  <c r="H700" i="34"/>
  <c r="H688" i="34"/>
  <c r="H676" i="34"/>
  <c r="H713" i="34"/>
  <c r="H701" i="34"/>
  <c r="H689" i="34"/>
  <c r="H677" i="34"/>
  <c r="H707" i="34"/>
  <c r="H698" i="34"/>
  <c r="H680" i="34"/>
  <c r="H646" i="34"/>
  <c r="H633" i="34"/>
  <c r="H703" i="34"/>
  <c r="H685" i="34"/>
  <c r="H671" i="34"/>
  <c r="H641" i="34"/>
  <c r="H716" i="34"/>
  <c r="H708" i="34"/>
  <c r="H694" i="34"/>
  <c r="H690" i="34"/>
  <c r="H672" i="34"/>
  <c r="H636" i="34"/>
  <c r="H699" i="34"/>
  <c r="H681" i="34"/>
  <c r="H644" i="34"/>
  <c r="H631" i="34"/>
  <c r="H704" i="34"/>
  <c r="H695" i="34"/>
  <c r="H686" i="34"/>
  <c r="H647" i="34"/>
  <c r="H639" i="34"/>
  <c r="H709" i="34"/>
  <c r="H691" i="34"/>
  <c r="H673" i="34"/>
  <c r="H634" i="34"/>
  <c r="H629" i="34"/>
  <c r="H696" i="34"/>
  <c r="H682" i="34"/>
  <c r="H678" i="34"/>
  <c r="H642" i="34"/>
  <c r="H705" i="34"/>
  <c r="H687" i="34"/>
  <c r="H668" i="34"/>
  <c r="H645" i="34"/>
  <c r="H637" i="34"/>
  <c r="H632" i="34"/>
  <c r="H692" i="34"/>
  <c r="H683" i="34"/>
  <c r="H674" i="34"/>
  <c r="H684" i="34"/>
  <c r="H640" i="34"/>
  <c r="H635" i="34"/>
  <c r="H630" i="34"/>
  <c r="H679" i="34"/>
  <c r="H710" i="34"/>
  <c r="H706" i="34"/>
  <c r="H702" i="34"/>
  <c r="H675" i="34"/>
  <c r="H697" i="34"/>
  <c r="H693" i="34"/>
  <c r="H670" i="34"/>
  <c r="H643" i="34"/>
  <c r="H669" i="34"/>
  <c r="H638" i="34"/>
  <c r="H702" i="24" l="1"/>
  <c r="H672" i="24"/>
  <c r="H704" i="24"/>
  <c r="H680" i="24"/>
  <c r="H699" i="24"/>
  <c r="H712" i="24"/>
  <c r="H629" i="24"/>
  <c r="I629" i="24" s="1"/>
  <c r="I645" i="24" s="1"/>
  <c r="H678" i="24"/>
  <c r="H688" i="24"/>
  <c r="H716" i="24"/>
  <c r="H692" i="24"/>
  <c r="H643" i="24"/>
  <c r="H693" i="24"/>
  <c r="H632" i="24"/>
  <c r="H679" i="24"/>
  <c r="H684" i="24"/>
  <c r="H706" i="24"/>
  <c r="H669" i="24"/>
  <c r="H697" i="24"/>
  <c r="H687" i="24"/>
  <c r="H631" i="24"/>
  <c r="H694" i="24"/>
  <c r="H696" i="24"/>
  <c r="H705" i="24"/>
  <c r="H709" i="24"/>
  <c r="H691" i="24"/>
  <c r="H675" i="24"/>
  <c r="H640" i="24"/>
  <c r="H635" i="24"/>
  <c r="H683" i="24"/>
  <c r="H634" i="24"/>
  <c r="H703" i="24"/>
  <c r="H638" i="24"/>
  <c r="H700" i="24"/>
  <c r="H668" i="24"/>
  <c r="H636" i="24"/>
  <c r="H646" i="24"/>
  <c r="H711" i="24"/>
  <c r="H708" i="24"/>
  <c r="H707" i="24"/>
  <c r="H647" i="24"/>
  <c r="H676" i="24"/>
  <c r="H633" i="24"/>
  <c r="H695" i="24"/>
  <c r="H681" i="24"/>
  <c r="H713" i="24"/>
  <c r="H685" i="24"/>
  <c r="H645" i="24"/>
  <c r="H630" i="24"/>
  <c r="H710" i="24"/>
  <c r="H677" i="24"/>
  <c r="H690" i="24"/>
  <c r="H673" i="24"/>
  <c r="H641" i="24"/>
  <c r="H689" i="24"/>
  <c r="H644" i="24"/>
  <c r="H671" i="24"/>
  <c r="H686" i="24"/>
  <c r="H637" i="24"/>
  <c r="H701" i="24"/>
  <c r="H670" i="24"/>
  <c r="H639" i="24"/>
  <c r="H674" i="24"/>
  <c r="H698" i="24"/>
  <c r="H682" i="24"/>
  <c r="H715" i="34"/>
  <c r="I629" i="34"/>
  <c r="I642" i="24" l="1"/>
  <c r="I711" i="24"/>
  <c r="I700" i="24"/>
  <c r="I701" i="24"/>
  <c r="I691" i="24"/>
  <c r="I682" i="24"/>
  <c r="I685" i="24"/>
  <c r="I633" i="24"/>
  <c r="I695" i="24"/>
  <c r="I707" i="24"/>
  <c r="I632" i="24"/>
  <c r="I708" i="24"/>
  <c r="I644" i="24"/>
  <c r="I710" i="24"/>
  <c r="I646" i="24"/>
  <c r="I630" i="24"/>
  <c r="J630" i="24" s="1"/>
  <c r="I686" i="24"/>
  <c r="I716" i="24"/>
  <c r="I692" i="24"/>
  <c r="I673" i="24"/>
  <c r="I639" i="24"/>
  <c r="I647" i="24"/>
  <c r="I674" i="24"/>
  <c r="I670" i="24"/>
  <c r="I634" i="24"/>
  <c r="I641" i="24"/>
  <c r="I712" i="24"/>
  <c r="I683" i="24"/>
  <c r="I693" i="24"/>
  <c r="I638" i="24"/>
  <c r="I713" i="24"/>
  <c r="I697" i="24"/>
  <c r="I640" i="24"/>
  <c r="I680" i="24"/>
  <c r="I671" i="24"/>
  <c r="I684" i="24"/>
  <c r="I637" i="24"/>
  <c r="I704" i="24"/>
  <c r="I676" i="24"/>
  <c r="I635" i="24"/>
  <c r="I709" i="24"/>
  <c r="I694" i="24"/>
  <c r="I698" i="24"/>
  <c r="I678" i="24"/>
  <c r="I703" i="24"/>
  <c r="I706" i="24"/>
  <c r="I688" i="24"/>
  <c r="I669" i="24"/>
  <c r="I705" i="24"/>
  <c r="I679" i="24"/>
  <c r="I690" i="24"/>
  <c r="I677" i="24"/>
  <c r="I643" i="24"/>
  <c r="I702" i="24"/>
  <c r="I689" i="24"/>
  <c r="I672" i="24"/>
  <c r="I696" i="24"/>
  <c r="I636" i="24"/>
  <c r="I699" i="24"/>
  <c r="I668" i="24"/>
  <c r="I687" i="24"/>
  <c r="I681" i="24"/>
  <c r="I631" i="24"/>
  <c r="I675" i="24"/>
  <c r="H715" i="24"/>
  <c r="I712" i="34"/>
  <c r="I713" i="34"/>
  <c r="I701" i="34"/>
  <c r="I689" i="34"/>
  <c r="I677" i="34"/>
  <c r="I702" i="34"/>
  <c r="I690" i="34"/>
  <c r="I678" i="34"/>
  <c r="I647" i="34"/>
  <c r="I711" i="34"/>
  <c r="I703" i="34"/>
  <c r="I685" i="34"/>
  <c r="I671" i="34"/>
  <c r="I641" i="34"/>
  <c r="I716" i="34"/>
  <c r="I708" i="34"/>
  <c r="I694" i="34"/>
  <c r="I676" i="34"/>
  <c r="I672" i="34"/>
  <c r="I636" i="34"/>
  <c r="I699" i="34"/>
  <c r="I681" i="34"/>
  <c r="I644" i="34"/>
  <c r="I631" i="34"/>
  <c r="I704" i="34"/>
  <c r="I695" i="34"/>
  <c r="I686" i="34"/>
  <c r="I639" i="34"/>
  <c r="I709" i="34"/>
  <c r="I691" i="34"/>
  <c r="I673" i="34"/>
  <c r="I634" i="34"/>
  <c r="I700" i="34"/>
  <c r="I696" i="34"/>
  <c r="I682" i="34"/>
  <c r="I642" i="34"/>
  <c r="I705" i="34"/>
  <c r="I687" i="34"/>
  <c r="I668" i="34"/>
  <c r="I645" i="34"/>
  <c r="I637" i="34"/>
  <c r="I632" i="34"/>
  <c r="I692" i="34"/>
  <c r="I683" i="34"/>
  <c r="I674" i="34"/>
  <c r="I710" i="34"/>
  <c r="I697" i="34"/>
  <c r="I679" i="34"/>
  <c r="I669" i="34"/>
  <c r="I640" i="34"/>
  <c r="I635" i="34"/>
  <c r="I680" i="34"/>
  <c r="I630" i="34"/>
  <c r="I707" i="34"/>
  <c r="I706" i="34"/>
  <c r="I675" i="34"/>
  <c r="I643" i="34"/>
  <c r="I638" i="34"/>
  <c r="I693" i="34"/>
  <c r="I670" i="34"/>
  <c r="I646" i="34"/>
  <c r="I633" i="34"/>
  <c r="I698" i="34"/>
  <c r="I688" i="34"/>
  <c r="I684" i="34"/>
  <c r="J707" i="24" l="1"/>
  <c r="J703" i="24"/>
  <c r="J683" i="24"/>
  <c r="J698" i="24"/>
  <c r="I715" i="24"/>
  <c r="J711" i="24"/>
  <c r="J682" i="24"/>
  <c r="J709" i="24"/>
  <c r="J681" i="24"/>
  <c r="J638" i="24"/>
  <c r="J635" i="24"/>
  <c r="J631" i="24"/>
  <c r="J692" i="24"/>
  <c r="J678" i="24"/>
  <c r="J705" i="24"/>
  <c r="J669" i="24"/>
  <c r="J680" i="24"/>
  <c r="J672" i="24"/>
  <c r="J688" i="24"/>
  <c r="J668" i="24"/>
  <c r="J700" i="24"/>
  <c r="J679" i="24"/>
  <c r="J716" i="24"/>
  <c r="J686" i="24"/>
  <c r="J697" i="24"/>
  <c r="J640" i="24"/>
  <c r="J693" i="24"/>
  <c r="J694" i="24"/>
  <c r="J645" i="24"/>
  <c r="J687" i="24"/>
  <c r="J701" i="24"/>
  <c r="J670" i="24"/>
  <c r="J708" i="24"/>
  <c r="J710" i="24"/>
  <c r="J632" i="24"/>
  <c r="J675" i="24"/>
  <c r="J695" i="24"/>
  <c r="J684" i="24"/>
  <c r="J642" i="24"/>
  <c r="J641" i="24"/>
  <c r="J674" i="24"/>
  <c r="J704" i="24"/>
  <c r="J637" i="24"/>
  <c r="J647" i="24"/>
  <c r="J671" i="24"/>
  <c r="J643" i="24"/>
  <c r="J639" i="24"/>
  <c r="J634" i="24"/>
  <c r="J713" i="24"/>
  <c r="J702" i="24"/>
  <c r="J696" i="24"/>
  <c r="J699" i="24"/>
  <c r="J633" i="24"/>
  <c r="J685" i="24"/>
  <c r="J673" i="24"/>
  <c r="J636" i="24"/>
  <c r="J677" i="24"/>
  <c r="J712" i="24"/>
  <c r="J676" i="24"/>
  <c r="J689" i="24"/>
  <c r="J646" i="24"/>
  <c r="J644" i="24"/>
  <c r="J690" i="24"/>
  <c r="J691" i="24"/>
  <c r="J706" i="24"/>
  <c r="I715" i="34"/>
  <c r="J630" i="34"/>
  <c r="K644" i="24" l="1"/>
  <c r="K678" i="24" s="1"/>
  <c r="L647" i="24"/>
  <c r="L700" i="24" s="1"/>
  <c r="J715" i="24"/>
  <c r="J713" i="34"/>
  <c r="J702" i="34"/>
  <c r="J690" i="34"/>
  <c r="J678" i="34"/>
  <c r="J716" i="34"/>
  <c r="J703" i="34"/>
  <c r="J691" i="34"/>
  <c r="J679" i="34"/>
  <c r="J644" i="34"/>
  <c r="J641" i="34"/>
  <c r="J638" i="34"/>
  <c r="J635" i="34"/>
  <c r="J632" i="34"/>
  <c r="J708" i="34"/>
  <c r="J694" i="34"/>
  <c r="J676" i="34"/>
  <c r="J672" i="34"/>
  <c r="J636" i="34"/>
  <c r="J699" i="34"/>
  <c r="J681" i="34"/>
  <c r="J631" i="34"/>
  <c r="J704" i="34"/>
  <c r="J695" i="34"/>
  <c r="J686" i="34"/>
  <c r="J639" i="34"/>
  <c r="J712" i="34"/>
  <c r="J709" i="34"/>
  <c r="J677" i="34"/>
  <c r="J673" i="34"/>
  <c r="J647" i="34"/>
  <c r="L647" i="34" s="1"/>
  <c r="J634" i="34"/>
  <c r="J700" i="34"/>
  <c r="J696" i="34"/>
  <c r="J682" i="34"/>
  <c r="J642" i="34"/>
  <c r="J705" i="34"/>
  <c r="J687" i="34"/>
  <c r="J668" i="34"/>
  <c r="J645" i="34"/>
  <c r="J637" i="34"/>
  <c r="J692" i="34"/>
  <c r="J683" i="34"/>
  <c r="J674" i="34"/>
  <c r="J710" i="34"/>
  <c r="J701" i="34"/>
  <c r="J697" i="34"/>
  <c r="J669" i="34"/>
  <c r="J640" i="34"/>
  <c r="J706" i="34"/>
  <c r="J688" i="34"/>
  <c r="J684" i="34"/>
  <c r="J680" i="34"/>
  <c r="J707" i="34"/>
  <c r="J711" i="34"/>
  <c r="J675" i="34"/>
  <c r="J643" i="34"/>
  <c r="J698" i="34"/>
  <c r="J671" i="34"/>
  <c r="J633" i="34"/>
  <c r="J693" i="34"/>
  <c r="J670" i="34"/>
  <c r="J646" i="34"/>
  <c r="J689" i="34"/>
  <c r="J685" i="34"/>
  <c r="K676" i="24" l="1"/>
  <c r="K690" i="24"/>
  <c r="K687" i="24"/>
  <c r="K686" i="24"/>
  <c r="K671" i="24"/>
  <c r="K675" i="24"/>
  <c r="K670" i="24"/>
  <c r="K711" i="24"/>
  <c r="K705" i="24"/>
  <c r="K703" i="24"/>
  <c r="K716" i="24"/>
  <c r="K694" i="24"/>
  <c r="K701" i="24"/>
  <c r="K682" i="24"/>
  <c r="K669" i="24"/>
  <c r="K673" i="24"/>
  <c r="K681" i="24"/>
  <c r="K700" i="24"/>
  <c r="K685" i="24"/>
  <c r="K709" i="24"/>
  <c r="K674" i="24"/>
  <c r="K683" i="24"/>
  <c r="M683" i="24" s="1"/>
  <c r="D87" i="32" s="1"/>
  <c r="K706" i="24"/>
  <c r="K697" i="24"/>
  <c r="K696" i="24"/>
  <c r="K712" i="24"/>
  <c r="K708" i="24"/>
  <c r="K707" i="24"/>
  <c r="K689" i="24"/>
  <c r="K695" i="24"/>
  <c r="K710" i="24"/>
  <c r="K679" i="24"/>
  <c r="K698" i="24"/>
  <c r="K688" i="24"/>
  <c r="K684" i="24"/>
  <c r="K680" i="24"/>
  <c r="K713" i="24"/>
  <c r="K702" i="24"/>
  <c r="K699" i="24"/>
  <c r="K672" i="24"/>
  <c r="K691" i="24"/>
  <c r="K677" i="24"/>
  <c r="K704" i="24"/>
  <c r="K692" i="24"/>
  <c r="K693" i="24"/>
  <c r="K668" i="24"/>
  <c r="M700" i="24"/>
  <c r="G151" i="32" s="1"/>
  <c r="L679" i="24"/>
  <c r="M679" i="24" s="1"/>
  <c r="L692" i="24"/>
  <c r="L683" i="24"/>
  <c r="L698" i="24"/>
  <c r="L687" i="24"/>
  <c r="L672" i="24"/>
  <c r="M672" i="24" s="1"/>
  <c r="G23" i="32" s="1"/>
  <c r="L702" i="24"/>
  <c r="M702" i="24" s="1"/>
  <c r="I151" i="32" s="1"/>
  <c r="L671" i="24"/>
  <c r="M671" i="24" s="1"/>
  <c r="F23" i="32" s="1"/>
  <c r="L713" i="24"/>
  <c r="L680" i="24"/>
  <c r="L685" i="24"/>
  <c r="M685" i="24" s="1"/>
  <c r="F87" i="32" s="1"/>
  <c r="L697" i="24"/>
  <c r="M697" i="24" s="1"/>
  <c r="D151" i="32" s="1"/>
  <c r="L681" i="24"/>
  <c r="L674" i="24"/>
  <c r="L690" i="24"/>
  <c r="M690" i="24" s="1"/>
  <c r="D119" i="32" s="1"/>
  <c r="L684" i="24"/>
  <c r="L709" i="24"/>
  <c r="L705" i="24"/>
  <c r="L706" i="24"/>
  <c r="L691" i="24"/>
  <c r="M691" i="24" s="1"/>
  <c r="L676" i="24"/>
  <c r="L686" i="24"/>
  <c r="M686" i="24" s="1"/>
  <c r="G87" i="32" s="1"/>
  <c r="L689" i="24"/>
  <c r="M689" i="24" s="1"/>
  <c r="C119" i="32" s="1"/>
  <c r="L704" i="24"/>
  <c r="M704" i="24" s="1"/>
  <c r="D183" i="32" s="1"/>
  <c r="L670" i="24"/>
  <c r="L668" i="24"/>
  <c r="L707" i="24"/>
  <c r="L693" i="24"/>
  <c r="L675" i="24"/>
  <c r="L699" i="24"/>
  <c r="L716" i="24"/>
  <c r="L703" i="24"/>
  <c r="L695" i="24"/>
  <c r="M695" i="24" s="1"/>
  <c r="I119" i="32" s="1"/>
  <c r="L711" i="24"/>
  <c r="M711" i="24" s="1"/>
  <c r="D215" i="32" s="1"/>
  <c r="L688" i="24"/>
  <c r="M688" i="24" s="1"/>
  <c r="I87" i="32" s="1"/>
  <c r="L669" i="24"/>
  <c r="M669" i="24" s="1"/>
  <c r="D23" i="32" s="1"/>
  <c r="L682" i="24"/>
  <c r="M682" i="24" s="1"/>
  <c r="C87" i="32" s="1"/>
  <c r="L678" i="24"/>
  <c r="M678" i="24" s="1"/>
  <c r="L712" i="24"/>
  <c r="M712" i="24" s="1"/>
  <c r="E215" i="32" s="1"/>
  <c r="L701" i="24"/>
  <c r="L677" i="24"/>
  <c r="L694" i="24"/>
  <c r="L708" i="24"/>
  <c r="M708" i="24" s="1"/>
  <c r="H183" i="32" s="1"/>
  <c r="L696" i="24"/>
  <c r="L673" i="24"/>
  <c r="M673" i="24" s="1"/>
  <c r="H23" i="32" s="1"/>
  <c r="L710" i="24"/>
  <c r="M710" i="24" s="1"/>
  <c r="C215" i="32" s="1"/>
  <c r="L716" i="34"/>
  <c r="L704" i="34"/>
  <c r="L692" i="34"/>
  <c r="L680" i="34"/>
  <c r="L705" i="34"/>
  <c r="L693" i="34"/>
  <c r="L681" i="34"/>
  <c r="L669" i="34"/>
  <c r="L695" i="34"/>
  <c r="L690" i="34"/>
  <c r="L686" i="34"/>
  <c r="L712" i="34"/>
  <c r="L709" i="34"/>
  <c r="L677" i="34"/>
  <c r="L673" i="34"/>
  <c r="L700" i="34"/>
  <c r="L696" i="34"/>
  <c r="L682" i="34"/>
  <c r="L691" i="34"/>
  <c r="L687" i="34"/>
  <c r="L683" i="34"/>
  <c r="L678" i="34"/>
  <c r="L674" i="34"/>
  <c r="L668" i="34"/>
  <c r="L713" i="34"/>
  <c r="L710" i="34"/>
  <c r="L701" i="34"/>
  <c r="L697" i="34"/>
  <c r="L706" i="34"/>
  <c r="L688" i="34"/>
  <c r="L684" i="34"/>
  <c r="L679" i="34"/>
  <c r="L675" i="34"/>
  <c r="L670" i="34"/>
  <c r="L707" i="34"/>
  <c r="L702" i="34"/>
  <c r="L698" i="34"/>
  <c r="L711" i="34"/>
  <c r="L676" i="34"/>
  <c r="L672" i="34"/>
  <c r="L703" i="34"/>
  <c r="L699" i="34"/>
  <c r="L671" i="34"/>
  <c r="L694" i="34"/>
  <c r="L689" i="34"/>
  <c r="L685" i="34"/>
  <c r="L708" i="34"/>
  <c r="J715" i="34"/>
  <c r="K644" i="34"/>
  <c r="M707" i="24" l="1"/>
  <c r="G183" i="32" s="1"/>
  <c r="M680" i="24"/>
  <c r="H55" i="32" s="1"/>
  <c r="M699" i="24"/>
  <c r="F151" i="32" s="1"/>
  <c r="M705" i="24"/>
  <c r="E183" i="32" s="1"/>
  <c r="M677" i="24"/>
  <c r="M675" i="24"/>
  <c r="C55" i="32" s="1"/>
  <c r="M692" i="24"/>
  <c r="F55" i="32" s="1"/>
  <c r="K715" i="24"/>
  <c r="M676" i="24"/>
  <c r="D55" i="32" s="1"/>
  <c r="M703" i="24"/>
  <c r="C183" i="32" s="1"/>
  <c r="M709" i="24"/>
  <c r="I183" i="32" s="1"/>
  <c r="M701" i="24"/>
  <c r="H151" i="32" s="1"/>
  <c r="M684" i="24"/>
  <c r="E87" i="32" s="1"/>
  <c r="M696" i="24"/>
  <c r="C151" i="32" s="1"/>
  <c r="M706" i="24"/>
  <c r="F183" i="32" s="1"/>
  <c r="M694" i="24"/>
  <c r="H119" i="32" s="1"/>
  <c r="M687" i="24"/>
  <c r="H87" i="32" s="1"/>
  <c r="M713" i="24"/>
  <c r="F215" i="32" s="1"/>
  <c r="M693" i="24"/>
  <c r="G55" i="32" s="1"/>
  <c r="M674" i="24"/>
  <c r="I23" i="32" s="1"/>
  <c r="M698" i="24"/>
  <c r="E151" i="32" s="1"/>
  <c r="M670" i="24"/>
  <c r="E23" i="32" s="1"/>
  <c r="M681" i="24"/>
  <c r="I55" i="32" s="1"/>
  <c r="E55" i="32"/>
  <c r="E119" i="32"/>
  <c r="L715" i="24"/>
  <c r="M668" i="24"/>
  <c r="M708" i="34"/>
  <c r="M674" i="34"/>
  <c r="L715" i="34"/>
  <c r="M668" i="34"/>
  <c r="M694" i="34"/>
  <c r="M679" i="34"/>
  <c r="M687" i="34"/>
  <c r="M688" i="34"/>
  <c r="M684" i="34"/>
  <c r="M699" i="34"/>
  <c r="M703" i="34"/>
  <c r="M706" i="34"/>
  <c r="M671" i="34"/>
  <c r="M682" i="34"/>
  <c r="M712" i="34"/>
  <c r="M681" i="34"/>
  <c r="K716" i="34"/>
  <c r="K703" i="34"/>
  <c r="K691" i="34"/>
  <c r="M691" i="34" s="1"/>
  <c r="K679" i="34"/>
  <c r="K704" i="34"/>
  <c r="M704" i="34" s="1"/>
  <c r="K692" i="34"/>
  <c r="M692" i="34" s="1"/>
  <c r="K680" i="34"/>
  <c r="M680" i="34" s="1"/>
  <c r="K668" i="34"/>
  <c r="K699" i="34"/>
  <c r="K681" i="34"/>
  <c r="K695" i="34"/>
  <c r="M695" i="34" s="1"/>
  <c r="K690" i="34"/>
  <c r="M690" i="34" s="1"/>
  <c r="K686" i="34"/>
  <c r="M686" i="34" s="1"/>
  <c r="K712" i="34"/>
  <c r="K709" i="34"/>
  <c r="M709" i="34" s="1"/>
  <c r="K677" i="34"/>
  <c r="M677" i="34" s="1"/>
  <c r="K673" i="34"/>
  <c r="M673" i="34" s="1"/>
  <c r="K700" i="34"/>
  <c r="M700" i="34" s="1"/>
  <c r="K696" i="34"/>
  <c r="M696" i="34" s="1"/>
  <c r="K682" i="34"/>
  <c r="K705" i="34"/>
  <c r="M705" i="34" s="1"/>
  <c r="K687" i="34"/>
  <c r="K683" i="34"/>
  <c r="M683" i="34" s="1"/>
  <c r="K678" i="34"/>
  <c r="M678" i="34" s="1"/>
  <c r="K674" i="34"/>
  <c r="K713" i="34"/>
  <c r="M713" i="34" s="1"/>
  <c r="K710" i="34"/>
  <c r="M710" i="34" s="1"/>
  <c r="K701" i="34"/>
  <c r="M701" i="34" s="1"/>
  <c r="K697" i="34"/>
  <c r="M697" i="34" s="1"/>
  <c r="K669" i="34"/>
  <c r="M669" i="34" s="1"/>
  <c r="K706" i="34"/>
  <c r="K688" i="34"/>
  <c r="K684" i="34"/>
  <c r="K693" i="34"/>
  <c r="M693" i="34" s="1"/>
  <c r="K675" i="34"/>
  <c r="M675" i="34" s="1"/>
  <c r="K670" i="34"/>
  <c r="M670" i="34" s="1"/>
  <c r="K707" i="34"/>
  <c r="M707" i="34" s="1"/>
  <c r="K711" i="34"/>
  <c r="M711" i="34" s="1"/>
  <c r="K676" i="34"/>
  <c r="M676" i="34" s="1"/>
  <c r="K672" i="34"/>
  <c r="M672" i="34" s="1"/>
  <c r="K702" i="34"/>
  <c r="M702" i="34" s="1"/>
  <c r="K698" i="34"/>
  <c r="M698" i="34" s="1"/>
  <c r="K671" i="34"/>
  <c r="K694" i="34"/>
  <c r="K689" i="34"/>
  <c r="M689" i="34" s="1"/>
  <c r="K685" i="34"/>
  <c r="M685" i="34" s="1"/>
  <c r="K708" i="34"/>
  <c r="F119" i="32" l="1"/>
  <c r="G119" i="32"/>
  <c r="C23" i="32"/>
  <c r="M715" i="24"/>
  <c r="M715" i="34"/>
  <c r="K715" i="34"/>
</calcChain>
</file>

<file path=xl/sharedStrings.xml><?xml version="1.0" encoding="utf-8"?>
<sst xmlns="http://schemas.openxmlformats.org/spreadsheetml/2006/main" count="4854" uniqueCount="1384">
  <si>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</si>
  <si>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</si>
  <si>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</si>
  <si>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</si>
  <si>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</si>
  <si>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</si>
  <si>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</si>
  <si>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</si>
  <si>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</si>
  <si>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</si>
  <si>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</si>
  <si>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</si>
  <si>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</si>
  <si>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</si>
  <si>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</si>
  <si>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</si>
  <si>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</si>
  <si>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</si>
  <si>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</si>
  <si>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</si>
  <si>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</si>
  <si>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</si>
  <si>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</si>
  <si>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</si>
  <si>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</si>
  <si>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</si>
  <si>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</si>
  <si>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</si>
  <si>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</si>
  <si>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</si>
  <si>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</si>
  <si>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</si>
  <si>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</si>
  <si>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</si>
  <si>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</si>
  <si>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</si>
  <si>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</si>
  <si>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</si>
  <si>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</si>
  <si>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</si>
  <si>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</si>
  <si>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</si>
  <si>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</si>
  <si>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</si>
  <si>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</si>
  <si>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</si>
  <si>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</si>
  <si>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</si>
  <si>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</si>
  <si>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</si>
  <si>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</si>
  <si>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</si>
  <si>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</si>
  <si>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</si>
  <si>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</si>
  <si>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</si>
  <si>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</si>
  <si>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</si>
  <si>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</si>
  <si>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</si>
  <si>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</si>
  <si>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</si>
  <si>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</si>
  <si>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</si>
  <si>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</si>
  <si>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</si>
  <si>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</si>
  <si>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</si>
  <si>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</si>
  <si>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</si>
  <si>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</si>
  <si>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</si>
  <si>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</si>
  <si>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</si>
  <si>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</si>
  <si>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</si>
  <si>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</si>
  <si>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</si>
  <si>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</si>
  <si>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</si>
  <si>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</si>
  <si>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</si>
  <si>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</si>
  <si>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</si>
  <si>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</si>
  <si>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</si>
  <si>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</si>
  <si>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</si>
  <si>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</si>
  <si>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</si>
  <si>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</si>
  <si>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</si>
  <si>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</si>
  <si>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</si>
  <si>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</si>
  <si>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</si>
  <si>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</si>
  <si>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</si>
  <si>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</si>
  <si>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</si>
  <si>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</si>
  <si>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</si>
  <si>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</si>
  <si>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</si>
  <si>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</si>
  <si>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</si>
  <si>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</si>
  <si>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</si>
  <si>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</si>
  <si>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</si>
  <si>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</si>
  <si>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</si>
  <si>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</si>
  <si>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</si>
  <si>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</si>
  <si>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</si>
  <si>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</si>
  <si>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</si>
  <si>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</si>
  <si>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</si>
  <si>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</si>
  <si>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</si>
  <si>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</si>
  <si>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</si>
  <si>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</si>
  <si>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</si>
  <si>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</si>
  <si>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</si>
  <si>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</si>
  <si>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</si>
  <si>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</si>
  <si>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</si>
  <si>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</si>
  <si>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</si>
  <si>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</si>
  <si>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</si>
  <si>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</si>
  <si>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</si>
  <si>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</si>
  <si>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</si>
  <si>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</si>
  <si>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</si>
  <si>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</si>
  <si>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</si>
  <si>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</si>
  <si>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</si>
  <si>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</si>
  <si>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</si>
  <si>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</si>
  <si>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</si>
  <si>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</si>
  <si>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</si>
  <si>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</si>
  <si>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</si>
  <si>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</si>
  <si>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</si>
  <si>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</si>
  <si>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</si>
  <si>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</si>
  <si>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</si>
  <si>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</si>
  <si>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</si>
  <si>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</si>
  <si>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</si>
  <si>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</si>
  <si>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</si>
  <si>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</si>
  <si>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</si>
  <si>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</si>
  <si>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</si>
  <si>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</si>
  <si>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</si>
  <si>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</si>
  <si>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</si>
  <si>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</si>
  <si>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</si>
  <si>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</si>
  <si>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</si>
  <si>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</si>
  <si>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</si>
  <si>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</si>
  <si>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</si>
  <si>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</si>
  <si>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</si>
  <si>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</si>
  <si>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</si>
  <si>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</si>
  <si>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</si>
  <si>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</si>
  <si>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</si>
  <si>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</si>
  <si>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</si>
  <si>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</si>
  <si>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</si>
  <si>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</si>
  <si>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</si>
  <si>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</si>
  <si>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</si>
  <si>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</si>
  <si>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</si>
  <si>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</si>
  <si>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</si>
  <si>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</si>
  <si>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</si>
  <si>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</si>
  <si>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</si>
  <si>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</si>
  <si>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</si>
  <si>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</si>
  <si>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</si>
  <si>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</si>
  <si>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</si>
  <si>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</si>
  <si>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</si>
  <si>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</si>
  <si>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</si>
  <si>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</si>
  <si>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</si>
  <si>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</si>
  <si>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</si>
  <si>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</si>
  <si>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</si>
  <si>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</si>
  <si>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</si>
  <si>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</si>
  <si>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</si>
  <si>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</si>
  <si>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</si>
  <si>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</si>
  <si>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</si>
  <si>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</si>
  <si>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</si>
  <si>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</si>
  <si>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</si>
  <si>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</si>
  <si>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</si>
  <si>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</si>
  <si>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</si>
  <si>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</si>
  <si>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</si>
  <si>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</si>
  <si>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</si>
  <si>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</si>
  <si>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</si>
  <si>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</si>
  <si>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</si>
  <si>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</si>
  <si>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</si>
  <si>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</si>
  <si>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</si>
  <si>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</si>
  <si>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</si>
  <si>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</si>
  <si>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</si>
  <si>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</si>
  <si>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</si>
  <si>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</si>
  <si>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</si>
  <si>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</si>
  <si>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</si>
  <si>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</si>
  <si>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</si>
  <si>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</si>
  <si>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</si>
  <si>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</si>
  <si>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</si>
  <si>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</si>
  <si>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</si>
  <si>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</si>
  <si>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</si>
  <si>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</si>
  <si>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</si>
  <si>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</si>
  <si>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</si>
  <si>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</si>
  <si>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</si>
  <si>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</si>
  <si>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</si>
  <si>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</si>
  <si>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</si>
  <si>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</si>
  <si>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</si>
  <si>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</si>
  <si>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</si>
  <si>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</si>
  <si>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</si>
  <si>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</si>
  <si>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</si>
  <si>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</si>
  <si>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</si>
  <si>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</si>
  <si>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</si>
  <si>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</si>
  <si>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</si>
  <si>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</si>
  <si>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</si>
  <si>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</si>
  <si>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</si>
  <si>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</si>
  <si>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</si>
  <si>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172</t>
  </si>
  <si>
    <t>Hospital Name</t>
  </si>
  <si>
    <t>Public Hospital District #1-A of Whitman County</t>
  </si>
  <si>
    <t>Mailing Address</t>
  </si>
  <si>
    <t>835 SE Bishop Blvd</t>
  </si>
  <si>
    <t>City</t>
  </si>
  <si>
    <t>Pullman</t>
  </si>
  <si>
    <t>State</t>
  </si>
  <si>
    <t>Washington</t>
  </si>
  <si>
    <t>Zip</t>
  </si>
  <si>
    <t>Whitman</t>
  </si>
  <si>
    <t>County</t>
  </si>
  <si>
    <t>99163</t>
  </si>
  <si>
    <t>Chief Executive Officer</t>
  </si>
  <si>
    <t>Chief Financial Officer</t>
  </si>
  <si>
    <t>Chair of Governing Board</t>
  </si>
  <si>
    <t>Telephone Number</t>
  </si>
  <si>
    <t>509-332-2541</t>
  </si>
  <si>
    <t>Facsimile Number</t>
  </si>
  <si>
    <t>509-332-4242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</si>
  <si>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</si>
  <si>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</si>
  <si>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</si>
  <si>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</si>
  <si>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</si>
  <si>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</si>
  <si>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</si>
  <si>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</si>
  <si>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</si>
  <si>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</si>
  <si>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</si>
  <si>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</si>
  <si>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</si>
  <si>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</si>
  <si>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</si>
  <si>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</si>
  <si>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</si>
  <si>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</si>
  <si>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</si>
  <si>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</si>
  <si>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</si>
  <si>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</si>
  <si>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</si>
  <si>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</si>
  <si>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</si>
  <si>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</si>
  <si>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</si>
  <si>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</si>
  <si>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</si>
  <si>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</si>
  <si>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</si>
  <si>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</si>
  <si>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</si>
  <si>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</si>
  <si>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</si>
  <si>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</si>
  <si>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</si>
  <si>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</si>
  <si>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</si>
  <si>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</si>
  <si>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</si>
  <si>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</si>
  <si>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</si>
  <si>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</si>
  <si>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</si>
  <si>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</si>
  <si>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</si>
  <si>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</si>
  <si>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</si>
  <si>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</si>
  <si>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</si>
  <si>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</si>
  <si>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</si>
  <si>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</si>
  <si>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</si>
  <si>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</si>
  <si>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</si>
  <si>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</si>
  <si>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</si>
  <si>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</si>
  <si>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</si>
  <si>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</si>
  <si>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</si>
  <si>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</si>
  <si>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</si>
  <si>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</si>
  <si>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</si>
  <si>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</si>
  <si>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</si>
  <si>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</si>
  <si>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</si>
  <si>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</si>
  <si>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</si>
  <si>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</si>
  <si>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</si>
  <si>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</si>
  <si>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</si>
  <si>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</si>
  <si>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</si>
  <si>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</si>
  <si>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</si>
  <si>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</si>
  <si>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</si>
  <si>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</si>
  <si>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</si>
  <si>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</si>
  <si>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</si>
  <si>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</si>
  <si>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</si>
  <si>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</si>
  <si>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</si>
  <si>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</si>
  <si>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</si>
  <si>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</si>
  <si>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</si>
  <si>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</si>
  <si>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</si>
  <si>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</si>
  <si>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</si>
  <si>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</si>
  <si>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</si>
  <si>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</si>
  <si>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</si>
  <si>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</si>
  <si>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</si>
  <si>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</si>
  <si>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</si>
  <si>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</si>
  <si>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</si>
  <si>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</si>
  <si>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</si>
  <si>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</si>
  <si>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</si>
  <si>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</si>
  <si>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</si>
  <si>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</si>
  <si>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</si>
  <si>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</si>
  <si>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</si>
  <si>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</si>
  <si>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</si>
  <si>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</si>
  <si>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</si>
  <si>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</si>
  <si>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</si>
  <si>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</si>
  <si>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</si>
  <si>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</si>
  <si>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</si>
  <si>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</si>
  <si>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</si>
  <si>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</si>
  <si>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</si>
  <si>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</si>
  <si>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</si>
  <si>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</si>
  <si>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</si>
  <si>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</si>
  <si>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</si>
  <si>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</si>
  <si>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</si>
  <si>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</si>
  <si>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</si>
  <si>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</si>
  <si>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</si>
  <si>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</si>
  <si>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</si>
  <si>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</si>
  <si>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</si>
  <si>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</si>
  <si>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</si>
  <si>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</si>
  <si>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</si>
  <si>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</si>
  <si>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</si>
  <si>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</si>
  <si>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</si>
  <si>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</si>
  <si>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</si>
  <si>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</si>
  <si>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</si>
  <si>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</si>
  <si>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</si>
  <si>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</si>
  <si>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</si>
  <si>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</si>
  <si>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</si>
  <si>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</si>
  <si>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</si>
  <si>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</si>
  <si>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</si>
  <si>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</si>
  <si>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</si>
  <si>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</si>
  <si>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</si>
  <si>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</si>
  <si>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</si>
  <si>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</si>
  <si>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</si>
  <si>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</si>
  <si>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</si>
  <si>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</si>
  <si>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</si>
  <si>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</si>
  <si>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</si>
  <si>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</si>
  <si>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</si>
  <si>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</si>
  <si>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</si>
  <si>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</si>
  <si>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</si>
  <si>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</si>
  <si>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</si>
  <si>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</si>
  <si>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</si>
  <si>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</si>
  <si>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</si>
  <si>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</si>
  <si>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</si>
  <si>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</si>
  <si>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</si>
  <si>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</si>
  <si>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</si>
  <si>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</si>
  <si>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</si>
  <si>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</si>
  <si>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</si>
  <si>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</si>
  <si>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</si>
  <si>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</si>
  <si>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</si>
  <si>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</si>
  <si>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</si>
  <si>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</si>
  <si>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</si>
  <si>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</si>
  <si>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</si>
  <si>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</si>
  <si>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</si>
  <si>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</si>
  <si>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</si>
  <si>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</si>
  <si>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</si>
  <si>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</si>
  <si>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</si>
  <si>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</si>
  <si>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</si>
  <si>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</si>
  <si>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</si>
  <si>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</si>
  <si>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</si>
  <si>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</si>
  <si>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</si>
  <si>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</si>
  <si>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</si>
  <si>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</si>
  <si>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</si>
  <si>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</si>
  <si>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</si>
  <si>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</si>
  <si>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</si>
  <si>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</si>
  <si>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</si>
  <si>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</si>
  <si>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</si>
  <si>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</si>
  <si>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</si>
  <si>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</si>
  <si>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</si>
  <si>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</si>
  <si>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</si>
  <si>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</si>
  <si>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</si>
  <si>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</si>
  <si>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</si>
  <si>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</si>
  <si>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</si>
  <si>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</si>
  <si>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</si>
  <si>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</si>
  <si>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</si>
  <si>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</si>
  <si>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</si>
  <si>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</si>
  <si>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</si>
  <si>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</si>
  <si>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</si>
  <si>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</si>
  <si>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</si>
  <si>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</si>
  <si>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</si>
  <si>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</si>
  <si>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</si>
  <si>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</si>
  <si>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</si>
  <si>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</si>
  <si>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</si>
  <si>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</si>
  <si>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</si>
  <si>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</si>
  <si>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</si>
  <si>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</si>
  <si>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</si>
  <si>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</si>
  <si>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</si>
  <si>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</si>
  <si>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</si>
  <si>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</si>
  <si>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</si>
  <si>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</si>
  <si>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</si>
  <si>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</si>
  <si>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</si>
  <si>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</si>
  <si>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</si>
  <si>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</si>
  <si>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</si>
  <si>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</si>
  <si>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</si>
  <si>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</si>
  <si>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</si>
  <si>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</si>
  <si>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</si>
  <si>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</si>
  <si>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</si>
  <si>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</si>
  <si>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</si>
  <si>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</si>
  <si>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</si>
  <si>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</si>
  <si>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</si>
  <si>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</si>
  <si>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</si>
  <si>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</si>
  <si>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</si>
  <si>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</si>
  <si>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</si>
  <si>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</si>
  <si>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</si>
  <si>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</si>
  <si>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</si>
  <si>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</si>
  <si>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</si>
  <si>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</si>
  <si>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</si>
  <si>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</si>
  <si>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</si>
  <si>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</si>
  <si>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</si>
  <si>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</si>
  <si>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</si>
  <si>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</si>
  <si>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</si>
  <si>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</si>
  <si>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</si>
  <si>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</si>
  <si>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</si>
  <si>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</si>
  <si>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</si>
  <si>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</si>
  <si>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</si>
  <si>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</si>
  <si>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</si>
  <si>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</si>
  <si>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</si>
  <si>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</si>
  <si>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</si>
  <si>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</si>
  <si>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</si>
  <si>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</si>
  <si>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</si>
  <si>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</si>
  <si>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</si>
  <si>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</si>
  <si>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</si>
  <si>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</si>
  <si>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</si>
  <si>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</si>
  <si>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</si>
  <si>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</si>
  <si>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</si>
  <si>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</si>
  <si>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</si>
  <si>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</si>
  <si>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</si>
  <si>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</si>
  <si>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</si>
  <si>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</si>
  <si>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</si>
  <si>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</si>
  <si>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</si>
  <si>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</si>
  <si>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</si>
  <si>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</si>
  <si>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</si>
  <si>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</si>
  <si>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</si>
  <si>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</si>
  <si>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</si>
  <si>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</si>
  <si>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</si>
  <si>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</si>
  <si>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</si>
  <si>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</si>
  <si>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</si>
  <si>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</si>
  <si>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</si>
  <si>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</si>
  <si>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</si>
  <si>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</si>
  <si>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</si>
  <si>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</si>
  <si>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</si>
  <si>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</si>
  <si>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</si>
  <si>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</si>
  <si>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</si>
  <si>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</si>
  <si>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</si>
  <si>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</si>
  <si>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</si>
  <si>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</si>
  <si>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</si>
  <si>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</si>
  <si>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</si>
  <si>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</si>
  <si>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</si>
  <si>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</si>
  <si>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</si>
  <si>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</si>
  <si>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</si>
  <si>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</si>
  <si>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</si>
  <si>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</si>
  <si>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</si>
  <si>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</si>
  <si>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</si>
  <si>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</si>
  <si>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</si>
  <si>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</si>
  <si>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</si>
  <si>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</si>
  <si>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</si>
  <si>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</si>
  <si>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</si>
  <si>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</si>
  <si>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</si>
  <si>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</si>
  <si>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</si>
  <si>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</si>
  <si>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</si>
  <si>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</si>
  <si>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</si>
  <si>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</si>
  <si>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</si>
  <si>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</si>
  <si>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</si>
  <si>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</si>
  <si>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</si>
  <si>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</si>
  <si>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</si>
  <si>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</si>
  <si>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</si>
  <si>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</si>
  <si>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</si>
  <si>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</si>
  <si>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</si>
  <si>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</si>
  <si>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</si>
  <si>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</si>
  <si>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</si>
  <si>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</si>
  <si>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</si>
  <si>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</si>
  <si>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</si>
  <si>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</si>
  <si>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</si>
  <si>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</si>
  <si>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</si>
  <si>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</si>
  <si>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</si>
  <si>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</si>
  <si>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</si>
  <si>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</si>
  <si>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</si>
  <si>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</si>
  <si>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</si>
  <si>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</si>
  <si>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</si>
  <si>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</si>
  <si>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</si>
  <si>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</si>
  <si>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</si>
  <si>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</si>
  <si>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</si>
  <si>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</si>
  <si>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</si>
  <si>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</si>
  <si>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</si>
  <si>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</si>
  <si>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</si>
  <si>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</si>
  <si>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</si>
  <si>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</si>
  <si>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</si>
  <si>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</si>
  <si>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</si>
  <si>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</si>
  <si>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</si>
  <si>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</si>
  <si>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</si>
  <si>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</si>
  <si>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</si>
  <si>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</si>
  <si>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</si>
  <si>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</si>
  <si>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</si>
  <si>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</si>
  <si>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</si>
  <si>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</si>
  <si>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</si>
  <si>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</si>
  <si>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</si>
  <si>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</si>
  <si>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</si>
  <si>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</si>
  <si>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</si>
  <si>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</si>
  <si>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</si>
  <si>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</si>
  <si>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</si>
  <si>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</si>
  <si>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</si>
  <si>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</si>
  <si>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</si>
  <si>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</si>
  <si>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</si>
  <si>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</si>
  <si>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</si>
  <si>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</si>
  <si>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</si>
  <si>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</si>
  <si>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</si>
  <si>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</si>
  <si>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</si>
  <si>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</si>
  <si>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</si>
  <si>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</si>
  <si>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</si>
  <si>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</si>
  <si>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</si>
  <si>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</si>
  <si>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</si>
  <si>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</si>
  <si>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</si>
  <si>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</si>
  <si>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</si>
  <si>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</si>
  <si>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</si>
  <si>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</si>
  <si>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</si>
  <si>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</si>
  <si>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</si>
  <si>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</si>
  <si>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</si>
  <si>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</si>
  <si>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</si>
  <si>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</si>
  <si>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</si>
  <si>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</si>
  <si>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</si>
  <si>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</si>
  <si>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</si>
  <si>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</si>
  <si>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</si>
  <si>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</si>
  <si>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</si>
  <si>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</si>
  <si>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</si>
  <si>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</si>
  <si>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</si>
  <si>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</si>
  <si>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</si>
  <si>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</si>
  <si>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</si>
  <si>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</si>
  <si>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</si>
  <si>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</si>
  <si>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</si>
  <si>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</si>
  <si>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</si>
  <si>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</si>
  <si>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</si>
  <si>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</si>
  <si>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</si>
  <si>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</si>
  <si>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</si>
  <si>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</si>
  <si>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</si>
  <si>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</si>
  <si>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</si>
  <si>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</si>
  <si>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</si>
  <si>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</si>
  <si>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</si>
  <si>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</si>
  <si>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</si>
  <si>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</si>
  <si>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</si>
  <si>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</si>
  <si>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</si>
  <si>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</si>
  <si>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</si>
  <si>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</si>
  <si>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</si>
  <si>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</si>
  <si>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</si>
  <si>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</si>
  <si>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</si>
  <si>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</si>
  <si>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</si>
  <si>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</si>
  <si>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</si>
  <si>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</si>
  <si>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</si>
  <si>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</si>
  <si>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</si>
  <si>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</si>
  <si>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</si>
  <si>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</si>
  <si>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</si>
  <si>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</si>
  <si>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</si>
  <si>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</si>
  <si>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</si>
  <si>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</si>
  <si>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</si>
  <si>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</si>
  <si>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</si>
  <si>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</si>
  <si>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</si>
  <si>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</si>
  <si>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</si>
  <si>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</si>
  <si>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</si>
  <si>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</si>
  <si>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</si>
  <si>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</si>
  <si>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</si>
  <si>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</si>
  <si>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</si>
  <si>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</si>
  <si>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</si>
  <si>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</si>
  <si>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</si>
  <si>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</si>
  <si>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</si>
  <si>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</si>
  <si>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</si>
  <si>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</si>
  <si>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</si>
  <si>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</si>
  <si>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</si>
  <si>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</si>
  <si>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</si>
  <si>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</si>
  <si>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</si>
  <si>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</si>
  <si>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</si>
  <si>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</si>
  <si>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</si>
  <si>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</si>
  <si>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</si>
  <si>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</si>
  <si>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</si>
  <si>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</si>
  <si>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</si>
  <si>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</si>
  <si>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</si>
  <si>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</si>
  <si>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</si>
  <si>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</si>
  <si>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</si>
  <si>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</si>
  <si>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</si>
  <si>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</si>
  <si>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</si>
  <si>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</si>
  <si>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</si>
  <si>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</si>
  <si>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</si>
  <si>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</si>
  <si>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</si>
  <si>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</si>
  <si>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</si>
  <si>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</si>
  <si>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</si>
  <si>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</si>
  <si>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</si>
  <si>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</si>
  <si>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</si>
  <si>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</si>
  <si>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</si>
  <si>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</si>
  <si>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</si>
  <si>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</si>
  <si>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</si>
  <si>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</si>
  <si>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</si>
  <si>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</si>
  <si>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</si>
  <si>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</si>
  <si>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</si>
  <si>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</si>
  <si>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</si>
  <si>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</si>
  <si>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</si>
  <si>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</si>
  <si>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</si>
  <si>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</si>
  <si>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</si>
  <si>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</si>
  <si>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</si>
  <si>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</si>
  <si>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</si>
  <si>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</si>
  <si>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</si>
  <si>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</si>
  <si>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</si>
  <si>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</si>
  <si>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</si>
  <si>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</si>
  <si>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</si>
  <si>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</si>
  <si>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</si>
  <si>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</si>
  <si>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</si>
  <si>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</si>
  <si>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</si>
  <si>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</si>
  <si>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</si>
  <si>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</si>
  <si>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</si>
  <si>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</si>
  <si>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</si>
  <si>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</si>
  <si>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</si>
  <si>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</si>
  <si>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</si>
  <si>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</si>
  <si>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</si>
  <si>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</si>
  <si>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</si>
  <si>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</si>
  <si>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</si>
  <si>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</si>
  <si>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</si>
  <si>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</si>
  <si>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</si>
  <si>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Matt Forge</t>
  </si>
  <si>
    <t>Steve Febus</t>
  </si>
  <si>
    <t>Jeff Elbracht</t>
  </si>
  <si>
    <t>Shauna Patrick</t>
  </si>
  <si>
    <t>shauna.patrick@pullmanregional.org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</si>
  <si>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</si>
  <si>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</si>
  <si>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</si>
  <si>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</si>
  <si>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</si>
  <si>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</si>
  <si>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</si>
  <si>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</si>
  <si>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</si>
  <si>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</si>
  <si>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</si>
  <si>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</si>
  <si>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</si>
  <si>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</si>
  <si>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</si>
  <si>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</si>
  <si>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</si>
  <si>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</si>
  <si>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</si>
  <si>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</si>
  <si>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</si>
  <si>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</si>
  <si>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</si>
  <si>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</si>
  <si>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</si>
  <si>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</si>
  <si>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</si>
  <si>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</si>
  <si>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</si>
  <si>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</si>
  <si>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</si>
  <si>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</si>
  <si>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</si>
  <si>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</si>
  <si>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</si>
  <si>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</si>
  <si>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</si>
  <si>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</si>
  <si>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</si>
  <si>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</si>
  <si>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</si>
  <si>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</si>
  <si>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</si>
  <si>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</si>
  <si>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</si>
  <si>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</si>
  <si>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</si>
  <si>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</si>
  <si>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</si>
  <si>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</si>
  <si>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</si>
  <si>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</si>
  <si>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</si>
  <si>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</si>
  <si>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</si>
  <si>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</si>
  <si>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</si>
  <si>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</si>
  <si>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</si>
  <si>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</si>
  <si>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</si>
  <si>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</si>
  <si>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</si>
  <si>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</si>
  <si>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</si>
  <si>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</si>
  <si>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</si>
  <si>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</si>
  <si>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</si>
  <si>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</si>
  <si>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</si>
  <si>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</si>
  <si>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</si>
  <si>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</si>
  <si>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</si>
  <si>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</si>
  <si>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</si>
  <si>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</si>
  <si>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</si>
  <si>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</si>
  <si>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</si>
  <si>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</si>
  <si>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</si>
  <si>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</si>
  <si>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</si>
  <si>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</si>
  <si>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</si>
  <si>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</si>
  <si>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</si>
  <si>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</si>
  <si>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</si>
  <si>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</si>
  <si>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</si>
  <si>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</si>
  <si>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</si>
  <si>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</si>
  <si>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</si>
  <si>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</si>
  <si>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</si>
  <si>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</si>
  <si>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</si>
  <si>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</si>
  <si>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</si>
  <si>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</si>
  <si>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</si>
  <si>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</si>
  <si>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</si>
  <si>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</si>
  <si>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</si>
  <si>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</si>
  <si>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</si>
  <si>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</si>
  <si>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</si>
  <si>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</si>
  <si>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</si>
  <si>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</si>
  <si>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</si>
  <si>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</si>
  <si>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</si>
  <si>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</si>
  <si>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</si>
  <si>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</si>
  <si>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</si>
  <si>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</si>
  <si>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</si>
  <si>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</si>
  <si>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</si>
  <si>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</si>
  <si>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</si>
  <si>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</si>
  <si>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</si>
  <si>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</si>
  <si>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</si>
  <si>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</si>
  <si>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</si>
  <si>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</si>
  <si>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</si>
  <si>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</si>
  <si>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</si>
  <si>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</si>
  <si>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</si>
  <si>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</si>
  <si>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</si>
  <si>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</si>
  <si>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</si>
  <si>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</si>
  <si>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</si>
  <si>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</si>
  <si>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</si>
  <si>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</si>
  <si>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</si>
  <si>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</si>
  <si>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</si>
  <si>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</si>
  <si>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</si>
  <si>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</si>
  <si>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</si>
  <si>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</si>
  <si>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</si>
  <si>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</si>
  <si>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</si>
  <si>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</si>
  <si>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</si>
  <si>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</si>
  <si>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</si>
  <si>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</si>
  <si>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</si>
  <si>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</si>
  <si>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</si>
  <si>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</si>
  <si>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</si>
  <si>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</si>
  <si>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</si>
  <si>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</si>
  <si>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</si>
  <si>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</si>
  <si>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</si>
  <si>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</si>
  <si>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</si>
  <si>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</si>
  <si>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</si>
  <si>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</si>
  <si>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</si>
  <si>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</si>
  <si>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</si>
  <si>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</si>
  <si>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</si>
  <si>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</si>
  <si>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</si>
  <si>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</si>
  <si>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</si>
  <si>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</si>
  <si>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</si>
  <si>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</si>
  <si>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</si>
  <si>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</si>
  <si>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</si>
  <si>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</si>
  <si>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</si>
  <si>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</si>
  <si>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</si>
  <si>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</si>
  <si>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</si>
  <si>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</si>
  <si>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</si>
  <si>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</si>
  <si>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</si>
  <si>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</si>
  <si>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</si>
  <si>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</si>
  <si>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</si>
  <si>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</si>
  <si>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</si>
  <si>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</si>
  <si>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</si>
  <si>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</si>
  <si>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</si>
  <si>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</si>
  <si>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</si>
  <si>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</si>
  <si>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</si>
  <si>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</si>
  <si>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</si>
  <si>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</si>
  <si>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</si>
  <si>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</si>
  <si>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</si>
  <si>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</si>
  <si>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</si>
  <si>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</si>
  <si>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</si>
  <si>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</si>
  <si>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</si>
  <si>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</si>
  <si>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</si>
  <si>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</si>
  <si>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</si>
  <si>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</si>
  <si>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</si>
  <si>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</si>
  <si>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</si>
  <si>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</si>
  <si>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</si>
  <si>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</si>
  <si>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</si>
  <si>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</si>
  <si>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</si>
  <si>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</si>
  <si>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</si>
  <si>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</si>
  <si>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</si>
  <si>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</si>
  <si>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</si>
  <si>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</si>
  <si>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</si>
  <si>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</si>
  <si>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</si>
  <si>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</si>
  <si>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</si>
  <si>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</si>
  <si>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</si>
  <si>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</si>
  <si>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</si>
  <si>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</si>
  <si>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</si>
  <si>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</si>
  <si>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</si>
  <si>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</si>
  <si>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</si>
  <si>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</si>
  <si>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</si>
  <si>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</si>
  <si>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</si>
  <si>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</si>
  <si>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</si>
  <si>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</si>
  <si>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</si>
  <si>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</si>
  <si>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</si>
  <si>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</si>
  <si>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</si>
  <si>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</si>
  <si>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</si>
  <si>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</si>
  <si>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</si>
  <si>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</si>
  <si>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</si>
  <si>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</si>
  <si>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</si>
  <si>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</si>
  <si>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</si>
  <si>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</si>
  <si>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</si>
  <si>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</si>
  <si>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</si>
  <si>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</si>
  <si>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</si>
  <si>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</si>
  <si>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</si>
  <si>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</si>
  <si>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</si>
  <si>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</si>
  <si>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</si>
  <si>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</si>
  <si>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</si>
  <si>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Tricia Grantham</t>
  </si>
  <si>
    <t>Matt Forge, CEO</t>
  </si>
  <si>
    <t>Steven D. Febus</t>
  </si>
  <si>
    <t>Safety Net DSH Assessment Fees</t>
  </si>
  <si>
    <t>Merchant Fees</t>
  </si>
  <si>
    <t>Postage &amp; Freight</t>
  </si>
  <si>
    <t>Recognition/Sponsorships</t>
  </si>
  <si>
    <t>Banking Fees</t>
  </si>
  <si>
    <t>Contract Revenue with WSU-Sports Medicine</t>
  </si>
  <si>
    <t>Interest Income-Whitman County Treasurer</t>
  </si>
  <si>
    <t>Increased in Cafeteria visits in  2024. Also, DOH formulas are wrong on Prior Year and due to Sheet being protected, I was not able to correct.  The 2023 Benefits did not calculate and total Operating Expenses formula is  wrong on prior year sheet</t>
  </si>
  <si>
    <t>We started doing Prostate PET scans, which carry a contrast media cost of over 5k per patient. We do about 3 per week. This is the big change in cost. </t>
  </si>
  <si>
    <t>Higher Supply Costs</t>
  </si>
  <si>
    <t>**Grants</t>
  </si>
  <si>
    <t>Auditors required us to record possible ERC Receivable in 2022, and then write it off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</si>
</sst>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#,##0.0000000_);\(#,##0.0000000\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ptos"/>
      <family val="2"/>
    </font>
    <font>
      <sz val="8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50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1" borderId="34" xfId="0" quotePrefix="1" applyFont="1" applyFill="1" applyBorder="1" applyAlignment="1">
      <alignment horizontal="left"/>
    </xf>
    <xf numFmtId="37" fontId="2" fillId="31" borderId="35" xfId="0" applyFont="1" applyFill="1" applyBorder="1"/>
    <xf numFmtId="38" fontId="2" fillId="31" borderId="35" xfId="0" applyNumberFormat="1" applyFont="1" applyFill="1" applyBorder="1"/>
    <xf numFmtId="37" fontId="2" fillId="31" borderId="36" xfId="0" applyFont="1" applyFill="1" applyBorder="1"/>
    <xf numFmtId="37" fontId="2" fillId="31" borderId="37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8" xfId="0" applyFont="1" applyFill="1" applyBorder="1"/>
    <xf numFmtId="37" fontId="2" fillId="31" borderId="37" xfId="0" quotePrefix="1" applyFont="1" applyFill="1" applyBorder="1"/>
    <xf numFmtId="37" fontId="2" fillId="31" borderId="37" xfId="0" applyFont="1" applyFill="1" applyBorder="1" applyAlignment="1">
      <alignment vertical="center" readingOrder="1"/>
    </xf>
    <xf numFmtId="37" fontId="2" fillId="31" borderId="39" xfId="0" quotePrefix="1" applyFont="1" applyFill="1" applyBorder="1"/>
    <xf numFmtId="37" fontId="2" fillId="31" borderId="40" xfId="0" applyFont="1" applyFill="1" applyBorder="1"/>
    <xf numFmtId="38" fontId="2" fillId="31" borderId="40" xfId="0" applyNumberFormat="1" applyFont="1" applyFill="1" applyBorder="1"/>
    <xf numFmtId="37" fontId="2" fillId="31" borderId="41" xfId="0" applyFont="1" applyFill="1" applyBorder="1"/>
    <xf numFmtId="37" fontId="16" fillId="31" borderId="0" xfId="0" applyFont="1" applyFill="1"/>
    <xf numFmtId="37" fontId="18" fillId="31" borderId="1" xfId="546" quotePrefix="1" applyNumberFormat="1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applyNumberFormat="1" applyFont="1" applyFill="1" applyBorder="1" applyProtection="1">
      <protection locked="0"/>
    </xf>
    <xf numFmtId="2" fontId="18" fillId="31" borderId="1" xfId="546" quotePrefix="1" applyNumberFormat="1" applyFont="1" applyFill="1" applyBorder="1" applyProtection="1">
      <protection locked="0"/>
    </xf>
    <xf numFmtId="2" fontId="18" fillId="31" borderId="1" xfId="546" applyNumberFormat="1" applyFont="1" applyFill="1" applyBorder="1" applyProtection="1">
      <protection locked="0"/>
    </xf>
    <xf numFmtId="2" fontId="16" fillId="31" borderId="0" xfId="0" applyNumberFormat="1" applyFont="1" applyFill="1"/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18" fillId="0" borderId="1" xfId="0" quotePrefix="1" applyFont="1" applyBorder="1" applyProtection="1">
      <protection locked="0"/>
    </xf>
    <xf numFmtId="0" fontId="11" fillId="31" borderId="0" xfId="630" applyNumberFormat="1" applyFont="1" applyFill="1" applyAlignment="1" applyProtection="1">
      <alignment vertical="top"/>
      <protection locked="0"/>
    </xf>
    <xf numFmtId="38" fontId="18" fillId="4" borderId="1" xfId="0" applyNumberFormat="1" applyFont="1" applyFill="1" applyBorder="1" applyProtection="1">
      <protection locked="0"/>
    </xf>
    <xf numFmtId="9" fontId="10" fillId="0" borderId="0" xfId="939"/>
    <xf numFmtId="170" fontId="16" fillId="0" borderId="0" xfId="0" applyNumberFormat="1" applyFont="1"/>
    <xf numFmtId="2" fontId="16" fillId="0" borderId="0" xfId="0" applyNumberFormat="1" applyFont="1" applyProtection="1">
      <protection locked="0"/>
    </xf>
    <xf numFmtId="37" fontId="53" fillId="0" borderId="0" xfId="0" applyFont="1" applyAlignment="1">
      <alignment vertical="center"/>
    </xf>
    <xf numFmtId="49" fontId="10" fillId="0" borderId="0" xfId="547" applyNumberFormat="1"/>
    <xf numFmtId="37" fontId="54" fillId="0" borderId="0" xfId="0" applyFont="1" applyAlignment="1">
      <alignment wrapText="1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shauna.patrick@pullmanregional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8" zoomScaleNormal="98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15536688</v>
      </c>
      <c r="C48" s="25">
        <f t="shared" ref="C48:AH48" si="0">IF($B$48,(ROUND((($B$48/$CE$61)*C61),0)))</f>
        <v>424822</v>
      </c>
      <c r="D48" s="25">
        <f t="shared" si="0"/>
        <v>0</v>
      </c>
      <c r="E48" s="25">
        <f t="shared" si="0"/>
        <v>988512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650576</v>
      </c>
      <c r="P48" s="25">
        <f t="shared" si="0"/>
        <v>1541342</v>
      </c>
      <c r="Q48" s="25">
        <f t="shared" si="0"/>
        <v>0</v>
      </c>
      <c r="R48" s="25">
        <f t="shared" si="0"/>
        <v>0</v>
      </c>
      <c r="S48" s="25">
        <f t="shared" si="0"/>
        <v>65760</v>
      </c>
      <c r="T48" s="25">
        <f t="shared" si="0"/>
        <v>0</v>
      </c>
      <c r="U48" s="25">
        <f t="shared" si="0"/>
        <v>386011</v>
      </c>
      <c r="V48" s="25">
        <f t="shared" si="0"/>
        <v>0</v>
      </c>
      <c r="W48" s="25">
        <f t="shared" si="0"/>
        <v>185541</v>
      </c>
      <c r="X48" s="25">
        <f t="shared" si="0"/>
        <v>190704</v>
      </c>
      <c r="Y48" s="25">
        <f t="shared" si="0"/>
        <v>390817</v>
      </c>
      <c r="Z48" s="25">
        <f t="shared" si="0"/>
        <v>0</v>
      </c>
      <c r="AA48" s="25">
        <f t="shared" si="0"/>
        <v>73446</v>
      </c>
      <c r="AB48" s="25">
        <f t="shared" si="0"/>
        <v>241393</v>
      </c>
      <c r="AC48" s="25">
        <f t="shared" si="0"/>
        <v>236051</v>
      </c>
      <c r="AD48" s="25">
        <f t="shared" si="0"/>
        <v>0</v>
      </c>
      <c r="AE48" s="25">
        <f t="shared" si="0"/>
        <v>1140602</v>
      </c>
      <c r="AF48" s="25">
        <f t="shared" si="0"/>
        <v>0</v>
      </c>
      <c r="AG48" s="25">
        <f t="shared" si="0"/>
        <v>1846902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24800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3479624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49591</v>
      </c>
      <c r="AW48" s="25">
        <f t="shared" si="1"/>
        <v>0</v>
      </c>
      <c r="AX48" s="25">
        <f t="shared" si="1"/>
        <v>0</v>
      </c>
      <c r="AY48" s="25">
        <f t="shared" si="1"/>
        <v>87710</v>
      </c>
      <c r="AZ48" s="25">
        <f t="shared" si="1"/>
        <v>227569</v>
      </c>
      <c r="BA48" s="25">
        <f t="shared" si="1"/>
        <v>13556</v>
      </c>
      <c r="BB48" s="25">
        <f t="shared" si="1"/>
        <v>145279</v>
      </c>
      <c r="BC48" s="25">
        <f t="shared" si="1"/>
        <v>0</v>
      </c>
      <c r="BD48" s="25">
        <f t="shared" si="1"/>
        <v>88311</v>
      </c>
      <c r="BE48" s="25">
        <f t="shared" si="1"/>
        <v>200127</v>
      </c>
      <c r="BF48" s="25">
        <f t="shared" si="1"/>
        <v>188369</v>
      </c>
      <c r="BG48" s="25">
        <f t="shared" si="1"/>
        <v>0</v>
      </c>
      <c r="BH48" s="25">
        <f t="shared" si="1"/>
        <v>223426</v>
      </c>
      <c r="BI48" s="25">
        <f t="shared" si="1"/>
        <v>68376</v>
      </c>
      <c r="BJ48" s="25">
        <f t="shared" si="1"/>
        <v>118881</v>
      </c>
      <c r="BK48" s="25">
        <f t="shared" si="1"/>
        <v>431614</v>
      </c>
      <c r="BL48" s="25">
        <f t="shared" si="1"/>
        <v>246353</v>
      </c>
      <c r="BM48" s="25">
        <f t="shared" si="1"/>
        <v>109952</v>
      </c>
      <c r="BN48" s="25">
        <f t="shared" si="1"/>
        <v>390187</v>
      </c>
      <c r="BO48" s="25">
        <f t="shared" ref="BO48:CD48" si="2">IF($B$48,(ROUND((($B$48/$CE$61)*BO61),0)))</f>
        <v>57829</v>
      </c>
      <c r="BP48" s="25">
        <f t="shared" si="2"/>
        <v>100047</v>
      </c>
      <c r="BQ48" s="25">
        <f t="shared" si="2"/>
        <v>0</v>
      </c>
      <c r="BR48" s="25">
        <f t="shared" si="2"/>
        <v>198484</v>
      </c>
      <c r="BS48" s="25">
        <f t="shared" si="2"/>
        <v>31996</v>
      </c>
      <c r="BT48" s="25">
        <f t="shared" si="2"/>
        <v>0</v>
      </c>
      <c r="BU48" s="25">
        <f t="shared" si="2"/>
        <v>0</v>
      </c>
      <c r="BV48" s="25">
        <f t="shared" si="2"/>
        <v>85746</v>
      </c>
      <c r="BW48" s="25">
        <f t="shared" si="2"/>
        <v>102473</v>
      </c>
      <c r="BX48" s="25">
        <f t="shared" si="2"/>
        <v>74657</v>
      </c>
      <c r="BY48" s="25">
        <f t="shared" si="2"/>
        <v>277982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151270</v>
      </c>
      <c r="CD48" s="25">
        <f t="shared" si="2"/>
        <v>0</v>
      </c>
      <c r="CE48" s="25">
        <f>SUM(C48:CD48)</f>
        <v>15536688</v>
      </c>
    </row>
    <row r="49" spans="1:83" x14ac:dyDescent="0.25">
      <c r="A49" s="16" t="s">
        <v>232</v>
      </c>
      <c r="B49" s="25">
        <f>B47+B48</f>
        <v>15536688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4830730</v>
      </c>
      <c r="C52" s="25">
        <f t="shared" ref="C52:AH52" si="3">IF($B$52,ROUND(($B$52/($CE$90+$CF$90)*C90),0))</f>
        <v>155166</v>
      </c>
      <c r="D52" s="25">
        <f t="shared" si="3"/>
        <v>0</v>
      </c>
      <c r="E52" s="25">
        <f t="shared" si="3"/>
        <v>260076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310598</v>
      </c>
      <c r="P52" s="25">
        <f t="shared" si="3"/>
        <v>599819</v>
      </c>
      <c r="Q52" s="25">
        <f t="shared" si="3"/>
        <v>0</v>
      </c>
      <c r="R52" s="25">
        <f t="shared" si="3"/>
        <v>0</v>
      </c>
      <c r="S52" s="25">
        <f t="shared" si="3"/>
        <v>51697</v>
      </c>
      <c r="T52" s="25">
        <f t="shared" si="3"/>
        <v>0</v>
      </c>
      <c r="U52" s="25">
        <f t="shared" si="3"/>
        <v>77810</v>
      </c>
      <c r="V52" s="25">
        <f t="shared" si="3"/>
        <v>14781</v>
      </c>
      <c r="W52" s="25">
        <f t="shared" si="3"/>
        <v>24029</v>
      </c>
      <c r="X52" s="25">
        <f t="shared" si="3"/>
        <v>19784</v>
      </c>
      <c r="Y52" s="25">
        <f t="shared" si="3"/>
        <v>187003</v>
      </c>
      <c r="Z52" s="25">
        <f t="shared" si="3"/>
        <v>0</v>
      </c>
      <c r="AA52" s="25">
        <f t="shared" si="3"/>
        <v>13038</v>
      </c>
      <c r="AB52" s="25">
        <f t="shared" si="3"/>
        <v>37143</v>
      </c>
      <c r="AC52" s="25">
        <f t="shared" si="3"/>
        <v>49309</v>
      </c>
      <c r="AD52" s="25">
        <f t="shared" si="3"/>
        <v>0</v>
      </c>
      <c r="AE52" s="25">
        <f t="shared" si="3"/>
        <v>530915</v>
      </c>
      <c r="AF52" s="25">
        <f t="shared" si="3"/>
        <v>0</v>
      </c>
      <c r="AG52" s="25">
        <f t="shared" si="3"/>
        <v>226685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708784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18041</v>
      </c>
      <c r="AW52" s="25">
        <f t="shared" si="4"/>
        <v>0</v>
      </c>
      <c r="AX52" s="25">
        <f t="shared" si="4"/>
        <v>0</v>
      </c>
      <c r="AY52" s="25">
        <f t="shared" si="4"/>
        <v>7997</v>
      </c>
      <c r="AZ52" s="25">
        <f t="shared" si="4"/>
        <v>164679</v>
      </c>
      <c r="BA52" s="25">
        <f t="shared" si="4"/>
        <v>48892</v>
      </c>
      <c r="BB52" s="25">
        <f t="shared" si="4"/>
        <v>10309</v>
      </c>
      <c r="BC52" s="25">
        <f t="shared" si="4"/>
        <v>0</v>
      </c>
      <c r="BD52" s="25">
        <f t="shared" si="4"/>
        <v>108131</v>
      </c>
      <c r="BE52" s="25">
        <f t="shared" si="4"/>
        <v>413044</v>
      </c>
      <c r="BF52" s="25">
        <f t="shared" si="4"/>
        <v>168507</v>
      </c>
      <c r="BG52" s="25">
        <f t="shared" si="4"/>
        <v>0</v>
      </c>
      <c r="BH52" s="25">
        <f t="shared" si="4"/>
        <v>49650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39114</v>
      </c>
      <c r="BM52" s="25">
        <f t="shared" si="4"/>
        <v>0</v>
      </c>
      <c r="BN52" s="25">
        <f t="shared" si="4"/>
        <v>69700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18837</v>
      </c>
      <c r="BT52" s="25">
        <f t="shared" si="5"/>
        <v>0</v>
      </c>
      <c r="BU52" s="25">
        <f t="shared" si="5"/>
        <v>0</v>
      </c>
      <c r="BV52" s="25">
        <f t="shared" si="5"/>
        <v>0</v>
      </c>
      <c r="BW52" s="25">
        <f t="shared" si="5"/>
        <v>8907</v>
      </c>
      <c r="BX52" s="25">
        <f t="shared" si="5"/>
        <v>5685</v>
      </c>
      <c r="BY52" s="25">
        <f t="shared" si="5"/>
        <v>5117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427484</v>
      </c>
      <c r="CD52" s="25">
        <f t="shared" si="5"/>
        <v>0</v>
      </c>
      <c r="CE52" s="25">
        <f>SUM(C52:CD52)</f>
        <v>4830731</v>
      </c>
    </row>
    <row r="53" spans="1:83" x14ac:dyDescent="0.25">
      <c r="A53" s="16" t="s">
        <v>232</v>
      </c>
      <c r="B53" s="25">
        <f>B51+B52</f>
        <v>4830730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7">
        <v>632</v>
      </c>
      <c r="D59" s="273"/>
      <c r="E59" s="273">
        <f>1381+887</f>
        <v>2268</v>
      </c>
      <c r="F59" s="273"/>
      <c r="G59" s="273"/>
      <c r="H59" s="273"/>
      <c r="I59" s="273"/>
      <c r="J59" s="273">
        <v>735</v>
      </c>
      <c r="K59" s="273"/>
      <c r="L59" s="273"/>
      <c r="M59" s="273"/>
      <c r="N59" s="273"/>
      <c r="O59" s="273">
        <v>383</v>
      </c>
      <c r="P59" s="274">
        <v>249820</v>
      </c>
      <c r="Q59" s="275">
        <v>112876</v>
      </c>
      <c r="R59" s="275"/>
      <c r="S59" s="263">
        <v>0</v>
      </c>
      <c r="T59" s="263">
        <v>0</v>
      </c>
      <c r="U59" s="276">
        <v>181071</v>
      </c>
      <c r="V59" s="275"/>
      <c r="W59" s="275">
        <v>4292</v>
      </c>
      <c r="X59" s="275">
        <v>6783</v>
      </c>
      <c r="Y59" s="275">
        <f>17351+7007+3259</f>
        <v>27617</v>
      </c>
      <c r="Z59" s="275"/>
      <c r="AA59" s="275">
        <v>888</v>
      </c>
      <c r="AB59" s="263">
        <v>0</v>
      </c>
      <c r="AC59" s="275">
        <f>4984+233+1058</f>
        <v>6275</v>
      </c>
      <c r="AD59" s="275"/>
      <c r="AE59" s="275">
        <f>42880-443</f>
        <v>42437</v>
      </c>
      <c r="AF59" s="275"/>
      <c r="AG59" s="275">
        <v>14484</v>
      </c>
      <c r="AH59" s="275"/>
      <c r="AI59" s="275"/>
      <c r="AJ59" s="275">
        <v>443</v>
      </c>
      <c r="AK59" s="275"/>
      <c r="AL59" s="275"/>
      <c r="AM59" s="275"/>
      <c r="AN59" s="275"/>
      <c r="AO59" s="275"/>
      <c r="AP59" s="275">
        <v>67082</v>
      </c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20388</v>
      </c>
      <c r="AZ59" s="275">
        <f>100402+15546</f>
        <v>115948</v>
      </c>
      <c r="BA59" s="263">
        <v>0</v>
      </c>
      <c r="BB59" s="263">
        <v>0</v>
      </c>
      <c r="BC59" s="263">
        <v>0</v>
      </c>
      <c r="BD59" s="263">
        <v>0</v>
      </c>
      <c r="BE59" s="275">
        <v>127457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343">
        <v>14.3</v>
      </c>
      <c r="D60" s="277"/>
      <c r="E60" s="277">
        <f>5.43+20.13+0.04</f>
        <v>25.599999999999998</v>
      </c>
      <c r="F60" s="277"/>
      <c r="G60" s="277"/>
      <c r="H60" s="277"/>
      <c r="I60" s="277"/>
      <c r="J60" s="277"/>
      <c r="K60" s="277"/>
      <c r="L60" s="277"/>
      <c r="M60" s="277"/>
      <c r="N60" s="277"/>
      <c r="O60" s="277">
        <v>21.8</v>
      </c>
      <c r="P60" s="274">
        <f>26.59+27.86+2.3</f>
        <v>56.75</v>
      </c>
      <c r="Q60" s="274"/>
      <c r="R60" s="274"/>
      <c r="S60" s="278">
        <v>2.98</v>
      </c>
      <c r="T60" s="278"/>
      <c r="U60" s="279">
        <f>18.62</f>
        <v>18.62</v>
      </c>
      <c r="V60" s="274"/>
      <c r="W60" s="274">
        <v>6.04</v>
      </c>
      <c r="X60" s="274">
        <v>7.03</v>
      </c>
      <c r="Y60" s="274">
        <f>9.8+3.94+2.44</f>
        <v>16.18</v>
      </c>
      <c r="Z60" s="274"/>
      <c r="AA60" s="274">
        <v>2.0299999999999998</v>
      </c>
      <c r="AB60" s="278">
        <v>6.32</v>
      </c>
      <c r="AC60" s="274">
        <f>6.25+1.05+1.03</f>
        <v>8.33</v>
      </c>
      <c r="AD60" s="274"/>
      <c r="AE60" s="274">
        <f>34.42+3.74+3.81+1.96+1</f>
        <v>44.930000000000007</v>
      </c>
      <c r="AF60" s="274"/>
      <c r="AG60" s="274">
        <f>26.17+0.52+9.45</f>
        <v>36.14</v>
      </c>
      <c r="AH60" s="274"/>
      <c r="AI60" s="274"/>
      <c r="AJ60" s="274">
        <v>0.8</v>
      </c>
      <c r="AK60" s="274"/>
      <c r="AL60" s="274"/>
      <c r="AM60" s="274"/>
      <c r="AN60" s="274"/>
      <c r="AO60" s="274"/>
      <c r="AP60" s="274">
        <f>15.21+1.2+1.15+14.29+2.77+4.7+4.18+23.58+1.65+13.07+2.55+2.98+6.84</f>
        <v>94.170000000000016</v>
      </c>
      <c r="AQ60" s="274"/>
      <c r="AR60" s="274"/>
      <c r="AS60" s="274"/>
      <c r="AT60" s="274"/>
      <c r="AU60" s="274"/>
      <c r="AV60" s="278">
        <v>1.68</v>
      </c>
      <c r="AW60" s="278"/>
      <c r="AX60" s="278"/>
      <c r="AY60" s="274">
        <v>3.93</v>
      </c>
      <c r="AZ60" s="274">
        <v>16.510000000000002</v>
      </c>
      <c r="BA60" s="278">
        <v>1</v>
      </c>
      <c r="BB60" s="278">
        <v>5.23</v>
      </c>
      <c r="BC60" s="278"/>
      <c r="BD60" s="278">
        <v>3.74</v>
      </c>
      <c r="BE60" s="274">
        <v>8.7899999999999991</v>
      </c>
      <c r="BF60" s="278">
        <v>13.67</v>
      </c>
      <c r="BG60" s="278"/>
      <c r="BH60" s="278">
        <f>5.17+2.27</f>
        <v>7.4399999999999995</v>
      </c>
      <c r="BI60" s="278">
        <v>2</v>
      </c>
      <c r="BJ60" s="278">
        <v>4.68</v>
      </c>
      <c r="BK60" s="278">
        <f>16.3+0.03+4.02</f>
        <v>20.350000000000001</v>
      </c>
      <c r="BL60" s="278">
        <v>16.97</v>
      </c>
      <c r="BM60" s="278">
        <v>2</v>
      </c>
      <c r="BN60" s="278">
        <f>2.94+11.06</f>
        <v>14</v>
      </c>
      <c r="BO60" s="278">
        <f>1+1</f>
        <v>2</v>
      </c>
      <c r="BP60" s="278">
        <v>4.01</v>
      </c>
      <c r="BQ60" s="278"/>
      <c r="BR60" s="278">
        <v>6.63</v>
      </c>
      <c r="BS60" s="278">
        <v>1.57</v>
      </c>
      <c r="BT60" s="278"/>
      <c r="BU60" s="278"/>
      <c r="BV60" s="278">
        <v>3.99</v>
      </c>
      <c r="BW60" s="278">
        <f>1.01+0.36</f>
        <v>1.37</v>
      </c>
      <c r="BX60" s="278">
        <v>2.81</v>
      </c>
      <c r="BY60" s="278">
        <f>2.08+4</f>
        <v>6.08</v>
      </c>
      <c r="BZ60" s="278"/>
      <c r="CA60" s="278"/>
      <c r="CB60" s="278"/>
      <c r="CC60" s="278">
        <v>4.8899999999999997</v>
      </c>
      <c r="CD60" s="209" t="s">
        <v>247</v>
      </c>
      <c r="CE60" s="227">
        <f t="shared" ref="CE60:CE68" si="6">SUM(C60:CD60)</f>
        <v>517.36000000000013</v>
      </c>
    </row>
    <row r="61" spans="1:83" x14ac:dyDescent="0.25">
      <c r="A61" s="31" t="s">
        <v>262</v>
      </c>
      <c r="B61" s="16"/>
      <c r="C61" s="273">
        <f>1531186</f>
        <v>1531186</v>
      </c>
      <c r="D61" s="273"/>
      <c r="E61" s="273">
        <f>1726569+1836326</f>
        <v>3562895</v>
      </c>
      <c r="F61" s="273"/>
      <c r="G61" s="273"/>
      <c r="H61" s="273"/>
      <c r="I61" s="273"/>
      <c r="J61" s="273"/>
      <c r="K61" s="273"/>
      <c r="L61" s="273"/>
      <c r="M61" s="273"/>
      <c r="N61" s="273"/>
      <c r="O61" s="273">
        <f>2344871</f>
        <v>2344871</v>
      </c>
      <c r="P61" s="275">
        <f>2921743+2633709+5</f>
        <v>5555457</v>
      </c>
      <c r="Q61" s="275"/>
      <c r="R61" s="275"/>
      <c r="S61" s="280">
        <v>237020</v>
      </c>
      <c r="T61" s="280"/>
      <c r="U61" s="276">
        <f>1391300</f>
        <v>1391300</v>
      </c>
      <c r="V61" s="275"/>
      <c r="W61" s="275">
        <v>668747</v>
      </c>
      <c r="X61" s="275">
        <v>687355</v>
      </c>
      <c r="Y61" s="275">
        <f>707794+247615+453211</f>
        <v>1408620</v>
      </c>
      <c r="Z61" s="275"/>
      <c r="AA61" s="275">
        <v>264722</v>
      </c>
      <c r="AB61" s="281">
        <v>870054</v>
      </c>
      <c r="AC61" s="275">
        <f>669147+116509+65141</f>
        <v>850797</v>
      </c>
      <c r="AD61" s="275"/>
      <c r="AE61" s="275">
        <f>309239+3226941+127976+299487+147427</f>
        <v>4111070</v>
      </c>
      <c r="AF61" s="275"/>
      <c r="AG61" s="275">
        <f>74464+2903979+3678346</f>
        <v>6656789</v>
      </c>
      <c r="AH61" s="275"/>
      <c r="AI61" s="275"/>
      <c r="AJ61" s="275">
        <v>89386</v>
      </c>
      <c r="AK61" s="275"/>
      <c r="AL61" s="275"/>
      <c r="AM61" s="275"/>
      <c r="AN61" s="275"/>
      <c r="AO61" s="275"/>
      <c r="AP61" s="275">
        <f>606271+99655+1220285+413357+1954260+2709931+75357+530643+123+114532+371849+2913120+423489+258534+850203</f>
        <v>12541609</v>
      </c>
      <c r="AQ61" s="275"/>
      <c r="AR61" s="275"/>
      <c r="AS61" s="275"/>
      <c r="AT61" s="275"/>
      <c r="AU61" s="275"/>
      <c r="AV61" s="280">
        <v>178740</v>
      </c>
      <c r="AW61" s="280"/>
      <c r="AX61" s="280"/>
      <c r="AY61" s="275">
        <v>316134</v>
      </c>
      <c r="AZ61" s="275">
        <v>820226</v>
      </c>
      <c r="BA61" s="280">
        <v>48859</v>
      </c>
      <c r="BB61" s="280">
        <v>523629</v>
      </c>
      <c r="BC61" s="280"/>
      <c r="BD61" s="280">
        <v>318301</v>
      </c>
      <c r="BE61" s="275">
        <v>721316</v>
      </c>
      <c r="BF61" s="280">
        <v>678938</v>
      </c>
      <c r="BG61" s="280"/>
      <c r="BH61" s="280">
        <f>515185+290108</f>
        <v>805293</v>
      </c>
      <c r="BI61" s="280">
        <v>246446</v>
      </c>
      <c r="BJ61" s="280">
        <v>428481</v>
      </c>
      <c r="BK61" s="280">
        <f>13345+1144245+398075</f>
        <v>1555665</v>
      </c>
      <c r="BL61" s="280">
        <v>887931</v>
      </c>
      <c r="BM61" s="280">
        <v>396301</v>
      </c>
      <c r="BN61" s="280">
        <f>512575+893776</f>
        <v>1406351</v>
      </c>
      <c r="BO61" s="280">
        <f>105251+103182</f>
        <v>208433</v>
      </c>
      <c r="BP61" s="280">
        <v>360601</v>
      </c>
      <c r="BQ61" s="280"/>
      <c r="BR61" s="280">
        <v>715394</v>
      </c>
      <c r="BS61" s="280">
        <v>115324</v>
      </c>
      <c r="BT61" s="280"/>
      <c r="BU61" s="280"/>
      <c r="BV61" s="280">
        <v>309053</v>
      </c>
      <c r="BW61" s="280">
        <f>22768+346577</f>
        <v>369345</v>
      </c>
      <c r="BX61" s="280">
        <v>269085</v>
      </c>
      <c r="BY61" s="280">
        <f>395989+605941</f>
        <v>1001930</v>
      </c>
      <c r="BZ61" s="280"/>
      <c r="CA61" s="280"/>
      <c r="CB61" s="280"/>
      <c r="CC61" s="280">
        <v>545224</v>
      </c>
      <c r="CD61" s="24" t="s">
        <v>247</v>
      </c>
      <c r="CE61" s="25">
        <f t="shared" si="6"/>
        <v>55998878</v>
      </c>
    </row>
    <row r="62" spans="1:83" x14ac:dyDescent="0.25">
      <c r="A62" s="31" t="s">
        <v>10</v>
      </c>
      <c r="B62" s="16"/>
      <c r="C62" s="25">
        <f t="shared" ref="C62:AH62" si="7">ROUND(C47+C48,0)</f>
        <v>424822</v>
      </c>
      <c r="D62" s="25">
        <f t="shared" si="7"/>
        <v>0</v>
      </c>
      <c r="E62" s="25">
        <f t="shared" si="7"/>
        <v>988512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650576</v>
      </c>
      <c r="P62" s="25">
        <f t="shared" si="7"/>
        <v>1541342</v>
      </c>
      <c r="Q62" s="25">
        <f t="shared" si="7"/>
        <v>0</v>
      </c>
      <c r="R62" s="25">
        <f t="shared" si="7"/>
        <v>0</v>
      </c>
      <c r="S62" s="25">
        <f t="shared" si="7"/>
        <v>65760</v>
      </c>
      <c r="T62" s="25">
        <f t="shared" si="7"/>
        <v>0</v>
      </c>
      <c r="U62" s="25">
        <f t="shared" si="7"/>
        <v>386011</v>
      </c>
      <c r="V62" s="25">
        <f t="shared" si="7"/>
        <v>0</v>
      </c>
      <c r="W62" s="25">
        <f t="shared" si="7"/>
        <v>185541</v>
      </c>
      <c r="X62" s="25">
        <f t="shared" si="7"/>
        <v>190704</v>
      </c>
      <c r="Y62" s="25">
        <f t="shared" si="7"/>
        <v>390817</v>
      </c>
      <c r="Z62" s="25">
        <f t="shared" si="7"/>
        <v>0</v>
      </c>
      <c r="AA62" s="25">
        <f t="shared" si="7"/>
        <v>73446</v>
      </c>
      <c r="AB62" s="25">
        <f t="shared" si="7"/>
        <v>241393</v>
      </c>
      <c r="AC62" s="25">
        <f t="shared" si="7"/>
        <v>236051</v>
      </c>
      <c r="AD62" s="25">
        <f t="shared" si="7"/>
        <v>0</v>
      </c>
      <c r="AE62" s="25">
        <f t="shared" si="7"/>
        <v>1140602</v>
      </c>
      <c r="AF62" s="25">
        <f t="shared" si="7"/>
        <v>0</v>
      </c>
      <c r="AG62" s="25">
        <f t="shared" si="7"/>
        <v>1846902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24800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3479624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49591</v>
      </c>
      <c r="AW62" s="25">
        <f t="shared" si="8"/>
        <v>0</v>
      </c>
      <c r="AX62" s="25">
        <f t="shared" si="8"/>
        <v>0</v>
      </c>
      <c r="AY62" s="25">
        <f t="shared" si="8"/>
        <v>87710</v>
      </c>
      <c r="AZ62" s="25">
        <f t="shared" si="8"/>
        <v>227569</v>
      </c>
      <c r="BA62" s="25">
        <f t="shared" si="8"/>
        <v>13556</v>
      </c>
      <c r="BB62" s="25">
        <f t="shared" si="8"/>
        <v>145279</v>
      </c>
      <c r="BC62" s="25">
        <f t="shared" si="8"/>
        <v>0</v>
      </c>
      <c r="BD62" s="25">
        <f t="shared" si="8"/>
        <v>88311</v>
      </c>
      <c r="BE62" s="25">
        <f t="shared" si="8"/>
        <v>200127</v>
      </c>
      <c r="BF62" s="25">
        <f t="shared" si="8"/>
        <v>188369</v>
      </c>
      <c r="BG62" s="25">
        <f t="shared" si="8"/>
        <v>0</v>
      </c>
      <c r="BH62" s="25">
        <f t="shared" si="8"/>
        <v>223426</v>
      </c>
      <c r="BI62" s="25">
        <f t="shared" si="8"/>
        <v>68376</v>
      </c>
      <c r="BJ62" s="25">
        <f t="shared" si="8"/>
        <v>118881</v>
      </c>
      <c r="BK62" s="25">
        <f t="shared" si="8"/>
        <v>431614</v>
      </c>
      <c r="BL62" s="25">
        <f t="shared" si="8"/>
        <v>246353</v>
      </c>
      <c r="BM62" s="25">
        <f t="shared" si="8"/>
        <v>109952</v>
      </c>
      <c r="BN62" s="25">
        <f t="shared" si="8"/>
        <v>390187</v>
      </c>
      <c r="BO62" s="25">
        <f t="shared" ref="BO62:CC62" si="9">ROUND(BO47+BO48,0)</f>
        <v>57829</v>
      </c>
      <c r="BP62" s="25">
        <f t="shared" si="9"/>
        <v>100047</v>
      </c>
      <c r="BQ62" s="25">
        <f t="shared" si="9"/>
        <v>0</v>
      </c>
      <c r="BR62" s="25">
        <f t="shared" si="9"/>
        <v>198484</v>
      </c>
      <c r="BS62" s="25">
        <f t="shared" si="9"/>
        <v>31996</v>
      </c>
      <c r="BT62" s="25">
        <f t="shared" si="9"/>
        <v>0</v>
      </c>
      <c r="BU62" s="25">
        <f t="shared" si="9"/>
        <v>0</v>
      </c>
      <c r="BV62" s="25">
        <f t="shared" si="9"/>
        <v>85746</v>
      </c>
      <c r="BW62" s="25">
        <f t="shared" si="9"/>
        <v>102473</v>
      </c>
      <c r="BX62" s="25">
        <f t="shared" si="9"/>
        <v>74657</v>
      </c>
      <c r="BY62" s="25">
        <f t="shared" si="9"/>
        <v>277982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151270</v>
      </c>
      <c r="CD62" s="24" t="s">
        <v>247</v>
      </c>
      <c r="CE62" s="25">
        <f t="shared" si="6"/>
        <v>15536688</v>
      </c>
    </row>
    <row r="63" spans="1:83" x14ac:dyDescent="0.25">
      <c r="A63" s="31" t="s">
        <v>263</v>
      </c>
      <c r="B63" s="16"/>
      <c r="C63" s="273"/>
      <c r="D63" s="273"/>
      <c r="E63" s="273">
        <f>102626+41944</f>
        <v>144570</v>
      </c>
      <c r="F63" s="273"/>
      <c r="G63" s="273"/>
      <c r="H63" s="273"/>
      <c r="I63" s="273"/>
      <c r="J63" s="273"/>
      <c r="K63" s="273"/>
      <c r="L63" s="273"/>
      <c r="M63" s="273"/>
      <c r="N63" s="273"/>
      <c r="O63" s="273">
        <v>87126</v>
      </c>
      <c r="P63" s="275">
        <f>321964+150678</f>
        <v>472642</v>
      </c>
      <c r="Q63" s="275"/>
      <c r="R63" s="275">
        <v>3764854</v>
      </c>
      <c r="S63" s="280">
        <v>6896</v>
      </c>
      <c r="T63" s="280"/>
      <c r="U63" s="276">
        <v>1253496</v>
      </c>
      <c r="V63" s="275"/>
      <c r="W63" s="275"/>
      <c r="X63" s="275">
        <v>70759</v>
      </c>
      <c r="Y63" s="275">
        <f>422546+278+87322</f>
        <v>510146</v>
      </c>
      <c r="Z63" s="275"/>
      <c r="AA63" s="275"/>
      <c r="AB63" s="281">
        <f>57000+86938</f>
        <v>143938</v>
      </c>
      <c r="AC63" s="275">
        <f>484615+143764</f>
        <v>628379</v>
      </c>
      <c r="AD63" s="275"/>
      <c r="AE63" s="275">
        <v>1538</v>
      </c>
      <c r="AF63" s="275"/>
      <c r="AG63" s="275">
        <v>91077</v>
      </c>
      <c r="AH63" s="275"/>
      <c r="AI63" s="275"/>
      <c r="AJ63" s="275"/>
      <c r="AK63" s="275"/>
      <c r="AL63" s="275"/>
      <c r="AM63" s="275"/>
      <c r="AN63" s="275"/>
      <c r="AO63" s="275"/>
      <c r="AP63" s="275">
        <f>322072+414986+300+1180+128549+111600+187759+4706073+354167+38236+653321+70129+161942+12441</f>
        <v>7162755</v>
      </c>
      <c r="AQ63" s="275"/>
      <c r="AR63" s="275"/>
      <c r="AS63" s="275"/>
      <c r="AT63" s="275"/>
      <c r="AU63" s="275"/>
      <c r="AV63" s="280">
        <v>1991</v>
      </c>
      <c r="AW63" s="280"/>
      <c r="AX63" s="280"/>
      <c r="AY63" s="275">
        <v>46512</v>
      </c>
      <c r="AZ63" s="275"/>
      <c r="BA63" s="280"/>
      <c r="BB63" s="280">
        <v>38171</v>
      </c>
      <c r="BC63" s="280"/>
      <c r="BD63" s="280"/>
      <c r="BE63" s="275">
        <v>9708</v>
      </c>
      <c r="BF63" s="280">
        <v>43335</v>
      </c>
      <c r="BG63" s="280"/>
      <c r="BH63" s="280"/>
      <c r="BI63" s="280">
        <v>121288</v>
      </c>
      <c r="BJ63" s="280">
        <v>84383</v>
      </c>
      <c r="BK63" s="280">
        <f>28860+4739883</f>
        <v>4768743</v>
      </c>
      <c r="BL63" s="280"/>
      <c r="BM63" s="280">
        <v>231206</v>
      </c>
      <c r="BN63" s="280">
        <f>177395+37248</f>
        <v>214643</v>
      </c>
      <c r="BO63" s="280"/>
      <c r="BP63" s="280">
        <v>568663</v>
      </c>
      <c r="BQ63" s="280"/>
      <c r="BR63" s="280">
        <v>72113</v>
      </c>
      <c r="BS63" s="280"/>
      <c r="BT63" s="280"/>
      <c r="BU63" s="280"/>
      <c r="BV63" s="280">
        <v>7000</v>
      </c>
      <c r="BW63" s="280">
        <v>292124</v>
      </c>
      <c r="BX63" s="280">
        <v>33524</v>
      </c>
      <c r="BY63" s="280">
        <v>9079</v>
      </c>
      <c r="BZ63" s="280"/>
      <c r="CA63" s="280"/>
      <c r="CB63" s="280"/>
      <c r="CC63" s="280">
        <v>54859</v>
      </c>
      <c r="CD63" s="24" t="s">
        <v>247</v>
      </c>
      <c r="CE63" s="25">
        <f t="shared" si="6"/>
        <v>20935518</v>
      </c>
    </row>
    <row r="64" spans="1:83" x14ac:dyDescent="0.25">
      <c r="A64" s="31" t="s">
        <v>264</v>
      </c>
      <c r="B64" s="16"/>
      <c r="C64" s="273"/>
      <c r="D64" s="273"/>
      <c r="E64" s="273">
        <f>1026+56227+138154</f>
        <v>195407</v>
      </c>
      <c r="F64" s="273"/>
      <c r="G64" s="273"/>
      <c r="H64" s="273"/>
      <c r="I64" s="273"/>
      <c r="J64" s="273"/>
      <c r="K64" s="273"/>
      <c r="L64" s="273"/>
      <c r="M64" s="273"/>
      <c r="N64" s="273"/>
      <c r="O64" s="273">
        <v>149867</v>
      </c>
      <c r="P64" s="275">
        <f>423488+916955</f>
        <v>1340443</v>
      </c>
      <c r="Q64" s="275">
        <v>22038</v>
      </c>
      <c r="R64" s="275">
        <v>161637</v>
      </c>
      <c r="S64" s="280">
        <f>21640+7287743+159</f>
        <v>7309542</v>
      </c>
      <c r="T64" s="280"/>
      <c r="U64" s="276">
        <f>262651+1223486</f>
        <v>1486137</v>
      </c>
      <c r="V64" s="275"/>
      <c r="W64" s="275">
        <v>16019</v>
      </c>
      <c r="X64" s="275">
        <v>19098</v>
      </c>
      <c r="Y64" s="275">
        <f>73963+10492+10619</f>
        <v>95074</v>
      </c>
      <c r="Z64" s="275"/>
      <c r="AA64" s="275">
        <v>578354</v>
      </c>
      <c r="AB64" s="281">
        <f>179070+4429701</f>
        <v>4608771</v>
      </c>
      <c r="AC64" s="275">
        <f>2323+28279+9402</f>
        <v>40004</v>
      </c>
      <c r="AD64" s="275"/>
      <c r="AE64" s="275">
        <f>3122+2667+65382+10072+42</f>
        <v>81285</v>
      </c>
      <c r="AF64" s="275"/>
      <c r="AG64" s="275">
        <f>258372+17+569</f>
        <v>258958</v>
      </c>
      <c r="AH64" s="275"/>
      <c r="AI64" s="275"/>
      <c r="AJ64" s="275"/>
      <c r="AK64" s="275"/>
      <c r="AL64" s="275"/>
      <c r="AM64" s="275"/>
      <c r="AN64" s="275"/>
      <c r="AO64" s="275"/>
      <c r="AP64" s="275">
        <f>65398+11706+166737+31434+42592+159400+3760+4909+43280+28285+6676+18257+1934+26909+146005+4307</f>
        <v>761589</v>
      </c>
      <c r="AQ64" s="275"/>
      <c r="AR64" s="275"/>
      <c r="AS64" s="275"/>
      <c r="AT64" s="275"/>
      <c r="AU64" s="275"/>
      <c r="AV64" s="280">
        <v>3809</v>
      </c>
      <c r="AW64" s="280"/>
      <c r="AX64" s="280"/>
      <c r="AY64" s="275">
        <v>11413</v>
      </c>
      <c r="AZ64" s="275">
        <v>710416</v>
      </c>
      <c r="BA64" s="280"/>
      <c r="BB64" s="280">
        <v>7000</v>
      </c>
      <c r="BC64" s="280"/>
      <c r="BD64" s="280">
        <v>10427</v>
      </c>
      <c r="BE64" s="275">
        <v>22957</v>
      </c>
      <c r="BF64" s="280">
        <v>101098</v>
      </c>
      <c r="BG64" s="280"/>
      <c r="BH64" s="280">
        <f>12230+11396</f>
        <v>23626</v>
      </c>
      <c r="BI64" s="280">
        <v>61359</v>
      </c>
      <c r="BJ64" s="280">
        <v>2655</v>
      </c>
      <c r="BK64" s="280">
        <f>12165+726</f>
        <v>12891</v>
      </c>
      <c r="BL64" s="280">
        <v>9245</v>
      </c>
      <c r="BM64" s="280">
        <v>6692</v>
      </c>
      <c r="BN64" s="280">
        <f>27355+253+1575+1234</f>
        <v>30417</v>
      </c>
      <c r="BO64" s="280">
        <f>1824+79</f>
        <v>1903</v>
      </c>
      <c r="BP64" s="280">
        <v>35846</v>
      </c>
      <c r="BQ64" s="280"/>
      <c r="BR64" s="280">
        <v>9002</v>
      </c>
      <c r="BS64" s="280">
        <v>98</v>
      </c>
      <c r="BT64" s="280"/>
      <c r="BU64" s="280"/>
      <c r="BV64" s="280">
        <v>1167</v>
      </c>
      <c r="BW64" s="280">
        <f>7835+1048</f>
        <v>8883</v>
      </c>
      <c r="BX64" s="280">
        <v>8001</v>
      </c>
      <c r="BY64" s="280">
        <v>6189</v>
      </c>
      <c r="BZ64" s="280"/>
      <c r="CA64" s="280"/>
      <c r="CB64" s="280"/>
      <c r="CC64" s="280">
        <v>6937</v>
      </c>
      <c r="CD64" s="24" t="s">
        <v>247</v>
      </c>
      <c r="CE64" s="25">
        <f t="shared" si="6"/>
        <v>18216254</v>
      </c>
    </row>
    <row r="65" spans="1:83" x14ac:dyDescent="0.25">
      <c r="A65" s="31" t="s">
        <v>265</v>
      </c>
      <c r="B65" s="16"/>
      <c r="C65" s="273">
        <v>485.72</v>
      </c>
      <c r="D65" s="273"/>
      <c r="E65" s="273">
        <f>263.05+2372.36</f>
        <v>2635.4100000000003</v>
      </c>
      <c r="F65" s="273"/>
      <c r="G65" s="273"/>
      <c r="H65" s="273"/>
      <c r="I65" s="273"/>
      <c r="J65" s="273"/>
      <c r="K65" s="273"/>
      <c r="L65" s="273"/>
      <c r="M65" s="273"/>
      <c r="N65" s="273"/>
      <c r="O65" s="273">
        <f>748.77</f>
        <v>748.77</v>
      </c>
      <c r="P65" s="275">
        <f>971.44+840.2</f>
        <v>1811.64</v>
      </c>
      <c r="Q65" s="275"/>
      <c r="R65" s="275"/>
      <c r="S65" s="280"/>
      <c r="T65" s="280"/>
      <c r="U65" s="276">
        <f>1142.87</f>
        <v>1142.8699999999999</v>
      </c>
      <c r="V65" s="275"/>
      <c r="W65" s="275"/>
      <c r="X65" s="275">
        <v>485.72</v>
      </c>
      <c r="Y65" s="275">
        <f>577.15+251.43</f>
        <v>828.57999999999993</v>
      </c>
      <c r="Z65" s="275"/>
      <c r="AA65" s="275"/>
      <c r="AB65" s="281"/>
      <c r="AC65" s="275">
        <v>485.72</v>
      </c>
      <c r="AD65" s="275"/>
      <c r="AE65" s="275">
        <f>35508.4+3867.4</f>
        <v>39375.800000000003</v>
      </c>
      <c r="AF65" s="275"/>
      <c r="AG65" s="275">
        <f>653.56+485.72+656.76</f>
        <v>1796.04</v>
      </c>
      <c r="AH65" s="275"/>
      <c r="AI65" s="275"/>
      <c r="AJ65" s="275"/>
      <c r="AK65" s="275"/>
      <c r="AL65" s="275"/>
      <c r="AM65" s="275"/>
      <c r="AN65" s="275"/>
      <c r="AO65" s="275"/>
      <c r="AP65" s="275">
        <f>6185.3+16261.79+23633.27+8562.4+10351.42+17836.5+2981.5+958.81+291.43+131.43+2348.77</f>
        <v>89542.619999999981</v>
      </c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>
        <v>2996.47</v>
      </c>
      <c r="BC65" s="280"/>
      <c r="BD65" s="280">
        <v>1168.5899999999999</v>
      </c>
      <c r="BE65" s="275">
        <f>632868.98-6462</f>
        <v>626406.98</v>
      </c>
      <c r="BF65" s="280">
        <v>163240</v>
      </c>
      <c r="BG65" s="280"/>
      <c r="BH65" s="280">
        <f>231453+314.29</f>
        <v>231767.29</v>
      </c>
      <c r="BI65" s="280">
        <v>2798</v>
      </c>
      <c r="BJ65" s="280">
        <v>485.72</v>
      </c>
      <c r="BK65" s="280">
        <f>3446.27+485.72+127.78</f>
        <v>4059.77</v>
      </c>
      <c r="BL65" s="280">
        <v>485.72</v>
      </c>
      <c r="BM65" s="280">
        <v>2707.54</v>
      </c>
      <c r="BN65" s="280">
        <f>16710.92-5.71</f>
        <v>16705.21</v>
      </c>
      <c r="BO65" s="280">
        <v>1938</v>
      </c>
      <c r="BP65" s="280"/>
      <c r="BQ65" s="280"/>
      <c r="BR65" s="280">
        <v>971.44</v>
      </c>
      <c r="BS65" s="280"/>
      <c r="BT65" s="280"/>
      <c r="BU65" s="280"/>
      <c r="BV65" s="280">
        <v>3096.78</v>
      </c>
      <c r="BW65" s="280">
        <v>480</v>
      </c>
      <c r="BX65" s="280"/>
      <c r="BY65" s="280">
        <v>919.55</v>
      </c>
      <c r="BZ65" s="280"/>
      <c r="CA65" s="280"/>
      <c r="CB65" s="280"/>
      <c r="CC65" s="280">
        <f>12765.41</f>
        <v>12765.41</v>
      </c>
      <c r="CD65" s="24" t="s">
        <v>247</v>
      </c>
      <c r="CE65" s="25">
        <f t="shared" si="6"/>
        <v>1212331.3599999999</v>
      </c>
    </row>
    <row r="66" spans="1:83" x14ac:dyDescent="0.25">
      <c r="A66" s="31" t="s">
        <v>266</v>
      </c>
      <c r="B66" s="16"/>
      <c r="C66" s="273">
        <v>27133.82</v>
      </c>
      <c r="D66" s="273"/>
      <c r="E66" s="273">
        <f>1530+11907.56</f>
        <v>13437.56</v>
      </c>
      <c r="F66" s="273"/>
      <c r="G66" s="273"/>
      <c r="H66" s="273"/>
      <c r="I66" s="273"/>
      <c r="J66" s="273"/>
      <c r="K66" s="273"/>
      <c r="L66" s="273"/>
      <c r="M66" s="273"/>
      <c r="N66" s="273"/>
      <c r="O66" s="273">
        <v>38206.14</v>
      </c>
      <c r="P66" s="275">
        <f>633423.3+24763.59</f>
        <v>658186.89</v>
      </c>
      <c r="Q66" s="275">
        <v>718.3</v>
      </c>
      <c r="R66" s="275">
        <v>1053.22</v>
      </c>
      <c r="S66" s="280">
        <v>4000</v>
      </c>
      <c r="T66" s="280"/>
      <c r="U66" s="276">
        <v>204428.18</v>
      </c>
      <c r="V66" s="275"/>
      <c r="W66" s="275">
        <v>181159.79</v>
      </c>
      <c r="X66" s="275">
        <v>189559.84</v>
      </c>
      <c r="Y66" s="275">
        <f>231862.7+64090.73+65286.29</f>
        <v>361239.72</v>
      </c>
      <c r="Z66" s="275"/>
      <c r="AA66" s="275">
        <v>528042.82999999996</v>
      </c>
      <c r="AB66" s="281">
        <f>10617.4+52541.3</f>
        <v>63158.700000000004</v>
      </c>
      <c r="AC66" s="275">
        <f>23226.15</f>
        <v>23226.15</v>
      </c>
      <c r="AD66" s="275"/>
      <c r="AE66" s="275">
        <f>86304.38+921.5+3640</f>
        <v>90865.88</v>
      </c>
      <c r="AF66" s="275"/>
      <c r="AG66" s="275">
        <f>76076.61+674.57</f>
        <v>76751.180000000008</v>
      </c>
      <c r="AH66" s="275">
        <v>39001.910000000003</v>
      </c>
      <c r="AI66" s="275"/>
      <c r="AJ66" s="275"/>
      <c r="AK66" s="275"/>
      <c r="AL66" s="275"/>
      <c r="AM66" s="275"/>
      <c r="AN66" s="275"/>
      <c r="AO66" s="275"/>
      <c r="AP66" s="275">
        <f>1543.57+15279.71+18823.52+4967.64+18518.1+89445.96+331.16+4666.54+1943.97+1981.3+1566.38+4659.24+1727.15+4693.54+9991.16</f>
        <v>180138.94</v>
      </c>
      <c r="AQ66" s="275"/>
      <c r="AR66" s="275"/>
      <c r="AS66" s="275"/>
      <c r="AT66" s="275"/>
      <c r="AU66" s="275"/>
      <c r="AV66" s="280">
        <f>1852.04</f>
        <v>1852.04</v>
      </c>
      <c r="AW66" s="280"/>
      <c r="AX66" s="280"/>
      <c r="AY66" s="275">
        <f>1490.1</f>
        <v>1490.1</v>
      </c>
      <c r="AZ66" s="275">
        <v>30037.01</v>
      </c>
      <c r="BA66" s="280">
        <v>276374.37</v>
      </c>
      <c r="BB66" s="280">
        <f>21661.24</f>
        <v>21661.24</v>
      </c>
      <c r="BC66" s="280"/>
      <c r="BD66" s="280">
        <f>21759.99</f>
        <v>21759.99</v>
      </c>
      <c r="BE66" s="275">
        <f>284631.4+5343.89-2087.06</f>
        <v>287888.23000000004</v>
      </c>
      <c r="BF66" s="280">
        <v>49389.32</v>
      </c>
      <c r="BG66" s="280"/>
      <c r="BH66" s="280">
        <f>323365.12+1698740.15</f>
        <v>2022105.27</v>
      </c>
      <c r="BI66" s="280">
        <v>159399.78</v>
      </c>
      <c r="BJ66" s="280">
        <v>3614.11</v>
      </c>
      <c r="BK66" s="280">
        <f>134929.88+1492.14+290556</f>
        <v>426978.02</v>
      </c>
      <c r="BL66" s="280">
        <v>8764.86</v>
      </c>
      <c r="BM66" s="280">
        <v>398627.19</v>
      </c>
      <c r="BN66" s="280">
        <f>97761.23+4972.92</f>
        <v>102734.15</v>
      </c>
      <c r="BO66" s="280">
        <v>13613.55</v>
      </c>
      <c r="BP66" s="280">
        <v>124207.4</v>
      </c>
      <c r="BQ66" s="280"/>
      <c r="BR66" s="280">
        <f>43358.6-856665.55</f>
        <v>-813306.95000000007</v>
      </c>
      <c r="BS66" s="280"/>
      <c r="BT66" s="280"/>
      <c r="BU66" s="280"/>
      <c r="BV66" s="280">
        <v>127260</v>
      </c>
      <c r="BW66" s="280">
        <f>29306.75+24354</f>
        <v>53660.75</v>
      </c>
      <c r="BX66" s="280">
        <v>157330.03</v>
      </c>
      <c r="BY66" s="280">
        <v>30143.02</v>
      </c>
      <c r="BZ66" s="280"/>
      <c r="CA66" s="280"/>
      <c r="CB66" s="280"/>
      <c r="CC66" s="280">
        <v>8722.6299999999992</v>
      </c>
      <c r="CD66" s="24" t="s">
        <v>247</v>
      </c>
      <c r="CE66" s="25">
        <f t="shared" si="6"/>
        <v>6194615.160000002</v>
      </c>
    </row>
    <row r="67" spans="1:83" x14ac:dyDescent="0.25">
      <c r="A67" s="31" t="s">
        <v>15</v>
      </c>
      <c r="B67" s="16"/>
      <c r="C67" s="25">
        <f t="shared" ref="C67:AH67" si="10">ROUND(C51+C52,0)</f>
        <v>155166</v>
      </c>
      <c r="D67" s="25">
        <f t="shared" si="10"/>
        <v>0</v>
      </c>
      <c r="E67" s="25">
        <f t="shared" si="10"/>
        <v>260076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310598</v>
      </c>
      <c r="P67" s="25">
        <f t="shared" si="10"/>
        <v>599819</v>
      </c>
      <c r="Q67" s="25">
        <f t="shared" si="10"/>
        <v>0</v>
      </c>
      <c r="R67" s="25">
        <f t="shared" si="10"/>
        <v>0</v>
      </c>
      <c r="S67" s="25">
        <f t="shared" si="10"/>
        <v>51697</v>
      </c>
      <c r="T67" s="25">
        <f t="shared" si="10"/>
        <v>0</v>
      </c>
      <c r="U67" s="25">
        <f t="shared" si="10"/>
        <v>77810</v>
      </c>
      <c r="V67" s="25">
        <f t="shared" si="10"/>
        <v>14781</v>
      </c>
      <c r="W67" s="25">
        <f t="shared" si="10"/>
        <v>24029</v>
      </c>
      <c r="X67" s="25">
        <f t="shared" si="10"/>
        <v>19784</v>
      </c>
      <c r="Y67" s="25">
        <f t="shared" si="10"/>
        <v>187003</v>
      </c>
      <c r="Z67" s="25">
        <f t="shared" si="10"/>
        <v>0</v>
      </c>
      <c r="AA67" s="25">
        <f t="shared" si="10"/>
        <v>13038</v>
      </c>
      <c r="AB67" s="25">
        <f t="shared" si="10"/>
        <v>37143</v>
      </c>
      <c r="AC67" s="25">
        <f t="shared" si="10"/>
        <v>49309</v>
      </c>
      <c r="AD67" s="25">
        <f t="shared" si="10"/>
        <v>0</v>
      </c>
      <c r="AE67" s="25">
        <f t="shared" si="10"/>
        <v>530915</v>
      </c>
      <c r="AF67" s="25">
        <f t="shared" si="10"/>
        <v>0</v>
      </c>
      <c r="AG67" s="25">
        <f t="shared" si="10"/>
        <v>226685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708784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18041</v>
      </c>
      <c r="AW67" s="25">
        <f t="shared" si="11"/>
        <v>0</v>
      </c>
      <c r="AX67" s="25">
        <f t="shared" si="11"/>
        <v>0</v>
      </c>
      <c r="AY67" s="25">
        <f t="shared" si="11"/>
        <v>7997</v>
      </c>
      <c r="AZ67" s="25">
        <f t="shared" si="11"/>
        <v>164679</v>
      </c>
      <c r="BA67" s="25">
        <f t="shared" si="11"/>
        <v>48892</v>
      </c>
      <c r="BB67" s="25">
        <f t="shared" si="11"/>
        <v>10309</v>
      </c>
      <c r="BC67" s="25">
        <f t="shared" si="11"/>
        <v>0</v>
      </c>
      <c r="BD67" s="25">
        <f t="shared" si="11"/>
        <v>108131</v>
      </c>
      <c r="BE67" s="25">
        <f t="shared" si="11"/>
        <v>413044</v>
      </c>
      <c r="BF67" s="25">
        <f t="shared" si="11"/>
        <v>168507</v>
      </c>
      <c r="BG67" s="25">
        <f t="shared" si="11"/>
        <v>0</v>
      </c>
      <c r="BH67" s="25">
        <f t="shared" si="11"/>
        <v>49650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39114</v>
      </c>
      <c r="BM67" s="25">
        <f t="shared" si="11"/>
        <v>0</v>
      </c>
      <c r="BN67" s="25">
        <f t="shared" si="11"/>
        <v>69700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18837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8907</v>
      </c>
      <c r="BX67" s="25">
        <f t="shared" si="12"/>
        <v>5685</v>
      </c>
      <c r="BY67" s="25">
        <f t="shared" si="12"/>
        <v>5117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427484</v>
      </c>
      <c r="CD67" s="24" t="s">
        <v>247</v>
      </c>
      <c r="CE67" s="25">
        <f t="shared" si="6"/>
        <v>4830731</v>
      </c>
    </row>
    <row r="68" spans="1:83" x14ac:dyDescent="0.25">
      <c r="A68" s="31" t="s">
        <v>267</v>
      </c>
      <c r="B68" s="2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/>
      <c r="Q68" s="275"/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/>
      <c r="BF68" s="280"/>
      <c r="BG68" s="280"/>
      <c r="BH68" s="280"/>
      <c r="BI68" s="280"/>
      <c r="BJ68" s="280"/>
      <c r="BK68" s="280"/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0</v>
      </c>
    </row>
    <row r="69" spans="1:83" x14ac:dyDescent="0.25">
      <c r="A69" s="31" t="s">
        <v>268</v>
      </c>
      <c r="B69" s="16"/>
      <c r="C69" s="25">
        <f t="shared" ref="C69:AH69" si="13">SUM(C70:C83)</f>
        <v>3319.32</v>
      </c>
      <c r="D69" s="25">
        <f t="shared" si="13"/>
        <v>0</v>
      </c>
      <c r="E69" s="25">
        <f t="shared" si="13"/>
        <v>22772.43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7642.43</v>
      </c>
      <c r="P69" s="25">
        <f t="shared" si="13"/>
        <v>1859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2175.87</v>
      </c>
      <c r="V69" s="25">
        <f t="shared" si="13"/>
        <v>0</v>
      </c>
      <c r="W69" s="25">
        <f t="shared" si="13"/>
        <v>0</v>
      </c>
      <c r="X69" s="25">
        <f t="shared" si="13"/>
        <v>865</v>
      </c>
      <c r="Y69" s="25">
        <f t="shared" si="13"/>
        <v>5090.5</v>
      </c>
      <c r="Z69" s="25">
        <f t="shared" si="13"/>
        <v>0</v>
      </c>
      <c r="AA69" s="25">
        <f t="shared" si="13"/>
        <v>560</v>
      </c>
      <c r="AB69" s="25">
        <f t="shared" si="13"/>
        <v>0</v>
      </c>
      <c r="AC69" s="25">
        <f t="shared" si="13"/>
        <v>0</v>
      </c>
      <c r="AD69" s="25">
        <f t="shared" si="13"/>
        <v>0</v>
      </c>
      <c r="AE69" s="25">
        <f t="shared" si="13"/>
        <v>16837.28</v>
      </c>
      <c r="AF69" s="25">
        <f t="shared" si="13"/>
        <v>0</v>
      </c>
      <c r="AG69" s="25">
        <f t="shared" si="13"/>
        <v>97987.89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2568.0500000000002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165725.31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3478.91</v>
      </c>
      <c r="AZ69" s="25">
        <f t="shared" si="14"/>
        <v>0</v>
      </c>
      <c r="BA69" s="25">
        <f t="shared" si="14"/>
        <v>0</v>
      </c>
      <c r="BB69" s="25">
        <f t="shared" si="14"/>
        <v>6142.67</v>
      </c>
      <c r="BC69" s="25">
        <f t="shared" si="14"/>
        <v>0</v>
      </c>
      <c r="BD69" s="25">
        <f t="shared" si="14"/>
        <v>0</v>
      </c>
      <c r="BE69" s="25">
        <f t="shared" si="14"/>
        <v>0</v>
      </c>
      <c r="BF69" s="25">
        <f t="shared" si="14"/>
        <v>0</v>
      </c>
      <c r="BG69" s="25">
        <f t="shared" si="14"/>
        <v>0</v>
      </c>
      <c r="BH69" s="25">
        <f t="shared" si="14"/>
        <v>559</v>
      </c>
      <c r="BI69" s="25">
        <f t="shared" si="14"/>
        <v>1165</v>
      </c>
      <c r="BJ69" s="25">
        <f t="shared" si="14"/>
        <v>0</v>
      </c>
      <c r="BK69" s="25">
        <f t="shared" si="14"/>
        <v>12487</v>
      </c>
      <c r="BL69" s="25">
        <f t="shared" si="14"/>
        <v>0</v>
      </c>
      <c r="BM69" s="25">
        <f t="shared" si="14"/>
        <v>0</v>
      </c>
      <c r="BN69" s="25">
        <f t="shared" si="14"/>
        <v>21362.71</v>
      </c>
      <c r="BO69" s="25">
        <f t="shared" ref="BO69:CE69" si="15">SUM(BO70:BO83)</f>
        <v>2234</v>
      </c>
      <c r="BP69" s="25">
        <f t="shared" si="15"/>
        <v>5080.68</v>
      </c>
      <c r="BQ69" s="25">
        <f t="shared" si="15"/>
        <v>0</v>
      </c>
      <c r="BR69" s="25">
        <f t="shared" si="15"/>
        <v>2566.9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13857.17</v>
      </c>
      <c r="BX69" s="25">
        <f t="shared" si="15"/>
        <v>8310.4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1508.2</v>
      </c>
      <c r="CD69" s="25">
        <f t="shared" si="15"/>
        <v>0</v>
      </c>
      <c r="CE69" s="25">
        <f t="shared" si="15"/>
        <v>406155.72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>
        <f>3319.32</f>
        <v>3319.32</v>
      </c>
      <c r="D80" s="282"/>
      <c r="E80" s="282">
        <f>19312.5+674.93+1056+1729</f>
        <v>22772.43</v>
      </c>
      <c r="F80" s="282"/>
      <c r="G80" s="282"/>
      <c r="H80" s="282"/>
      <c r="I80" s="282"/>
      <c r="J80" s="282"/>
      <c r="K80" s="282"/>
      <c r="L80" s="282"/>
      <c r="M80" s="282"/>
      <c r="N80" s="282"/>
      <c r="O80" s="282">
        <f>7426.43+216</f>
        <v>7642.43</v>
      </c>
      <c r="P80" s="282">
        <v>1859</v>
      </c>
      <c r="Q80" s="282"/>
      <c r="R80" s="282"/>
      <c r="S80" s="282"/>
      <c r="T80" s="282"/>
      <c r="U80" s="282">
        <f>1716.87+459</f>
        <v>2175.87</v>
      </c>
      <c r="V80" s="282"/>
      <c r="W80" s="282"/>
      <c r="X80" s="282">
        <f>715+150</f>
        <v>865</v>
      </c>
      <c r="Y80" s="282">
        <f>4190.5+95+805</f>
        <v>5090.5</v>
      </c>
      <c r="Z80" s="282"/>
      <c r="AA80" s="282">
        <f>190+370</f>
        <v>560</v>
      </c>
      <c r="AB80" s="282"/>
      <c r="AC80" s="282"/>
      <c r="AD80" s="282"/>
      <c r="AE80" s="282">
        <f>175+398.11+1685.3+993.73+12804.14+781</f>
        <v>16837.28</v>
      </c>
      <c r="AF80" s="282"/>
      <c r="AG80" s="282">
        <f>5645+8702+13238.7+8333.94+62068.25</f>
        <v>97987.89</v>
      </c>
      <c r="AH80" s="282"/>
      <c r="AI80" s="282"/>
      <c r="AJ80" s="282">
        <v>2568.0500000000002</v>
      </c>
      <c r="AK80" s="282"/>
      <c r="AL80" s="282"/>
      <c r="AM80" s="282"/>
      <c r="AN80" s="282"/>
      <c r="AO80" s="282"/>
      <c r="AP80" s="282">
        <f>1940.27+250+710+1556.1+6033.41+990+1840+6562.5+1446+30291+1000+4581.16+35625+1195+275+6092.97+250+160.45+9375+31500+7500+5430.13+3927.12+1574.2+888+920+1392+100+1260+250+810</f>
        <v>165725.31</v>
      </c>
      <c r="AQ80" s="282"/>
      <c r="AR80" s="282"/>
      <c r="AS80" s="282"/>
      <c r="AT80" s="282"/>
      <c r="AU80" s="282"/>
      <c r="AV80" s="282"/>
      <c r="AW80" s="282"/>
      <c r="AX80" s="282"/>
      <c r="AY80" s="282">
        <f>1606.91+1872</f>
        <v>3478.91</v>
      </c>
      <c r="AZ80" s="282"/>
      <c r="BA80" s="282"/>
      <c r="BB80" s="282">
        <f>150+5992.67</f>
        <v>6142.67</v>
      </c>
      <c r="BC80" s="282"/>
      <c r="BD80" s="282"/>
      <c r="BE80" s="282"/>
      <c r="BF80" s="282"/>
      <c r="BG80" s="282"/>
      <c r="BH80" s="282">
        <v>559</v>
      </c>
      <c r="BI80" s="282">
        <f>1165</f>
        <v>1165</v>
      </c>
      <c r="BJ80" s="282"/>
      <c r="BK80" s="282">
        <f>1288.12+11198.88</f>
        <v>12487</v>
      </c>
      <c r="BL80" s="282"/>
      <c r="BM80" s="282"/>
      <c r="BN80" s="282">
        <f>3900+7117.19+7484.75+2860.77</f>
        <v>21362.71</v>
      </c>
      <c r="BO80" s="282">
        <f>960+1274</f>
        <v>2234</v>
      </c>
      <c r="BP80" s="282">
        <f>5030.68+50</f>
        <v>5080.68</v>
      </c>
      <c r="BQ80" s="282"/>
      <c r="BR80" s="282">
        <f>2014.9+552</f>
        <v>2566.9</v>
      </c>
      <c r="BS80" s="282"/>
      <c r="BT80" s="282"/>
      <c r="BU80" s="282"/>
      <c r="BV80" s="282"/>
      <c r="BW80" s="282">
        <f>1194.82+4164.66+3497.69+5000</f>
        <v>13857.17</v>
      </c>
      <c r="BX80" s="282">
        <v>8310.4</v>
      </c>
      <c r="BY80" s="282"/>
      <c r="BZ80" s="282"/>
      <c r="CA80" s="282"/>
      <c r="CB80" s="282"/>
      <c r="CC80" s="282">
        <v>1508.2</v>
      </c>
      <c r="CD80" s="282"/>
      <c r="CE80" s="25">
        <f t="shared" si="16"/>
        <v>406155.72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/>
      <c r="F83" s="275"/>
      <c r="G83" s="273"/>
      <c r="H83" s="273"/>
      <c r="I83" s="275"/>
      <c r="J83" s="275"/>
      <c r="K83" s="275"/>
      <c r="L83" s="275"/>
      <c r="M83" s="273"/>
      <c r="N83" s="273"/>
      <c r="O83" s="273"/>
      <c r="P83" s="275"/>
      <c r="Q83" s="275"/>
      <c r="R83" s="276"/>
      <c r="S83" s="275"/>
      <c r="T83" s="273"/>
      <c r="U83" s="275"/>
      <c r="V83" s="275"/>
      <c r="W83" s="273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6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82"/>
      <c r="CE83" s="25">
        <f t="shared" si="16"/>
        <v>0</v>
      </c>
    </row>
    <row r="84" spans="1:84" x14ac:dyDescent="0.25">
      <c r="A84" s="31" t="s">
        <v>283</v>
      </c>
      <c r="B84" s="16"/>
      <c r="C84" s="273">
        <f>3404.07-3319</f>
        <v>85.070000000000164</v>
      </c>
      <c r="D84" s="273"/>
      <c r="E84" s="273">
        <f>20361.44+41463.57-22772</f>
        <v>39053.009999999995</v>
      </c>
      <c r="F84" s="273"/>
      <c r="G84" s="273"/>
      <c r="H84" s="273"/>
      <c r="I84" s="273"/>
      <c r="J84" s="273"/>
      <c r="K84" s="273"/>
      <c r="L84" s="273"/>
      <c r="M84" s="273"/>
      <c r="N84" s="273"/>
      <c r="O84" s="273">
        <f>10997.83-7642</f>
        <v>3355.83</v>
      </c>
      <c r="P84" s="273">
        <f>3906.2+2098-1859</f>
        <v>4145.2</v>
      </c>
      <c r="Q84" s="273"/>
      <c r="R84" s="273"/>
      <c r="S84" s="273">
        <f>95.43+47.39</f>
        <v>142.82</v>
      </c>
      <c r="T84" s="273"/>
      <c r="U84" s="273">
        <f>3356.38-2176</f>
        <v>1180.3800000000001</v>
      </c>
      <c r="V84" s="273"/>
      <c r="W84" s="273">
        <v>1098.07</v>
      </c>
      <c r="X84" s="273">
        <f>1332.81-865</f>
        <v>467.80999999999995</v>
      </c>
      <c r="Y84" s="273">
        <f>9096.28+887.36+95-5091</f>
        <v>4987.6400000000012</v>
      </c>
      <c r="Z84" s="273"/>
      <c r="AA84" s="273">
        <f>4540-560</f>
        <v>3980</v>
      </c>
      <c r="AB84" s="273">
        <f>1784+607.1</f>
        <v>2391.1</v>
      </c>
      <c r="AC84" s="273">
        <f>1537.09</f>
        <v>1537.09</v>
      </c>
      <c r="AD84" s="273"/>
      <c r="AE84" s="273">
        <f>175+5542.14+1833.86+27623.15+1098-16837</f>
        <v>19435.150000000001</v>
      </c>
      <c r="AF84" s="273"/>
      <c r="AG84" s="273">
        <f>28940.4+138530.41+1025-97988</f>
        <v>70507.81</v>
      </c>
      <c r="AH84" s="273"/>
      <c r="AI84" s="273"/>
      <c r="AJ84" s="273">
        <v>0</v>
      </c>
      <c r="AK84" s="273"/>
      <c r="AL84" s="273"/>
      <c r="AM84" s="273"/>
      <c r="AN84" s="273"/>
      <c r="AO84" s="273"/>
      <c r="AP84" s="273">
        <f>7279.32+913.22-96425.87+13349.05+59363.55+108153.34+1309.03+3012.14+15095.14+60226.53+13676.89+5317.48+6185.68-165725</f>
        <v>31730.500000000029</v>
      </c>
      <c r="AQ84" s="273"/>
      <c r="AR84" s="273"/>
      <c r="AS84" s="273"/>
      <c r="AT84" s="273"/>
      <c r="AU84" s="273"/>
      <c r="AV84" s="273">
        <v>15780.32</v>
      </c>
      <c r="AW84" s="273"/>
      <c r="AX84" s="273"/>
      <c r="AY84" s="273">
        <f>4495.76-3479</f>
        <v>1016.7600000000002</v>
      </c>
      <c r="AZ84" s="273">
        <v>3750.02</v>
      </c>
      <c r="BA84" s="273"/>
      <c r="BB84" s="273">
        <f>7691.15-6143</f>
        <v>1548.1499999999996</v>
      </c>
      <c r="BC84" s="273"/>
      <c r="BD84" s="273">
        <v>230826.86</v>
      </c>
      <c r="BE84" s="273">
        <f>72.3+153.73</f>
        <v>226.02999999999997</v>
      </c>
      <c r="BF84" s="273">
        <v>3072.68</v>
      </c>
      <c r="BG84" s="273"/>
      <c r="BH84" s="273">
        <f>-13028.02+16054.65-559</f>
        <v>2467.6299999999992</v>
      </c>
      <c r="BI84" s="273">
        <f>48596.52-1165</f>
        <v>47431.519999999997</v>
      </c>
      <c r="BJ84" s="273">
        <v>30663.01</v>
      </c>
      <c r="BK84" s="273">
        <f>444994.18+15254.68-6386.45-12487</f>
        <v>441375.41</v>
      </c>
      <c r="BL84" s="273"/>
      <c r="BM84" s="273">
        <v>34887.769999999997</v>
      </c>
      <c r="BN84" s="273">
        <f>237259.74+7941.69+12138.18-21363</f>
        <v>235976.61</v>
      </c>
      <c r="BO84" s="273">
        <f>205+2668.16-2234</f>
        <v>639.15999999999985</v>
      </c>
      <c r="BP84" s="273">
        <f>34252.61-5081</f>
        <v>29171.61</v>
      </c>
      <c r="BQ84" s="273"/>
      <c r="BR84" s="273">
        <f>5236.3+77390.57-2567</f>
        <v>80059.87000000001</v>
      </c>
      <c r="BS84" s="273">
        <v>205.2</v>
      </c>
      <c r="BT84" s="273"/>
      <c r="BU84" s="273"/>
      <c r="BV84" s="273">
        <v>565.85</v>
      </c>
      <c r="BW84" s="273">
        <f>4116.38+22426.75-13857</f>
        <v>12686.130000000001</v>
      </c>
      <c r="BX84" s="273">
        <f>13249.81-8310</f>
        <v>4939.8099999999995</v>
      </c>
      <c r="BY84" s="273">
        <v>2151.04</v>
      </c>
      <c r="BZ84" s="273"/>
      <c r="CA84" s="273"/>
      <c r="CB84" s="273"/>
      <c r="CC84" s="273">
        <f>6353.58-1508</f>
        <v>4845.58</v>
      </c>
      <c r="CD84" s="282">
        <v>1029894</v>
      </c>
      <c r="CE84" s="25">
        <f t="shared" si="16"/>
        <v>2398278.5</v>
      </c>
    </row>
    <row r="85" spans="1:84" x14ac:dyDescent="0.25">
      <c r="A85" s="31" t="s">
        <v>284</v>
      </c>
      <c r="B85" s="25"/>
      <c r="C85" s="25">
        <f t="shared" ref="C85:AH85" si="17">SUM(C61:C69)-C84</f>
        <v>2142027.79</v>
      </c>
      <c r="D85" s="25">
        <f t="shared" si="17"/>
        <v>0</v>
      </c>
      <c r="E85" s="25">
        <f t="shared" si="17"/>
        <v>5151252.3899999997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3586279.5100000002</v>
      </c>
      <c r="P85" s="25">
        <f t="shared" si="17"/>
        <v>10167415.330000002</v>
      </c>
      <c r="Q85" s="25">
        <f t="shared" si="17"/>
        <v>22756.3</v>
      </c>
      <c r="R85" s="25">
        <f t="shared" si="17"/>
        <v>3927544.22</v>
      </c>
      <c r="S85" s="25">
        <f t="shared" si="17"/>
        <v>7674772.1799999997</v>
      </c>
      <c r="T85" s="25">
        <f t="shared" si="17"/>
        <v>0</v>
      </c>
      <c r="U85" s="25">
        <f t="shared" si="17"/>
        <v>4801320.54</v>
      </c>
      <c r="V85" s="25">
        <f t="shared" si="17"/>
        <v>14781</v>
      </c>
      <c r="W85" s="25">
        <f t="shared" si="17"/>
        <v>1074397.72</v>
      </c>
      <c r="X85" s="25">
        <f t="shared" si="17"/>
        <v>1178142.75</v>
      </c>
      <c r="Y85" s="25">
        <f t="shared" si="17"/>
        <v>2953831.1599999997</v>
      </c>
      <c r="Z85" s="25">
        <f t="shared" si="17"/>
        <v>0</v>
      </c>
      <c r="AA85" s="25">
        <f t="shared" si="17"/>
        <v>1454182.83</v>
      </c>
      <c r="AB85" s="25">
        <f t="shared" si="17"/>
        <v>5962066.6000000006</v>
      </c>
      <c r="AC85" s="25">
        <f t="shared" si="17"/>
        <v>1826714.7799999998</v>
      </c>
      <c r="AD85" s="25">
        <f t="shared" si="17"/>
        <v>0</v>
      </c>
      <c r="AE85" s="25">
        <f t="shared" si="17"/>
        <v>5993053.8099999996</v>
      </c>
      <c r="AF85" s="25">
        <f t="shared" si="17"/>
        <v>0</v>
      </c>
      <c r="AG85" s="25">
        <f t="shared" si="17"/>
        <v>9186438.2999999989</v>
      </c>
      <c r="AH85" s="25">
        <f t="shared" si="17"/>
        <v>39001.910000000003</v>
      </c>
      <c r="AI85" s="25">
        <f t="shared" ref="AI85:BN85" si="18">SUM(AI61:AI69)-AI84</f>
        <v>0</v>
      </c>
      <c r="AJ85" s="25">
        <f t="shared" si="18"/>
        <v>116754.05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25058037.370000001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238243.72</v>
      </c>
      <c r="AW85" s="25">
        <f t="shared" si="18"/>
        <v>0</v>
      </c>
      <c r="AX85" s="25">
        <f t="shared" si="18"/>
        <v>0</v>
      </c>
      <c r="AY85" s="25">
        <f t="shared" si="18"/>
        <v>473718.24999999994</v>
      </c>
      <c r="AZ85" s="25">
        <f t="shared" si="18"/>
        <v>1949176.99</v>
      </c>
      <c r="BA85" s="25">
        <f t="shared" si="18"/>
        <v>387681.37</v>
      </c>
      <c r="BB85" s="25">
        <f t="shared" si="18"/>
        <v>753640.23</v>
      </c>
      <c r="BC85" s="25">
        <f t="shared" si="18"/>
        <v>0</v>
      </c>
      <c r="BD85" s="25">
        <f t="shared" si="18"/>
        <v>317271.72000000009</v>
      </c>
      <c r="BE85" s="25">
        <f t="shared" si="18"/>
        <v>2281221.1800000002</v>
      </c>
      <c r="BF85" s="25">
        <f t="shared" si="18"/>
        <v>1389803.6400000001</v>
      </c>
      <c r="BG85" s="25">
        <f t="shared" si="18"/>
        <v>0</v>
      </c>
      <c r="BH85" s="25">
        <f t="shared" si="18"/>
        <v>3353958.93</v>
      </c>
      <c r="BI85" s="25">
        <f t="shared" si="18"/>
        <v>613400.26</v>
      </c>
      <c r="BJ85" s="25">
        <f t="shared" si="18"/>
        <v>607836.81999999995</v>
      </c>
      <c r="BK85" s="25">
        <f t="shared" si="18"/>
        <v>6771062.379999999</v>
      </c>
      <c r="BL85" s="25">
        <f t="shared" si="18"/>
        <v>1191893.58</v>
      </c>
      <c r="BM85" s="25">
        <f t="shared" si="18"/>
        <v>1110597.96</v>
      </c>
      <c r="BN85" s="25">
        <f t="shared" si="18"/>
        <v>2016123.46</v>
      </c>
      <c r="BO85" s="25">
        <f t="shared" ref="BO85:CD85" si="19">SUM(BO61:BO69)-BO84</f>
        <v>285311.39</v>
      </c>
      <c r="BP85" s="25">
        <f t="shared" si="19"/>
        <v>1165273.4699999997</v>
      </c>
      <c r="BQ85" s="25">
        <f t="shared" si="19"/>
        <v>0</v>
      </c>
      <c r="BR85" s="25">
        <f t="shared" si="19"/>
        <v>105164.51999999986</v>
      </c>
      <c r="BS85" s="25">
        <f t="shared" si="19"/>
        <v>166049.79999999999</v>
      </c>
      <c r="BT85" s="25">
        <f t="shared" si="19"/>
        <v>0</v>
      </c>
      <c r="BU85" s="25">
        <f t="shared" si="19"/>
        <v>0</v>
      </c>
      <c r="BV85" s="25">
        <f t="shared" si="19"/>
        <v>532756.93000000005</v>
      </c>
      <c r="BW85" s="25">
        <f t="shared" si="19"/>
        <v>837043.79</v>
      </c>
      <c r="BX85" s="25">
        <f t="shared" si="19"/>
        <v>551652.62</v>
      </c>
      <c r="BY85" s="25">
        <f t="shared" si="19"/>
        <v>1329208.53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1203924.6599999999</v>
      </c>
      <c r="CD85" s="25">
        <f t="shared" si="19"/>
        <v>-1029894</v>
      </c>
      <c r="CE85" s="25">
        <f t="shared" si="16"/>
        <v>120932892.74000001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2597777</v>
      </c>
    </row>
    <row r="87" spans="1:84" x14ac:dyDescent="0.25">
      <c r="A87" s="31" t="s">
        <v>286</v>
      </c>
      <c r="B87" s="16"/>
      <c r="C87" s="273">
        <v>1404576</v>
      </c>
      <c r="D87" s="273"/>
      <c r="E87" s="273">
        <f>2944513+513436+609+3398</f>
        <v>3461956</v>
      </c>
      <c r="F87" s="273"/>
      <c r="G87" s="273"/>
      <c r="H87" s="273"/>
      <c r="I87" s="273"/>
      <c r="J87" s="273">
        <v>742939</v>
      </c>
      <c r="K87" s="273"/>
      <c r="L87" s="273"/>
      <c r="M87" s="273"/>
      <c r="N87" s="273"/>
      <c r="O87" s="273">
        <v>3077933</v>
      </c>
      <c r="P87" s="273">
        <f>3248202+14189</f>
        <v>3262391</v>
      </c>
      <c r="Q87" s="273">
        <v>266192</v>
      </c>
      <c r="R87" s="273">
        <v>2088908</v>
      </c>
      <c r="S87" s="273">
        <v>1878200</v>
      </c>
      <c r="T87" s="273"/>
      <c r="U87" s="273">
        <f>1561077+160948</f>
        <v>1722025</v>
      </c>
      <c r="V87" s="273">
        <v>58170</v>
      </c>
      <c r="W87" s="273">
        <v>109199</v>
      </c>
      <c r="X87" s="273">
        <v>657849</v>
      </c>
      <c r="Y87" s="273">
        <f>213072+390686</f>
        <v>603758</v>
      </c>
      <c r="Z87" s="273"/>
      <c r="AA87" s="273">
        <v>33822</v>
      </c>
      <c r="AB87" s="273">
        <v>3043009</v>
      </c>
      <c r="AC87" s="273">
        <f>1955363</f>
        <v>1955363</v>
      </c>
      <c r="AD87" s="273"/>
      <c r="AE87" s="273">
        <f>323842</f>
        <v>323842</v>
      </c>
      <c r="AF87" s="273"/>
      <c r="AG87" s="273">
        <f>612781+163682</f>
        <v>776463</v>
      </c>
      <c r="AH87" s="273"/>
      <c r="AI87" s="273"/>
      <c r="AJ87" s="273"/>
      <c r="AK87" s="273"/>
      <c r="AL87" s="273"/>
      <c r="AM87" s="273"/>
      <c r="AN87" s="273"/>
      <c r="AO87" s="273"/>
      <c r="AP87" s="273">
        <f>38478+37578+10939+228205+490814+19856+307922+232115+180+128057</f>
        <v>1494144</v>
      </c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26960739</v>
      </c>
    </row>
    <row r="88" spans="1:84" x14ac:dyDescent="0.25">
      <c r="A88" s="31" t="s">
        <v>287</v>
      </c>
      <c r="B88" s="16"/>
      <c r="C88" s="273">
        <v>445750</v>
      </c>
      <c r="D88" s="273"/>
      <c r="E88" s="273">
        <f>3308387+353466+448590+137421</f>
        <v>4247864</v>
      </c>
      <c r="F88" s="273"/>
      <c r="G88" s="273"/>
      <c r="H88" s="273"/>
      <c r="I88" s="273"/>
      <c r="J88" s="273">
        <v>10279</v>
      </c>
      <c r="K88" s="273"/>
      <c r="L88" s="273"/>
      <c r="M88" s="273"/>
      <c r="N88" s="273"/>
      <c r="O88" s="273">
        <v>633538</v>
      </c>
      <c r="P88" s="273">
        <f>21874412+6500950</f>
        <v>28375362</v>
      </c>
      <c r="Q88" s="273">
        <v>1835126</v>
      </c>
      <c r="R88" s="273">
        <v>11618339</v>
      </c>
      <c r="S88" s="273">
        <v>21373513</v>
      </c>
      <c r="T88" s="273"/>
      <c r="U88" s="273">
        <f>16867172+318860</f>
        <v>17186032</v>
      </c>
      <c r="V88" s="273">
        <v>1042889</v>
      </c>
      <c r="W88" s="273">
        <v>12688645</v>
      </c>
      <c r="X88" s="273">
        <v>16105764</v>
      </c>
      <c r="Y88" s="273">
        <f>7406217+1884279+7551034</f>
        <v>16841530</v>
      </c>
      <c r="Z88" s="273"/>
      <c r="AA88" s="273">
        <v>4234533</v>
      </c>
      <c r="AB88" s="273">
        <v>20953946</v>
      </c>
      <c r="AC88" s="273">
        <f>1425852+1299652+396930</f>
        <v>3122434</v>
      </c>
      <c r="AD88" s="273"/>
      <c r="AE88" s="273">
        <f>1092749+6805087+388377+523925</f>
        <v>8810138</v>
      </c>
      <c r="AF88" s="273"/>
      <c r="AG88" s="273">
        <f>27664988+8538112+56019</f>
        <v>36259119</v>
      </c>
      <c r="AH88" s="273"/>
      <c r="AI88" s="273"/>
      <c r="AJ88" s="273">
        <v>174282</v>
      </c>
      <c r="AK88" s="273"/>
      <c r="AL88" s="273"/>
      <c r="AM88" s="273"/>
      <c r="AN88" s="273"/>
      <c r="AO88" s="273"/>
      <c r="AP88" s="273">
        <f>1376458+700977+1607431+1583729+3390068+5493919+351525+1025538+8937113+2677060+1036333+3708621+688621+273000+1970433</f>
        <v>34820826</v>
      </c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240779909</v>
      </c>
    </row>
    <row r="89" spans="1:84" x14ac:dyDescent="0.25">
      <c r="A89" s="21" t="s">
        <v>288</v>
      </c>
      <c r="B89" s="16"/>
      <c r="C89" s="25">
        <f t="shared" ref="C89:AV89" si="21">C87+C88</f>
        <v>1850326</v>
      </c>
      <c r="D89" s="25">
        <f t="shared" si="21"/>
        <v>0</v>
      </c>
      <c r="E89" s="25">
        <f t="shared" si="21"/>
        <v>7709820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753218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3711471</v>
      </c>
      <c r="P89" s="25">
        <f t="shared" si="21"/>
        <v>31637753</v>
      </c>
      <c r="Q89" s="25">
        <f t="shared" si="21"/>
        <v>2101318</v>
      </c>
      <c r="R89" s="25">
        <f t="shared" si="21"/>
        <v>13707247</v>
      </c>
      <c r="S89" s="25">
        <f t="shared" si="21"/>
        <v>23251713</v>
      </c>
      <c r="T89" s="25">
        <f t="shared" si="21"/>
        <v>0</v>
      </c>
      <c r="U89" s="25">
        <f t="shared" si="21"/>
        <v>18908057</v>
      </c>
      <c r="V89" s="25">
        <f t="shared" si="21"/>
        <v>1101059</v>
      </c>
      <c r="W89" s="25">
        <f t="shared" si="21"/>
        <v>12797844</v>
      </c>
      <c r="X89" s="25">
        <f t="shared" si="21"/>
        <v>16763613</v>
      </c>
      <c r="Y89" s="25">
        <f t="shared" si="21"/>
        <v>17445288</v>
      </c>
      <c r="Z89" s="25">
        <f t="shared" si="21"/>
        <v>0</v>
      </c>
      <c r="AA89" s="25">
        <f t="shared" si="21"/>
        <v>4268355</v>
      </c>
      <c r="AB89" s="25">
        <f t="shared" si="21"/>
        <v>23996955</v>
      </c>
      <c r="AC89" s="25">
        <f t="shared" si="21"/>
        <v>5077797</v>
      </c>
      <c r="AD89" s="25">
        <f t="shared" si="21"/>
        <v>0</v>
      </c>
      <c r="AE89" s="25">
        <f t="shared" si="21"/>
        <v>9133980</v>
      </c>
      <c r="AF89" s="25">
        <f t="shared" si="21"/>
        <v>0</v>
      </c>
      <c r="AG89" s="25">
        <f t="shared" si="21"/>
        <v>37035582</v>
      </c>
      <c r="AH89" s="25">
        <f t="shared" si="21"/>
        <v>0</v>
      </c>
      <c r="AI89" s="25">
        <f t="shared" si="21"/>
        <v>0</v>
      </c>
      <c r="AJ89" s="25">
        <f t="shared" si="21"/>
        <v>174282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36314970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267740648</v>
      </c>
    </row>
    <row r="90" spans="1:84" x14ac:dyDescent="0.25">
      <c r="A90" s="31" t="s">
        <v>289</v>
      </c>
      <c r="B90" s="25"/>
      <c r="C90" s="273">
        <v>4094</v>
      </c>
      <c r="D90" s="273"/>
      <c r="E90" s="273">
        <v>6862</v>
      </c>
      <c r="F90" s="273"/>
      <c r="G90" s="273"/>
      <c r="H90" s="273"/>
      <c r="I90" s="273"/>
      <c r="J90" s="273"/>
      <c r="K90" s="273"/>
      <c r="L90" s="273"/>
      <c r="M90" s="273"/>
      <c r="N90" s="273"/>
      <c r="O90" s="273">
        <v>8195</v>
      </c>
      <c r="P90" s="273">
        <f>11758+4068</f>
        <v>15826</v>
      </c>
      <c r="Q90" s="273"/>
      <c r="R90" s="273"/>
      <c r="S90" s="273">
        <v>1364</v>
      </c>
      <c r="T90" s="273"/>
      <c r="U90" s="273">
        <v>2053</v>
      </c>
      <c r="V90" s="273">
        <v>390</v>
      </c>
      <c r="W90" s="273">
        <v>634</v>
      </c>
      <c r="X90" s="273">
        <v>522</v>
      </c>
      <c r="Y90" s="273">
        <f>4534+400</f>
        <v>4934</v>
      </c>
      <c r="Z90" s="273"/>
      <c r="AA90" s="273">
        <f>305+39</f>
        <v>344</v>
      </c>
      <c r="AB90" s="273">
        <v>980</v>
      </c>
      <c r="AC90" s="273">
        <f>1301</f>
        <v>1301</v>
      </c>
      <c r="AD90" s="273"/>
      <c r="AE90" s="273">
        <f>13708+300</f>
        <v>14008</v>
      </c>
      <c r="AF90" s="273"/>
      <c r="AG90" s="273">
        <v>5981</v>
      </c>
      <c r="AH90" s="273"/>
      <c r="AI90" s="273"/>
      <c r="AJ90" s="273"/>
      <c r="AK90" s="273"/>
      <c r="AL90" s="273"/>
      <c r="AM90" s="273"/>
      <c r="AN90" s="273"/>
      <c r="AO90" s="273"/>
      <c r="AP90" s="273">
        <f>5260+2803+2874+7764</f>
        <v>18701</v>
      </c>
      <c r="AQ90" s="273"/>
      <c r="AR90" s="273"/>
      <c r="AS90" s="273"/>
      <c r="AT90" s="273"/>
      <c r="AU90" s="273"/>
      <c r="AV90" s="273">
        <f>326+150</f>
        <v>476</v>
      </c>
      <c r="AW90" s="273"/>
      <c r="AX90" s="273"/>
      <c r="AY90" s="273">
        <v>211</v>
      </c>
      <c r="AZ90" s="273">
        <f>4556-211</f>
        <v>4345</v>
      </c>
      <c r="BA90" s="273">
        <v>1290</v>
      </c>
      <c r="BB90" s="273">
        <f>422-150</f>
        <v>272</v>
      </c>
      <c r="BC90" s="273"/>
      <c r="BD90" s="273">
        <f>194+2659</f>
        <v>2853</v>
      </c>
      <c r="BE90" s="273">
        <v>10898</v>
      </c>
      <c r="BF90" s="273">
        <v>4446</v>
      </c>
      <c r="BG90" s="273"/>
      <c r="BH90" s="273">
        <f>94+79+498+639</f>
        <v>1310</v>
      </c>
      <c r="BI90" s="273"/>
      <c r="BJ90" s="273"/>
      <c r="BK90" s="273"/>
      <c r="BL90" s="273">
        <f>167+865</f>
        <v>1032</v>
      </c>
      <c r="BM90" s="273"/>
      <c r="BN90" s="273">
        <f>1839</f>
        <v>1839</v>
      </c>
      <c r="BO90" s="273"/>
      <c r="BP90" s="273"/>
      <c r="BQ90" s="273"/>
      <c r="BR90" s="273"/>
      <c r="BS90" s="273">
        <f>347+150</f>
        <v>497</v>
      </c>
      <c r="BT90" s="273"/>
      <c r="BU90" s="273"/>
      <c r="BV90" s="273"/>
      <c r="BW90" s="273">
        <f>113+122</f>
        <v>235</v>
      </c>
      <c r="BX90" s="273">
        <v>150</v>
      </c>
      <c r="BY90" s="273">
        <v>135</v>
      </c>
      <c r="BZ90" s="273"/>
      <c r="CA90" s="273"/>
      <c r="CB90" s="273"/>
      <c r="CC90" s="273">
        <f>127457-116178</f>
        <v>11279</v>
      </c>
      <c r="CD90" s="224" t="s">
        <v>247</v>
      </c>
      <c r="CE90" s="25">
        <f t="shared" si="20"/>
        <v>127457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f>2008+1446</f>
        <v>3454</v>
      </c>
      <c r="D91" s="273"/>
      <c r="E91" s="273">
        <f>1753+6674</f>
        <v>8427</v>
      </c>
      <c r="F91" s="273"/>
      <c r="G91" s="273"/>
      <c r="H91" s="273"/>
      <c r="I91" s="273"/>
      <c r="J91" s="273"/>
      <c r="K91" s="273"/>
      <c r="L91" s="273"/>
      <c r="M91" s="273"/>
      <c r="N91" s="273"/>
      <c r="O91" s="273">
        <f>1697+2325</f>
        <v>4022</v>
      </c>
      <c r="P91" s="273">
        <f>635+1717</f>
        <v>2352</v>
      </c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>
        <f>1767+366</f>
        <v>2133</v>
      </c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115948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136336</v>
      </c>
      <c r="CF91" s="25">
        <f>AY59-CE91</f>
        <v>-115948</v>
      </c>
    </row>
    <row r="92" spans="1:84" x14ac:dyDescent="0.25">
      <c r="A92" s="21" t="s">
        <v>291</v>
      </c>
      <c r="B92" s="16"/>
      <c r="C92" s="273">
        <v>853</v>
      </c>
      <c r="D92" s="273"/>
      <c r="E92" s="273">
        <v>3412</v>
      </c>
      <c r="F92" s="273"/>
      <c r="G92" s="273"/>
      <c r="H92" s="273"/>
      <c r="I92" s="273"/>
      <c r="J92" s="273"/>
      <c r="K92" s="273"/>
      <c r="L92" s="273"/>
      <c r="M92" s="273"/>
      <c r="N92" s="273"/>
      <c r="O92" s="273">
        <v>2559</v>
      </c>
      <c r="P92" s="273">
        <v>2559</v>
      </c>
      <c r="Q92" s="273"/>
      <c r="R92" s="273"/>
      <c r="S92" s="273">
        <v>71</v>
      </c>
      <c r="T92" s="273"/>
      <c r="U92" s="273">
        <v>853</v>
      </c>
      <c r="V92" s="273">
        <v>72</v>
      </c>
      <c r="W92" s="273">
        <v>142</v>
      </c>
      <c r="X92" s="273">
        <v>122</v>
      </c>
      <c r="Y92" s="273">
        <v>1422</v>
      </c>
      <c r="Z92" s="273"/>
      <c r="AA92" s="273">
        <v>72</v>
      </c>
      <c r="AB92" s="273">
        <v>184</v>
      </c>
      <c r="AC92" s="273">
        <v>355</v>
      </c>
      <c r="AD92" s="273"/>
      <c r="AE92" s="273">
        <v>2559</v>
      </c>
      <c r="AF92" s="273"/>
      <c r="AG92" s="273">
        <v>2559</v>
      </c>
      <c r="AH92" s="273"/>
      <c r="AI92" s="273"/>
      <c r="AJ92" s="273">
        <v>333</v>
      </c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>
        <v>142</v>
      </c>
      <c r="BB92" s="273">
        <v>35</v>
      </c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142</v>
      </c>
      <c r="BI92" s="273"/>
      <c r="BJ92" s="24" t="s">
        <v>247</v>
      </c>
      <c r="BK92" s="273">
        <v>475</v>
      </c>
      <c r="BL92" s="273">
        <v>203</v>
      </c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>
        <v>317</v>
      </c>
      <c r="BW92" s="273"/>
      <c r="BX92" s="273">
        <v>35</v>
      </c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19476</v>
      </c>
      <c r="CF92" s="16"/>
    </row>
    <row r="93" spans="1:84" x14ac:dyDescent="0.25">
      <c r="A93" s="21" t="s">
        <v>292</v>
      </c>
      <c r="B93" s="16"/>
      <c r="C93" s="273">
        <v>25942</v>
      </c>
      <c r="D93" s="273"/>
      <c r="E93" s="273">
        <v>77827</v>
      </c>
      <c r="F93" s="273"/>
      <c r="G93" s="273"/>
      <c r="H93" s="273"/>
      <c r="I93" s="273"/>
      <c r="J93" s="273">
        <v>30266</v>
      </c>
      <c r="K93" s="273"/>
      <c r="L93" s="273"/>
      <c r="M93" s="273"/>
      <c r="N93" s="273"/>
      <c r="O93" s="273">
        <v>60532</v>
      </c>
      <c r="P93" s="273">
        <v>77827</v>
      </c>
      <c r="Q93" s="273"/>
      <c r="R93" s="273"/>
      <c r="S93" s="273"/>
      <c r="T93" s="273"/>
      <c r="U93" s="273">
        <v>12971</v>
      </c>
      <c r="V93" s="273"/>
      <c r="W93" s="273"/>
      <c r="X93" s="273"/>
      <c r="Y93" s="273">
        <v>17295</v>
      </c>
      <c r="Z93" s="273"/>
      <c r="AA93" s="273"/>
      <c r="AB93" s="273"/>
      <c r="AC93" s="273">
        <v>21619</v>
      </c>
      <c r="AD93" s="273"/>
      <c r="AE93" s="273">
        <v>52021</v>
      </c>
      <c r="AF93" s="273"/>
      <c r="AG93" s="273">
        <v>77827</v>
      </c>
      <c r="AH93" s="273"/>
      <c r="AI93" s="273"/>
      <c r="AJ93" s="273"/>
      <c r="AK93" s="273"/>
      <c r="AL93" s="273"/>
      <c r="AM93" s="273"/>
      <c r="AN93" s="273"/>
      <c r="AO93" s="273"/>
      <c r="AP93" s="273">
        <v>22473</v>
      </c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476600</v>
      </c>
      <c r="CF93" s="25">
        <f>BA59</f>
        <v>0</v>
      </c>
    </row>
    <row r="94" spans="1:84" x14ac:dyDescent="0.25">
      <c r="A94" s="21" t="s">
        <v>293</v>
      </c>
      <c r="B94" s="16"/>
      <c r="C94" s="277">
        <v>8.6199999999999992</v>
      </c>
      <c r="D94" s="277"/>
      <c r="E94" s="277">
        <v>12.53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>
        <v>14.97</v>
      </c>
      <c r="P94" s="274">
        <f>9.87+19.67</f>
        <v>29.54</v>
      </c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>
        <f>14.65</f>
        <v>14.65</v>
      </c>
      <c r="AH94" s="274"/>
      <c r="AI94" s="274"/>
      <c r="AJ94" s="274">
        <f>0.39+3.13+4.94+4.74+0.37+0.75+0.54+0.81</f>
        <v>15.67</v>
      </c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95.98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99163</v>
      </c>
      <c r="D102" s="284" t="s">
        <v>297</v>
      </c>
      <c r="E102" s="285" t="s">
        <v>297</v>
      </c>
      <c r="F102" s="12"/>
    </row>
    <row r="103" spans="1:6" x14ac:dyDescent="0.25">
      <c r="A103" s="25" t="s">
        <v>311</v>
      </c>
      <c r="B103" s="32" t="s">
        <v>299</v>
      </c>
      <c r="C103" s="287" t="s">
        <v>310</v>
      </c>
      <c r="D103" s="284" t="s">
        <v>297</v>
      </c>
      <c r="E103" s="285" t="s">
        <v>297</v>
      </c>
      <c r="F103" s="12"/>
    </row>
    <row r="104" spans="1:6" x14ac:dyDescent="0.25">
      <c r="A104" s="25" t="s">
        <v>313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314</v>
      </c>
      <c r="B105" s="32" t="s">
        <v>299</v>
      </c>
      <c r="C105" s="290" t="s">
        <v>1371</v>
      </c>
      <c r="D105" s="284" t="s">
        <v>297</v>
      </c>
      <c r="E105" s="285" t="s">
        <v>297</v>
      </c>
      <c r="F105" s="12"/>
    </row>
    <row r="106" spans="1:6" x14ac:dyDescent="0.25">
      <c r="A106" s="25" t="s">
        <v>315</v>
      </c>
      <c r="B106" s="32" t="s">
        <v>299</v>
      </c>
      <c r="C106" s="287" t="s">
        <v>1369</v>
      </c>
      <c r="D106" s="284" t="s">
        <v>297</v>
      </c>
      <c r="E106" s="285" t="s">
        <v>297</v>
      </c>
      <c r="F106" s="12"/>
    </row>
    <row r="107" spans="1:6" x14ac:dyDescent="0.25">
      <c r="A107" s="25" t="s">
        <v>316</v>
      </c>
      <c r="B107" s="32" t="s">
        <v>299</v>
      </c>
      <c r="C107" s="291" t="s">
        <v>317</v>
      </c>
      <c r="D107" s="284" t="s">
        <v>297</v>
      </c>
      <c r="E107" s="285" t="s">
        <v>297</v>
      </c>
      <c r="F107" s="12"/>
    </row>
    <row r="108" spans="1:6" x14ac:dyDescent="0.25">
      <c r="A108" s="25" t="s">
        <v>318</v>
      </c>
      <c r="B108" s="32" t="s">
        <v>299</v>
      </c>
      <c r="C108" s="291" t="s">
        <v>319</v>
      </c>
      <c r="D108" s="284" t="s">
        <v>297</v>
      </c>
      <c r="E108" s="285" t="s">
        <v>297</v>
      </c>
      <c r="F108" s="12"/>
    </row>
    <row r="109" spans="1:6" x14ac:dyDescent="0.25">
      <c r="A109" s="33" t="s">
        <v>320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321</v>
      </c>
      <c r="B110" s="32" t="s">
        <v>299</v>
      </c>
      <c r="C110" s="287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322</v>
      </c>
      <c r="B111" s="30"/>
      <c r="C111" s="30"/>
      <c r="D111" s="30"/>
      <c r="E111" s="30"/>
    </row>
    <row r="112" spans="1:6" x14ac:dyDescent="0.25">
      <c r="A112" s="34" t="s">
        <v>323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311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324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325</v>
      </c>
      <c r="B116" s="34"/>
      <c r="C116" s="34"/>
      <c r="D116" s="34"/>
      <c r="E116" s="34"/>
    </row>
    <row r="117" spans="1:5" x14ac:dyDescent="0.25">
      <c r="A117" s="16" t="s">
        <v>326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327</v>
      </c>
      <c r="B119" s="34"/>
      <c r="C119" s="34"/>
      <c r="D119" s="34"/>
      <c r="E119" s="34"/>
    </row>
    <row r="120" spans="1:5" x14ac:dyDescent="0.25">
      <c r="A120" s="16" t="s">
        <v>328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329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330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331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332</v>
      </c>
      <c r="B126" s="16"/>
      <c r="C126" s="17" t="s">
        <v>333</v>
      </c>
      <c r="D126" s="18" t="s">
        <v>241</v>
      </c>
      <c r="E126" s="16"/>
    </row>
    <row r="127" spans="1:5" x14ac:dyDescent="0.25">
      <c r="A127" s="16" t="s">
        <v>334</v>
      </c>
      <c r="B127" s="35" t="s">
        <v>299</v>
      </c>
      <c r="C127" s="294">
        <v>1444</v>
      </c>
      <c r="D127" s="295">
        <v>2900</v>
      </c>
      <c r="E127" s="16"/>
    </row>
    <row r="128" spans="1:5" x14ac:dyDescent="0.25">
      <c r="A128" s="16" t="s">
        <v>335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336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337</v>
      </c>
      <c r="B130" s="35" t="s">
        <v>299</v>
      </c>
      <c r="C130" s="292">
        <v>383</v>
      </c>
      <c r="D130" s="295">
        <v>735</v>
      </c>
      <c r="E130" s="16"/>
    </row>
    <row r="131" spans="1:5" x14ac:dyDescent="0.25">
      <c r="A131" s="21" t="s">
        <v>338</v>
      </c>
      <c r="B131" s="16"/>
      <c r="C131" s="17" t="s">
        <v>193</v>
      </c>
      <c r="D131" s="16"/>
      <c r="E131" s="16"/>
    </row>
    <row r="132" spans="1:5" x14ac:dyDescent="0.25">
      <c r="A132" s="16" t="s">
        <v>339</v>
      </c>
      <c r="B132" s="35" t="s">
        <v>299</v>
      </c>
      <c r="C132" s="292">
        <v>2</v>
      </c>
      <c r="D132" s="16"/>
      <c r="E132" s="16"/>
    </row>
    <row r="133" spans="1:5" x14ac:dyDescent="0.25">
      <c r="A133" s="16" t="s">
        <v>340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341</v>
      </c>
      <c r="B134" s="35" t="s">
        <v>299</v>
      </c>
      <c r="C134" s="296">
        <v>13</v>
      </c>
      <c r="D134" s="16"/>
      <c r="E134" s="16"/>
    </row>
    <row r="135" spans="1:5" x14ac:dyDescent="0.25">
      <c r="A135" s="16" t="s">
        <v>342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343</v>
      </c>
      <c r="B136" s="35" t="s">
        <v>299</v>
      </c>
      <c r="C136" s="292">
        <v>8</v>
      </c>
      <c r="D136" s="16"/>
      <c r="E136" s="16"/>
    </row>
    <row r="137" spans="1:5" x14ac:dyDescent="0.25">
      <c r="A137" s="16" t="s">
        <v>344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345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346</v>
      </c>
      <c r="B140" s="35"/>
      <c r="C140" s="292">
        <v>2</v>
      </c>
      <c r="D140" s="16"/>
      <c r="E140" s="16"/>
    </row>
    <row r="141" spans="1:5" x14ac:dyDescent="0.25">
      <c r="A141" s="16" t="s">
        <v>336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347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348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349</v>
      </c>
      <c r="B144" s="35" t="s">
        <v>299</v>
      </c>
      <c r="C144" s="294">
        <v>42</v>
      </c>
      <c r="D144" s="16"/>
      <c r="E144" s="16"/>
    </row>
    <row r="145" spans="1:6" x14ac:dyDescent="0.25">
      <c r="A145" s="16" t="s">
        <v>350</v>
      </c>
      <c r="B145" s="35" t="s">
        <v>299</v>
      </c>
      <c r="C145" s="292">
        <v>8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351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352</v>
      </c>
      <c r="B152" s="37"/>
      <c r="C152" s="37"/>
      <c r="D152" s="37"/>
      <c r="E152" s="37"/>
    </row>
    <row r="153" spans="1:6" x14ac:dyDescent="0.25">
      <c r="A153" s="38" t="s">
        <v>353</v>
      </c>
      <c r="B153" s="39" t="s">
        <v>354</v>
      </c>
      <c r="C153" s="40" t="s">
        <v>355</v>
      </c>
      <c r="D153" s="39" t="s">
        <v>158</v>
      </c>
      <c r="E153" s="39" t="s">
        <v>229</v>
      </c>
    </row>
    <row r="154" spans="1:6" x14ac:dyDescent="0.25">
      <c r="A154" s="16" t="s">
        <v>333</v>
      </c>
      <c r="B154" s="295">
        <v>564</v>
      </c>
      <c r="C154" s="295">
        <v>234</v>
      </c>
      <c r="D154" s="295">
        <f>1444-798</f>
        <v>646</v>
      </c>
      <c r="E154" s="25">
        <f>SUM(B154:D154)</f>
        <v>1444</v>
      </c>
    </row>
    <row r="155" spans="1:6" x14ac:dyDescent="0.25">
      <c r="A155" s="16" t="s">
        <v>241</v>
      </c>
      <c r="B155" s="295">
        <f>1273</f>
        <v>1273</v>
      </c>
      <c r="C155" s="295">
        <v>509</v>
      </c>
      <c r="D155" s="295">
        <f>2900-1782</f>
        <v>1118</v>
      </c>
      <c r="E155" s="25">
        <f>SUM(B155:D155)</f>
        <v>2900</v>
      </c>
    </row>
    <row r="156" spans="1:6" x14ac:dyDescent="0.25">
      <c r="A156" s="16" t="s">
        <v>356</v>
      </c>
      <c r="B156" s="295">
        <v>57691</v>
      </c>
      <c r="C156" s="295">
        <v>22197</v>
      </c>
      <c r="D156" s="295">
        <v>80873</v>
      </c>
      <c r="E156" s="25">
        <f>SUM(B156:D156)</f>
        <v>160761</v>
      </c>
    </row>
    <row r="157" spans="1:6" x14ac:dyDescent="0.25">
      <c r="A157" s="16" t="s">
        <v>286</v>
      </c>
      <c r="B157" s="295">
        <v>11242784</v>
      </c>
      <c r="C157" s="295">
        <v>4433380</v>
      </c>
      <c r="D157" s="295">
        <f>26960739-15676164</f>
        <v>11284575</v>
      </c>
      <c r="E157" s="25">
        <f>SUM(B157:D157)</f>
        <v>26960739</v>
      </c>
      <c r="F157" s="14"/>
    </row>
    <row r="158" spans="1:6" x14ac:dyDescent="0.25">
      <c r="A158" s="16" t="s">
        <v>287</v>
      </c>
      <c r="B158" s="295">
        <v>86406321</v>
      </c>
      <c r="C158" s="295">
        <v>33244892</v>
      </c>
      <c r="D158" s="295">
        <f>240779909-119651213</f>
        <v>121128696</v>
      </c>
      <c r="E158" s="25">
        <f>SUM(B158:D158)</f>
        <v>240779909</v>
      </c>
      <c r="F158" s="14"/>
    </row>
    <row r="159" spans="1:6" x14ac:dyDescent="0.25">
      <c r="A159" s="38" t="s">
        <v>357</v>
      </c>
      <c r="B159" s="39" t="s">
        <v>354</v>
      </c>
      <c r="C159" s="40" t="s">
        <v>355</v>
      </c>
      <c r="D159" s="39" t="s">
        <v>158</v>
      </c>
      <c r="E159" s="39" t="s">
        <v>229</v>
      </c>
    </row>
    <row r="160" spans="1:6" x14ac:dyDescent="0.25">
      <c r="A160" s="16" t="s">
        <v>333</v>
      </c>
      <c r="B160" s="272">
        <v>0</v>
      </c>
      <c r="C160" s="272">
        <v>0</v>
      </c>
      <c r="D160" s="272">
        <v>0</v>
      </c>
      <c r="E160" s="25">
        <f>SUM(B160:D160)</f>
        <v>0</v>
      </c>
    </row>
    <row r="161" spans="1:5" x14ac:dyDescent="0.25">
      <c r="A161" s="16" t="s">
        <v>241</v>
      </c>
      <c r="B161" s="272">
        <v>0</v>
      </c>
      <c r="C161" s="272">
        <v>0</v>
      </c>
      <c r="D161" s="272">
        <v>0</v>
      </c>
      <c r="E161" s="25">
        <f>SUM(B161:D161)</f>
        <v>0</v>
      </c>
    </row>
    <row r="162" spans="1:5" x14ac:dyDescent="0.25">
      <c r="A162" s="16" t="s">
        <v>356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286</v>
      </c>
      <c r="B163" s="272">
        <v>0</v>
      </c>
      <c r="C163" s="272">
        <v>0</v>
      </c>
      <c r="D163" s="272">
        <v>0</v>
      </c>
      <c r="E163" s="25">
        <f>SUM(B163:D163)</f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358</v>
      </c>
      <c r="B165" s="39" t="s">
        <v>354</v>
      </c>
      <c r="C165" s="40" t="s">
        <v>355</v>
      </c>
      <c r="D165" s="39" t="s">
        <v>158</v>
      </c>
      <c r="E165" s="39" t="s">
        <v>229</v>
      </c>
    </row>
    <row r="166" spans="1:5" x14ac:dyDescent="0.25">
      <c r="A166" s="16" t="s">
        <v>333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356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359</v>
      </c>
      <c r="B172" s="39" t="s">
        <v>360</v>
      </c>
      <c r="C172" s="40" t="s">
        <v>361</v>
      </c>
      <c r="D172" s="16"/>
      <c r="E172" s="16"/>
    </row>
    <row r="173" spans="1:5" x14ac:dyDescent="0.25">
      <c r="A173" s="20" t="s">
        <v>362</v>
      </c>
      <c r="B173" s="272">
        <f>163682+513436+8538112+353466</f>
        <v>9568696</v>
      </c>
      <c r="C173" s="272">
        <f>4268900+2144802</f>
        <v>6413702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363</v>
      </c>
      <c r="B179" s="30"/>
      <c r="C179" s="30"/>
      <c r="D179" s="30"/>
      <c r="E179" s="30"/>
    </row>
    <row r="180" spans="1:5" x14ac:dyDescent="0.25">
      <c r="A180" s="34" t="s">
        <v>364</v>
      </c>
      <c r="B180" s="34"/>
      <c r="C180" s="34"/>
      <c r="D180" s="34"/>
      <c r="E180" s="34"/>
    </row>
    <row r="181" spans="1:5" x14ac:dyDescent="0.25">
      <c r="A181" s="16" t="s">
        <v>365</v>
      </c>
      <c r="B181" s="35" t="s">
        <v>299</v>
      </c>
      <c r="C181" s="292">
        <f>3776556-34345</f>
        <v>3742211</v>
      </c>
      <c r="D181" s="16"/>
      <c r="E181" s="16"/>
    </row>
    <row r="182" spans="1:5" x14ac:dyDescent="0.25">
      <c r="A182" s="16" t="s">
        <v>366</v>
      </c>
      <c r="B182" s="35" t="s">
        <v>299</v>
      </c>
      <c r="C182" s="292">
        <v>12034</v>
      </c>
      <c r="D182" s="16"/>
      <c r="E182" s="16"/>
    </row>
    <row r="183" spans="1:5" x14ac:dyDescent="0.25">
      <c r="A183" s="20" t="s">
        <v>367</v>
      </c>
      <c r="B183" s="35" t="s">
        <v>299</v>
      </c>
      <c r="C183" s="292">
        <v>416066</v>
      </c>
      <c r="D183" s="16"/>
      <c r="E183" s="16"/>
    </row>
    <row r="184" spans="1:5" x14ac:dyDescent="0.25">
      <c r="A184" s="16" t="s">
        <v>368</v>
      </c>
      <c r="B184" s="35" t="s">
        <v>299</v>
      </c>
      <c r="C184" s="292">
        <f>2865+424776+5819959+58900+332462</f>
        <v>6638962</v>
      </c>
      <c r="D184" s="16"/>
      <c r="E184" s="16"/>
    </row>
    <row r="185" spans="1:5" x14ac:dyDescent="0.25">
      <c r="A185" s="16" t="s">
        <v>369</v>
      </c>
      <c r="B185" s="35" t="s">
        <v>299</v>
      </c>
      <c r="C185" s="292">
        <v>18128</v>
      </c>
      <c r="D185" s="16"/>
      <c r="E185" s="16"/>
    </row>
    <row r="186" spans="1:5" x14ac:dyDescent="0.25">
      <c r="A186" s="16" t="s">
        <v>370</v>
      </c>
      <c r="B186" s="35" t="s">
        <v>299</v>
      </c>
      <c r="C186" s="292">
        <v>1294268</v>
      </c>
      <c r="D186" s="16"/>
      <c r="E186" s="16"/>
    </row>
    <row r="187" spans="1:5" x14ac:dyDescent="0.25">
      <c r="A187" s="16" t="s">
        <v>371</v>
      </c>
      <c r="B187" s="35" t="s">
        <v>299</v>
      </c>
      <c r="C187" s="292">
        <v>119346</v>
      </c>
      <c r="D187" s="16"/>
      <c r="E187" s="16"/>
    </row>
    <row r="188" spans="1:5" x14ac:dyDescent="0.25">
      <c r="A188" s="16" t="s">
        <v>371</v>
      </c>
      <c r="B188" s="35" t="s">
        <v>299</v>
      </c>
      <c r="C188" s="292">
        <f>15536688-12241015</f>
        <v>3295673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15536688</v>
      </c>
      <c r="E189" s="16"/>
    </row>
    <row r="190" spans="1:5" x14ac:dyDescent="0.25">
      <c r="A190" s="34" t="s">
        <v>372</v>
      </c>
      <c r="B190" s="34"/>
      <c r="C190" s="34"/>
      <c r="D190" s="34"/>
      <c r="E190" s="34"/>
    </row>
    <row r="191" spans="1:5" x14ac:dyDescent="0.25">
      <c r="A191" s="16" t="s">
        <v>373</v>
      </c>
      <c r="B191" s="35" t="s">
        <v>299</v>
      </c>
      <c r="C191" s="292">
        <f>914719-2993</f>
        <v>911726</v>
      </c>
      <c r="D191" s="16"/>
      <c r="E191" s="16"/>
    </row>
    <row r="192" spans="1:5" x14ac:dyDescent="0.25">
      <c r="A192" s="16" t="s">
        <v>374</v>
      </c>
      <c r="B192" s="35" t="s">
        <v>299</v>
      </c>
      <c r="C192" s="292">
        <v>576480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1488206</v>
      </c>
      <c r="E193" s="16"/>
    </row>
    <row r="194" spans="1:5" x14ac:dyDescent="0.25">
      <c r="A194" s="34" t="s">
        <v>375</v>
      </c>
      <c r="B194" s="34"/>
      <c r="C194" s="34"/>
      <c r="D194" s="34"/>
      <c r="E194" s="34"/>
    </row>
    <row r="195" spans="1:5" x14ac:dyDescent="0.25">
      <c r="A195" s="16" t="s">
        <v>376</v>
      </c>
      <c r="B195" s="35" t="s">
        <v>299</v>
      </c>
      <c r="C195" s="292">
        <f>439649</f>
        <v>439649</v>
      </c>
      <c r="D195" s="16"/>
      <c r="E195" s="16"/>
    </row>
    <row r="196" spans="1:5" x14ac:dyDescent="0.25">
      <c r="A196" s="16" t="s">
        <v>377</v>
      </c>
      <c r="B196" s="35" t="s">
        <v>299</v>
      </c>
      <c r="C196" s="292">
        <f>718001-439649</f>
        <v>278352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718001</v>
      </c>
      <c r="E197" s="16"/>
    </row>
    <row r="198" spans="1:5" x14ac:dyDescent="0.25">
      <c r="A198" s="34" t="s">
        <v>378</v>
      </c>
      <c r="B198" s="34"/>
      <c r="C198" s="34"/>
      <c r="D198" s="34"/>
      <c r="E198" s="34"/>
    </row>
    <row r="199" spans="1:5" x14ac:dyDescent="0.25">
      <c r="A199" s="16" t="s">
        <v>379</v>
      </c>
      <c r="B199" s="35" t="s">
        <v>299</v>
      </c>
      <c r="C199" s="292">
        <v>77392</v>
      </c>
      <c r="D199" s="16"/>
      <c r="E199" s="16"/>
    </row>
    <row r="200" spans="1:5" x14ac:dyDescent="0.25">
      <c r="A200" s="16" t="s">
        <v>380</v>
      </c>
      <c r="B200" s="35" t="s">
        <v>299</v>
      </c>
      <c r="C200" s="292">
        <f>872369+20448</f>
        <v>892817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970209</v>
      </c>
      <c r="E202" s="16"/>
    </row>
    <row r="203" spans="1:5" x14ac:dyDescent="0.25">
      <c r="A203" s="34" t="s">
        <v>381</v>
      </c>
      <c r="B203" s="34"/>
      <c r="C203" s="34"/>
      <c r="D203" s="34"/>
      <c r="E203" s="34"/>
    </row>
    <row r="204" spans="1:5" x14ac:dyDescent="0.25">
      <c r="A204" s="16" t="s">
        <v>382</v>
      </c>
      <c r="B204" s="35" t="s">
        <v>299</v>
      </c>
      <c r="C204" s="292">
        <f>2055486-78139</f>
        <v>1977347</v>
      </c>
      <c r="D204" s="16"/>
      <c r="E204" s="16"/>
    </row>
    <row r="205" spans="1:5" x14ac:dyDescent="0.25">
      <c r="A205" s="16" t="s">
        <v>383</v>
      </c>
      <c r="B205" s="35" t="s">
        <v>299</v>
      </c>
      <c r="C205" s="292">
        <f>71963+1399+4777</f>
        <v>78139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2055486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384</v>
      </c>
      <c r="B208" s="30"/>
      <c r="C208" s="30"/>
      <c r="D208" s="30"/>
      <c r="E208" s="30"/>
    </row>
    <row r="209" spans="1:5" x14ac:dyDescent="0.25">
      <c r="A209" s="37" t="s">
        <v>385</v>
      </c>
      <c r="B209" s="30"/>
      <c r="C209" s="30"/>
      <c r="D209" s="30"/>
      <c r="E209" s="30"/>
    </row>
    <row r="210" spans="1:5" x14ac:dyDescent="0.25">
      <c r="A210" s="21"/>
      <c r="B210" s="18" t="s">
        <v>386</v>
      </c>
      <c r="C210" s="17" t="s">
        <v>387</v>
      </c>
      <c r="D210" s="18" t="s">
        <v>388</v>
      </c>
      <c r="E210" s="18" t="s">
        <v>389</v>
      </c>
    </row>
    <row r="211" spans="1:5" x14ac:dyDescent="0.25">
      <c r="A211" s="16" t="s">
        <v>390</v>
      </c>
      <c r="B211" s="292">
        <v>1813305</v>
      </c>
      <c r="C211" s="292">
        <v>1512735</v>
      </c>
      <c r="D211" s="295"/>
      <c r="E211" s="25">
        <f t="shared" ref="E211:E219" si="22">SUM(B211:C211)-D211</f>
        <v>3326040</v>
      </c>
    </row>
    <row r="212" spans="1:5" x14ac:dyDescent="0.25">
      <c r="A212" s="16" t="s">
        <v>391</v>
      </c>
      <c r="B212" s="292">
        <v>2670216</v>
      </c>
      <c r="C212" s="292"/>
      <c r="D212" s="295">
        <v>60468</v>
      </c>
      <c r="E212" s="25">
        <f t="shared" si="22"/>
        <v>2609748</v>
      </c>
    </row>
    <row r="213" spans="1:5" x14ac:dyDescent="0.25">
      <c r="A213" s="16" t="s">
        <v>392</v>
      </c>
      <c r="B213" s="292">
        <v>21972490</v>
      </c>
      <c r="C213" s="292">
        <v>96746</v>
      </c>
      <c r="D213" s="295">
        <f>928854+445790</f>
        <v>1374644</v>
      </c>
      <c r="E213" s="25">
        <f t="shared" si="22"/>
        <v>20694592</v>
      </c>
    </row>
    <row r="214" spans="1:5" x14ac:dyDescent="0.25">
      <c r="A214" s="16" t="s">
        <v>393</v>
      </c>
      <c r="B214" s="292">
        <v>10168811</v>
      </c>
      <c r="C214" s="292">
        <v>194967</v>
      </c>
      <c r="D214" s="295">
        <v>404169</v>
      </c>
      <c r="E214" s="25">
        <f t="shared" si="22"/>
        <v>9959609</v>
      </c>
    </row>
    <row r="215" spans="1:5" x14ac:dyDescent="0.25">
      <c r="A215" s="16" t="s">
        <v>394</v>
      </c>
      <c r="B215" s="292">
        <v>524151</v>
      </c>
      <c r="C215" s="292">
        <v>51843</v>
      </c>
      <c r="D215" s="295"/>
      <c r="E215" s="25">
        <f t="shared" si="22"/>
        <v>575994</v>
      </c>
    </row>
    <row r="216" spans="1:5" x14ac:dyDescent="0.25">
      <c r="A216" s="16" t="s">
        <v>395</v>
      </c>
      <c r="B216" s="292">
        <v>26235716</v>
      </c>
      <c r="C216" s="292">
        <f>1387264+244461+906671</f>
        <v>2538396</v>
      </c>
      <c r="D216" s="295">
        <f>809396+172958+479022</f>
        <v>1461376</v>
      </c>
      <c r="E216" s="25">
        <f t="shared" si="22"/>
        <v>27312736</v>
      </c>
    </row>
    <row r="217" spans="1:5" x14ac:dyDescent="0.25">
      <c r="A217" s="16" t="s">
        <v>396</v>
      </c>
      <c r="B217" s="292">
        <v>0</v>
      </c>
      <c r="C217" s="292"/>
      <c r="D217" s="295"/>
      <c r="E217" s="25">
        <f t="shared" si="22"/>
        <v>0</v>
      </c>
    </row>
    <row r="218" spans="1:5" x14ac:dyDescent="0.25">
      <c r="A218" s="16" t="s">
        <v>397</v>
      </c>
      <c r="B218" s="292">
        <v>439801</v>
      </c>
      <c r="C218" s="292"/>
      <c r="D218" s="295"/>
      <c r="E218" s="25">
        <f t="shared" si="22"/>
        <v>439801</v>
      </c>
    </row>
    <row r="219" spans="1:5" x14ac:dyDescent="0.25">
      <c r="A219" s="16" t="s">
        <v>398</v>
      </c>
      <c r="B219" s="292">
        <v>535657</v>
      </c>
      <c r="C219" s="292">
        <v>4711975</v>
      </c>
      <c r="D219" s="295">
        <v>2039204</v>
      </c>
      <c r="E219" s="25">
        <f t="shared" si="22"/>
        <v>3208428</v>
      </c>
    </row>
    <row r="220" spans="1:5" x14ac:dyDescent="0.25">
      <c r="A220" s="16" t="s">
        <v>229</v>
      </c>
      <c r="B220" s="25">
        <f>SUM(B211:B219)</f>
        <v>64360147</v>
      </c>
      <c r="C220" s="225">
        <f>SUM(C211:C219)</f>
        <v>9106662</v>
      </c>
      <c r="D220" s="25">
        <f>SUM(D211:D219)</f>
        <v>5339861</v>
      </c>
      <c r="E220" s="25">
        <f>SUM(E211:E219)</f>
        <v>68126948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386</v>
      </c>
      <c r="C223" s="17" t="s">
        <v>387</v>
      </c>
      <c r="D223" s="18" t="s">
        <v>388</v>
      </c>
      <c r="E223" s="18" t="s">
        <v>389</v>
      </c>
    </row>
    <row r="224" spans="1:5" x14ac:dyDescent="0.25">
      <c r="A224" s="16" t="s">
        <v>390</v>
      </c>
      <c r="B224" s="42"/>
      <c r="C224" s="41"/>
      <c r="D224" s="42"/>
      <c r="E224" s="16"/>
    </row>
    <row r="225" spans="1:6" x14ac:dyDescent="0.25">
      <c r="A225" s="16" t="s">
        <v>391</v>
      </c>
      <c r="B225" s="292">
        <v>1068412</v>
      </c>
      <c r="C225" s="292">
        <v>88761</v>
      </c>
      <c r="D225" s="295">
        <v>60467</v>
      </c>
      <c r="E225" s="25">
        <f t="shared" ref="E225:E232" si="23">SUM(B225:C225)-D225</f>
        <v>1096706</v>
      </c>
    </row>
    <row r="226" spans="1:6" x14ac:dyDescent="0.25">
      <c r="A226" s="16" t="s">
        <v>392</v>
      </c>
      <c r="B226" s="292">
        <v>6805313</v>
      </c>
      <c r="C226" s="292">
        <v>902383</v>
      </c>
      <c r="D226" s="295">
        <f>1374644+70560</f>
        <v>1445204</v>
      </c>
      <c r="E226" s="25">
        <f t="shared" si="23"/>
        <v>6262492</v>
      </c>
    </row>
    <row r="227" spans="1:6" x14ac:dyDescent="0.25">
      <c r="A227" s="16" t="s">
        <v>393</v>
      </c>
      <c r="B227" s="292">
        <v>7410822</v>
      </c>
      <c r="C227" s="292">
        <v>515565</v>
      </c>
      <c r="D227" s="295">
        <v>404169</v>
      </c>
      <c r="E227" s="25">
        <f t="shared" si="23"/>
        <v>7522218</v>
      </c>
    </row>
    <row r="228" spans="1:6" x14ac:dyDescent="0.25">
      <c r="A228" s="16" t="s">
        <v>394</v>
      </c>
      <c r="B228" s="292">
        <v>131293</v>
      </c>
      <c r="C228" s="292">
        <v>36408</v>
      </c>
      <c r="D228" s="295">
        <v>0</v>
      </c>
      <c r="E228" s="25">
        <f t="shared" si="23"/>
        <v>167701</v>
      </c>
    </row>
    <row r="229" spans="1:6" x14ac:dyDescent="0.25">
      <c r="A229" s="16" t="s">
        <v>395</v>
      </c>
      <c r="B229" s="292">
        <v>14133026</v>
      </c>
      <c r="C229" s="292">
        <f>2620691+1109720+487247</f>
        <v>4217658</v>
      </c>
      <c r="D229" s="295">
        <f>1644802+172733+494095</f>
        <v>2311630</v>
      </c>
      <c r="E229" s="25">
        <f t="shared" si="23"/>
        <v>16039054</v>
      </c>
    </row>
    <row r="230" spans="1:6" x14ac:dyDescent="0.25">
      <c r="A230" s="16" t="s">
        <v>396</v>
      </c>
      <c r="B230" s="292">
        <v>0</v>
      </c>
      <c r="C230" s="292"/>
      <c r="D230" s="295">
        <v>0</v>
      </c>
      <c r="E230" s="25">
        <f t="shared" si="23"/>
        <v>0</v>
      </c>
    </row>
    <row r="231" spans="1:6" x14ac:dyDescent="0.25">
      <c r="A231" s="16" t="s">
        <v>397</v>
      </c>
      <c r="B231" s="292">
        <v>145845</v>
      </c>
      <c r="C231" s="292">
        <v>79495</v>
      </c>
      <c r="D231" s="295">
        <v>0</v>
      </c>
      <c r="E231" s="25">
        <f t="shared" si="23"/>
        <v>225340</v>
      </c>
    </row>
    <row r="232" spans="1:6" x14ac:dyDescent="0.25">
      <c r="A232" s="16" t="s">
        <v>398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29694711</v>
      </c>
      <c r="C233" s="225">
        <f>SUM(C224:C232)</f>
        <v>5840270</v>
      </c>
      <c r="D233" s="25">
        <f>SUM(D224:D232)</f>
        <v>4221470</v>
      </c>
      <c r="E233" s="25">
        <f>SUM(E224:E232)</f>
        <v>31313511</v>
      </c>
    </row>
    <row r="234" spans="1:6" x14ac:dyDescent="0.25">
      <c r="A234" s="16"/>
      <c r="B234" s="16"/>
      <c r="C234" s="22"/>
      <c r="D234" s="16"/>
      <c r="E234" s="16"/>
      <c r="F234" s="11">
        <f>E220-E233</f>
        <v>36813437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7" t="s">
        <v>401</v>
      </c>
      <c r="C236" s="347"/>
      <c r="D236" s="30"/>
      <c r="E236" s="30"/>
    </row>
    <row r="237" spans="1:6" x14ac:dyDescent="0.25">
      <c r="A237" s="43" t="s">
        <v>401</v>
      </c>
      <c r="B237" s="30"/>
      <c r="C237" s="292">
        <v>4781518</v>
      </c>
      <c r="D237" s="32">
        <f>C237</f>
        <v>4781518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55121209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20985366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f>41278080+4264688</f>
        <v>45542768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f>20543-8634</f>
        <v>11909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121661252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797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177391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937327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1114718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f>146231241-128109490</f>
        <v>18121751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552002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18673753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146231241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f>42419829-23113546</f>
        <v>19306283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48858520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27950625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2305999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3072533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2677225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48269935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23113546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23113546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390</v>
      </c>
      <c r="B283" s="35" t="s">
        <v>299</v>
      </c>
      <c r="C283" s="292">
        <v>3326040</v>
      </c>
      <c r="D283" s="16"/>
      <c r="E283" s="16"/>
    </row>
    <row r="284" spans="1:5" x14ac:dyDescent="0.25">
      <c r="A284" s="16" t="s">
        <v>391</v>
      </c>
      <c r="B284" s="35" t="s">
        <v>299</v>
      </c>
      <c r="C284" s="292">
        <v>2609748</v>
      </c>
      <c r="D284" s="16"/>
      <c r="E284" s="16"/>
    </row>
    <row r="285" spans="1:5" x14ac:dyDescent="0.25">
      <c r="A285" s="16" t="s">
        <v>392</v>
      </c>
      <c r="B285" s="35" t="s">
        <v>299</v>
      </c>
      <c r="C285" s="292">
        <v>20694592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9959609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575994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27312736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439801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3208428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68126948</v>
      </c>
      <c r="E291" s="16"/>
    </row>
    <row r="292" spans="1:5" x14ac:dyDescent="0.25">
      <c r="A292" s="16" t="s">
        <v>440</v>
      </c>
      <c r="B292" s="35" t="s">
        <v>299</v>
      </c>
      <c r="C292" s="292">
        <v>31313510.969999999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36813437.030000001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8149864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3870560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636196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4915500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113112418.03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113112418.03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4952149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8287560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292546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675372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103837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14311464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106374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106374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f>3380723+4346196</f>
        <v>7726919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37316202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1296207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46339328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46339328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52355252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113112418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113112418.03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26960739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240779909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267740648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4781518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121661252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1114718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146231241-126442770-1114718</f>
        <v>18673753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146231241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121509407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49933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f>-8516082+2395048</f>
        <v>-6121034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480768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413550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f>536948+1024+29576+8077</f>
        <v>575625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f>4601158-2772629.91</f>
        <v>1828528.0899999999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-2772629.91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2597777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-174852.91000000015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121334554.09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55998878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15536688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20935518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18216254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1212331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6194615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4830730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1488206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718001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970210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2055486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406156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2398279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2804435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130961352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-9626797.9099999964</v>
      </c>
      <c r="E417" s="25"/>
    </row>
    <row r="418" spans="1:13" x14ac:dyDescent="0.25">
      <c r="A418" s="25" t="s">
        <v>532</v>
      </c>
      <c r="B418" s="16"/>
      <c r="C418" s="294">
        <f>3574621-2597777-2371562.72</f>
        <v>-1394718.7200000002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-1394718.7200000002</v>
      </c>
      <c r="E420" s="25"/>
      <c r="F420" s="11">
        <f>D420-C399</f>
        <v>-3450204.72</v>
      </c>
    </row>
    <row r="421" spans="1:13" x14ac:dyDescent="0.25">
      <c r="A421" s="25" t="s">
        <v>535</v>
      </c>
      <c r="B421" s="16"/>
      <c r="C421" s="22"/>
      <c r="D421" s="25">
        <f>D417+D420</f>
        <v>-11021516.629999997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-11021516.629999997</v>
      </c>
      <c r="E424" s="16"/>
    </row>
    <row r="426" spans="1:13" ht="29.1" customHeight="1" x14ac:dyDescent="0.25">
      <c r="A426" s="348" t="s">
        <v>539</v>
      </c>
      <c r="B426" s="348"/>
      <c r="C426" s="348"/>
      <c r="D426" s="348"/>
      <c r="E426" s="348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116559</v>
      </c>
      <c r="E612" s="219">
        <f>SUM(C624:D647)+SUM(C668:D713)</f>
        <v>115798905.1366538</v>
      </c>
      <c r="F612" s="219">
        <f>CE64-(AX64+BD64+BE64+BG64+BJ64+BN64+BP64+BQ64+CB64+CC64+CD64)</f>
        <v>18107015</v>
      </c>
      <c r="G612" s="217">
        <f>CE91-(AX91+AY91+BD91+BE91+BG91+BJ91+BN91+BP91+BQ91+CB91+CC91+CD91)</f>
        <v>136336</v>
      </c>
      <c r="H612" s="222">
        <f>CE60-(AX60+AY60+AZ60+BD60+BE60+BG60+BJ60+BN60+BO60+BP60+BQ60+BR60+CB60+CC60+CD60)</f>
        <v>448.18000000000012</v>
      </c>
      <c r="I612" s="217">
        <f>CE92-(AX92+AY92+AZ92+BD92+BE92+BF92+BG92+BJ92+BN92+BO92+BP92+BQ92+BR92+CB92+CC92+CD92)</f>
        <v>19476</v>
      </c>
      <c r="J612" s="217">
        <f>CE93-(AX93+AY93+AZ93+BA93+BD93+BE93+BF93+BG93+BJ93+BN93+BO93+BP93+BQ93+BR93+CB93+CC93+CD93)</f>
        <v>476600</v>
      </c>
      <c r="K612" s="217">
        <f>CE89-(AW89+AX89+AY89+AZ89+BA89+BB89+BC89+BD89+BE89+BF89+BG89+BH89+BI89+BJ89+BK89+BL89+BM89+BN89+BO89+BP89+BQ89+BR89+BS89+BT89+BU89+BV89+BW89+BX89+CB89+CC89+CD89)</f>
        <v>267740648</v>
      </c>
      <c r="L612" s="223">
        <f>CE94-(AW94+AX94+AY94+AZ94+BA94+BB94+BC94+BD94+BE94+BF94+BG94+BH94+BI94+BJ94+BK94+BL94+BM94+BN94+BO94+BP94+BQ94+BR94+BS94+BT94+BU94+BV94+BW94+BX94+BY94+BZ94+CA94+CB94+CC94+CD94)</f>
        <v>95.98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2281221.1800000002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-1029894</v>
      </c>
      <c r="D615" s="217">
        <f>SUM(C614:C615)</f>
        <v>1251327.1800000002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607836.81999999995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2016123.46</v>
      </c>
      <c r="D619" s="217">
        <f>(D615/D612)*BN90</f>
        <v>19742.711279437885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1203924.6599999999</v>
      </c>
      <c r="D620" s="217">
        <f>(D615/D612)*CC90</f>
        <v>121086.4820667645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1165273.4699999997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5133987.6033462016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317271.72000000009</v>
      </c>
      <c r="D624" s="217">
        <f>(D615/D612)*BD90</f>
        <v>30628.578183924026</v>
      </c>
      <c r="E624" s="219">
        <f>(E623/E612)*SUM(C624:D624)</f>
        <v>15424.289339946054</v>
      </c>
      <c r="F624" s="219">
        <f>SUM(C624:E624)</f>
        <v>363324.58752387017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473718.24999999994</v>
      </c>
      <c r="D625" s="217">
        <f>(D615/D612)*AY90</f>
        <v>2265.2050461997792</v>
      </c>
      <c r="E625" s="219">
        <f>(E623/E612)*SUM(C625:D625)</f>
        <v>21102.903820388387</v>
      </c>
      <c r="F625" s="219">
        <f>(F624/F612)*AY64</f>
        <v>229.00646613535861</v>
      </c>
      <c r="G625" s="217">
        <f>SUM(C625:F625)</f>
        <v>497315.36533272348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105164.51999999986</v>
      </c>
      <c r="D626" s="217">
        <f>(D615/D612)*BR90</f>
        <v>0</v>
      </c>
      <c r="E626" s="219">
        <f>(E623/E612)*SUM(C626:D626)</f>
        <v>4662.5081761757901</v>
      </c>
      <c r="F626" s="219">
        <f>(F624/F612)*BR64</f>
        <v>180.62877491899573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285311.39</v>
      </c>
      <c r="D627" s="217">
        <f>(D615/D612)*BO90</f>
        <v>0</v>
      </c>
      <c r="E627" s="219">
        <f>(E623/E612)*SUM(C627:D627)</f>
        <v>12649.386776367935</v>
      </c>
      <c r="F627" s="219">
        <f>(F624/F612)*BO64</f>
        <v>38.184465526643955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1949176.99</v>
      </c>
      <c r="D628" s="217">
        <f>(D615/D612)*AZ90</f>
        <v>46646.047041412508</v>
      </c>
      <c r="E628" s="219">
        <f>(E623/E612)*SUM(C628:D628)</f>
        <v>88485.557946782763</v>
      </c>
      <c r="F628" s="219">
        <f>(F624/F612)*AZ64</f>
        <v>14254.784688164103</v>
      </c>
      <c r="G628" s="217">
        <f>(G625/G612)*AZ91</f>
        <v>422945.67817449995</v>
      </c>
      <c r="H628" s="219">
        <f>SUM(C626:G628)</f>
        <v>2929515.676043848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1389803.6400000001</v>
      </c>
      <c r="D629" s="217">
        <f>(D615/D612)*BF90</f>
        <v>47730.339504285388</v>
      </c>
      <c r="E629" s="219">
        <f>(E623/E612)*SUM(C629:D629)</f>
        <v>63733.604574710756</v>
      </c>
      <c r="F629" s="219">
        <f>(F624/F612)*BF64</f>
        <v>2028.5723046834737</v>
      </c>
      <c r="G629" s="217">
        <f>(G625/G612)*BF91</f>
        <v>0</v>
      </c>
      <c r="H629" s="219">
        <f>(H628/H612)*BF60</f>
        <v>89353.561719664838</v>
      </c>
      <c r="I629" s="217">
        <f>SUM(C629:H629)</f>
        <v>1592649.7181033448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387681.37</v>
      </c>
      <c r="D630" s="217">
        <f>(D615/D612)*BA90</f>
        <v>13848.883931742725</v>
      </c>
      <c r="E630" s="219">
        <f>(E623/E612)*SUM(C630:D630)</f>
        <v>17801.99340936177</v>
      </c>
      <c r="F630" s="219">
        <f>(F624/F612)*BA64</f>
        <v>0</v>
      </c>
      <c r="G630" s="217">
        <f>(G625/G612)*BA91</f>
        <v>0</v>
      </c>
      <c r="H630" s="219">
        <f>(H628/H612)*BA60</f>
        <v>6536.4712304070845</v>
      </c>
      <c r="I630" s="217">
        <f>(I629/I612)*BA92</f>
        <v>11612.048673786967</v>
      </c>
      <c r="J630" s="217">
        <f>SUM(C630:I630)</f>
        <v>437480.76724529854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753640.23</v>
      </c>
      <c r="D632" s="217">
        <f>(D615/D612)*BB90</f>
        <v>2920.0747514992413</v>
      </c>
      <c r="E632" s="219">
        <f>(E623/E612)*SUM(C632:D632)</f>
        <v>33542.382988805701</v>
      </c>
      <c r="F632" s="219">
        <f>(F624/F612)*BB64</f>
        <v>140.45783430715065</v>
      </c>
      <c r="G632" s="217">
        <f>(G625/G612)*BB91</f>
        <v>0</v>
      </c>
      <c r="H632" s="219">
        <f>(H628/H612)*BB60</f>
        <v>34185.744535029058</v>
      </c>
      <c r="I632" s="217">
        <f>(I629/I612)*BB92</f>
        <v>2862.1246731165061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613400.26</v>
      </c>
      <c r="D634" s="217">
        <f>(D615/D612)*BI90</f>
        <v>0</v>
      </c>
      <c r="E634" s="219">
        <f>(E623/E612)*SUM(C634:D634)</f>
        <v>27195.329066479448</v>
      </c>
      <c r="F634" s="219">
        <f>(F624/F612)*BI64</f>
        <v>1231.1931793217793</v>
      </c>
      <c r="G634" s="217">
        <f>(G625/G612)*BI91</f>
        <v>0</v>
      </c>
      <c r="H634" s="219">
        <f>(H628/H612)*BI60</f>
        <v>13072.942460814169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6771062.379999999</v>
      </c>
      <c r="D635" s="217">
        <f>(D615/D612)*BK90</f>
        <v>0</v>
      </c>
      <c r="E635" s="219">
        <f>(E623/E612)*SUM(C635:D635)</f>
        <v>300197.57336548809</v>
      </c>
      <c r="F635" s="219">
        <f>(F624/F612)*BK64</f>
        <v>258.66313457906841</v>
      </c>
      <c r="G635" s="217">
        <f>(G625/G612)*BK91</f>
        <v>0</v>
      </c>
      <c r="H635" s="219">
        <f>(H628/H612)*BK60</f>
        <v>133017.18953878418</v>
      </c>
      <c r="I635" s="217">
        <f>(I629/I612)*BK92</f>
        <v>38843.120563724013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3353958.93</v>
      </c>
      <c r="D636" s="217">
        <f>(D615/D612)*BH90</f>
        <v>14063.595310529434</v>
      </c>
      <c r="E636" s="219">
        <f>(E623/E612)*SUM(C636:D636)</f>
        <v>149322.53351039492</v>
      </c>
      <c r="F636" s="219">
        <f>(F624/F612)*BH64</f>
        <v>474.06525619153444</v>
      </c>
      <c r="G636" s="217">
        <f>(G625/G612)*BH91</f>
        <v>0</v>
      </c>
      <c r="H636" s="219">
        <f>(H628/H612)*BH60</f>
        <v>48631.345954228702</v>
      </c>
      <c r="I636" s="217">
        <f>(I629/I612)*BH92</f>
        <v>11612.048673786967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1191893.58</v>
      </c>
      <c r="D637" s="217">
        <f>(D615/D612)*BL90</f>
        <v>11079.10714539418</v>
      </c>
      <c r="E637" s="219">
        <f>(E623/E612)*SUM(C637:D637)</f>
        <v>53334.242285626075</v>
      </c>
      <c r="F637" s="219">
        <f>(F624/F612)*BL64</f>
        <v>185.50466830994395</v>
      </c>
      <c r="G637" s="217">
        <f>(G625/G612)*BL91</f>
        <v>0</v>
      </c>
      <c r="H637" s="219">
        <f>(H628/H612)*BL60</f>
        <v>110923.91678000822</v>
      </c>
      <c r="I637" s="217">
        <f>(I629/I612)*BL92</f>
        <v>16600.323104075735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1110597.96</v>
      </c>
      <c r="D638" s="217">
        <f>(D615/D612)*BM90</f>
        <v>0</v>
      </c>
      <c r="E638" s="219">
        <f>(E623/E612)*SUM(C638:D638)</f>
        <v>49238.774340853357</v>
      </c>
      <c r="F638" s="219">
        <f>(F624/F612)*BM64</f>
        <v>134.277689597636</v>
      </c>
      <c r="G638" s="217">
        <f>(G625/G612)*BM91</f>
        <v>0</v>
      </c>
      <c r="H638" s="219">
        <f>(H628/H612)*BM60</f>
        <v>13072.942460814169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166049.79999999999</v>
      </c>
      <c r="D639" s="217">
        <f>(D615/D612)*BS90</f>
        <v>5335.5777628497162</v>
      </c>
      <c r="E639" s="219">
        <f>(E623/E612)*SUM(C639:D639)</f>
        <v>7598.4345775197207</v>
      </c>
      <c r="F639" s="219">
        <f>(F624/F612)*BS64</f>
        <v>1.966409680300109</v>
      </c>
      <c r="G639" s="217">
        <f>(G625/G612)*BS91</f>
        <v>0</v>
      </c>
      <c r="H639" s="219">
        <f>(H628/H612)*BS60</f>
        <v>10262.259831739124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532756.93000000005</v>
      </c>
      <c r="D642" s="217">
        <f>(D615/D612)*BV90</f>
        <v>0</v>
      </c>
      <c r="E642" s="219">
        <f>(E623/E612)*SUM(C642:D642)</f>
        <v>23619.976985007077</v>
      </c>
      <c r="F642" s="219">
        <f>(F624/F612)*BV64</f>
        <v>23.416327519492114</v>
      </c>
      <c r="G642" s="217">
        <f>(G625/G612)*BV91</f>
        <v>0</v>
      </c>
      <c r="H642" s="219">
        <f>(H628/H612)*BV60</f>
        <v>26080.52020932427</v>
      </c>
      <c r="I642" s="217">
        <f>(I629/I612)*BV92</f>
        <v>25922.6720393695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837043.79</v>
      </c>
      <c r="D643" s="217">
        <f>(D615/D612)*BW90</f>
        <v>2522.8587007438296</v>
      </c>
      <c r="E643" s="219">
        <f>(E623/E612)*SUM(C643:D643)</f>
        <v>37222.500174124609</v>
      </c>
      <c r="F643" s="219">
        <f>(F624/F612)*BW64</f>
        <v>178.24099173577417</v>
      </c>
      <c r="G643" s="217">
        <f>(G625/G612)*BW91</f>
        <v>0</v>
      </c>
      <c r="H643" s="219">
        <f>(H628/H612)*BW60</f>
        <v>8954.9655856577065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551652.62</v>
      </c>
      <c r="D644" s="217">
        <f>(D615/D612)*BX90</f>
        <v>1610.3353409003169</v>
      </c>
      <c r="E644" s="219">
        <f>(E623/E612)*SUM(C644:D644)</f>
        <v>24529.119258587707</v>
      </c>
      <c r="F644" s="219">
        <f>(F624/F612)*BX64</f>
        <v>160.54330461307319</v>
      </c>
      <c r="G644" s="217">
        <f>(G625/G612)*BX91</f>
        <v>0</v>
      </c>
      <c r="H644" s="219">
        <f>(H628/H612)*BX60</f>
        <v>18367.484157443909</v>
      </c>
      <c r="I644" s="217">
        <f>(I629/I612)*BX92</f>
        <v>2862.1246731165061</v>
      </c>
      <c r="J644" s="217">
        <f>(J630/J612)*BX93</f>
        <v>0</v>
      </c>
      <c r="K644" s="219">
        <f>SUM(C631:J644)</f>
        <v>17143448.949601684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1329208.53</v>
      </c>
      <c r="D645" s="217">
        <f>(D615/D612)*BY90</f>
        <v>1449.3018068102851</v>
      </c>
      <c r="E645" s="219">
        <f>(E623/E612)*SUM(C645:D645)</f>
        <v>58995.210746852747</v>
      </c>
      <c r="F645" s="219">
        <f>(F624/F612)*BY64</f>
        <v>124.18479093242219</v>
      </c>
      <c r="G645" s="217">
        <f>(G625/G612)*BY91</f>
        <v>0</v>
      </c>
      <c r="H645" s="219">
        <f>(H628/H612)*BY60</f>
        <v>39741.745080875073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1429518.9724254704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28363878.479999997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339</v>
      </c>
      <c r="C668" s="217">
        <f>C85</f>
        <v>2142027.79</v>
      </c>
      <c r="D668" s="217">
        <f>(D615/D612)*C90</f>
        <v>43951.419237639311</v>
      </c>
      <c r="E668" s="219">
        <f>(E623/E612)*SUM(C668:D668)</f>
        <v>96916.20268908939</v>
      </c>
      <c r="F668" s="219">
        <f>(F624/F612)*C64</f>
        <v>0</v>
      </c>
      <c r="G668" s="217">
        <f>(G625/G612)*C91</f>
        <v>12599.220102241719</v>
      </c>
      <c r="H668" s="219">
        <f>(H628/H612)*C59</f>
        <v>4131049.8176172776</v>
      </c>
      <c r="I668" s="217">
        <f>(I629/I612)*C92</f>
        <v>69754.067033382278</v>
      </c>
      <c r="J668" s="217">
        <f>(J630/J612)*C93</f>
        <v>23812.685824333897</v>
      </c>
      <c r="K668" s="217">
        <f>(K644/K612)*C89</f>
        <v>118476.4792274675</v>
      </c>
      <c r="L668" s="217">
        <f>(L647/L612)*C94</f>
        <v>128385.63807363568</v>
      </c>
      <c r="M668" s="202">
        <f t="shared" ref="M668:M713" si="24">ROUND(SUM(D668:L668),0)</f>
        <v>4624946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340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5151252.3899999997</v>
      </c>
      <c r="D670" s="217">
        <f>(D615/D612)*E90</f>
        <v>73667.474061719826</v>
      </c>
      <c r="E670" s="219">
        <f>(E623/E612)*SUM(C670:D670)</f>
        <v>231648.76886283603</v>
      </c>
      <c r="F670" s="219">
        <f>(F624/F612)*E64</f>
        <v>3920.9205754939121</v>
      </c>
      <c r="G670" s="217">
        <f>(G625/G612)*E91</f>
        <v>30739.324783321066</v>
      </c>
      <c r="H670" s="219">
        <f>(H628/H612)*E60</f>
        <v>167333.66349842135</v>
      </c>
      <c r="I670" s="217">
        <f>(I629/I612)*E92</f>
        <v>279016.26813352911</v>
      </c>
      <c r="J670" s="217">
        <f>(J630/J612)*E93</f>
        <v>71438.97539320153</v>
      </c>
      <c r="K670" s="217">
        <f>(K644/K612)*E89</f>
        <v>493660.21397176146</v>
      </c>
      <c r="L670" s="217">
        <f>(L647/L612)*E94</f>
        <v>186620.88689821985</v>
      </c>
      <c r="M670" s="202">
        <f t="shared" si="24"/>
        <v>1538046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27781.772768456161</v>
      </c>
      <c r="K675" s="217">
        <f>(K644/K612)*J89</f>
        <v>48228.591464830854</v>
      </c>
      <c r="L675" s="217">
        <f>(L647/L612)*J94</f>
        <v>0</v>
      </c>
      <c r="M675" s="202">
        <f t="shared" si="24"/>
        <v>76010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345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346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3586279.5100000002</v>
      </c>
      <c r="D680" s="217">
        <f>(D615/D612)*O90</f>
        <v>87977.987457853975</v>
      </c>
      <c r="E680" s="219">
        <f>(E623/E612)*SUM(C680:D680)</f>
        <v>162899.57509692875</v>
      </c>
      <c r="F680" s="219">
        <f>(F624/F612)*O64</f>
        <v>3007.1420363013922</v>
      </c>
      <c r="G680" s="217">
        <f>(G625/G612)*O91</f>
        <v>14671.124276553617</v>
      </c>
      <c r="H680" s="219">
        <f>(H628/H612)*O60</f>
        <v>142495.07282287444</v>
      </c>
      <c r="I680" s="217">
        <f>(I629/I612)*O92</f>
        <v>209262.20110014683</v>
      </c>
      <c r="J680" s="217">
        <f>(J630/J612)*O93</f>
        <v>55563.545536912323</v>
      </c>
      <c r="K680" s="217">
        <f>(K644/K612)*O89</f>
        <v>237645.69964149455</v>
      </c>
      <c r="L680" s="217">
        <f>(L647/L612)*O94</f>
        <v>222962.0651928453</v>
      </c>
      <c r="M680" s="202">
        <f t="shared" si="24"/>
        <v>1136484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10167415.330000002</v>
      </c>
      <c r="D681" s="217">
        <f>(D615/D612)*P90</f>
        <v>169901.11403392276</v>
      </c>
      <c r="E681" s="219">
        <f>(E623/E612)*SUM(C681:D681)</f>
        <v>458308.77600187476</v>
      </c>
      <c r="F681" s="219">
        <f>(F624/F612)*P64</f>
        <v>26896.531541739991</v>
      </c>
      <c r="G681" s="217">
        <f>(G625/G612)*P91</f>
        <v>8579.4341865872975</v>
      </c>
      <c r="H681" s="219">
        <f>(H628/H612)*P60</f>
        <v>370944.74232560204</v>
      </c>
      <c r="I681" s="217">
        <f>(I629/I612)*P92</f>
        <v>209262.20110014683</v>
      </c>
      <c r="J681" s="217">
        <f>(J630/J612)*P93</f>
        <v>71438.97539320153</v>
      </c>
      <c r="K681" s="217">
        <f>(K644/K612)*P89</f>
        <v>2025767.1275808953</v>
      </c>
      <c r="L681" s="217">
        <f>(L647/L612)*P94</f>
        <v>439966.56017345685</v>
      </c>
      <c r="M681" s="202">
        <f t="shared" si="24"/>
        <v>3781065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22756.3</v>
      </c>
      <c r="D682" s="217">
        <f>(D615/D612)*Q90</f>
        <v>0</v>
      </c>
      <c r="E682" s="219">
        <f>(E623/E612)*SUM(C682:D682)</f>
        <v>1008.9090389944181</v>
      </c>
      <c r="F682" s="219">
        <f>(F624/F612)*Q64</f>
        <v>442.20139320871226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134547.51129114738</v>
      </c>
      <c r="L682" s="217">
        <f>(L647/L612)*Q94</f>
        <v>0</v>
      </c>
      <c r="M682" s="202">
        <f t="shared" si="24"/>
        <v>135999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3927544.22</v>
      </c>
      <c r="D683" s="217">
        <f>(D615/D612)*R90</f>
        <v>0</v>
      </c>
      <c r="E683" s="219">
        <f>(E623/E612)*SUM(C683:D683)</f>
        <v>174129.13630986944</v>
      </c>
      <c r="F683" s="219">
        <f>(F624/F612)*R64</f>
        <v>3243.3118519864156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877675.80656666239</v>
      </c>
      <c r="L683" s="217">
        <f>(L647/L612)*R94</f>
        <v>0</v>
      </c>
      <c r="M683" s="202">
        <f t="shared" si="24"/>
        <v>1055048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7674772.1799999997</v>
      </c>
      <c r="D684" s="217">
        <f>(D615/D612)*S90</f>
        <v>14643.316033253548</v>
      </c>
      <c r="E684" s="219">
        <f>(E623/E612)*SUM(C684:D684)</f>
        <v>340913.10092289594</v>
      </c>
      <c r="F684" s="219">
        <f>(F624/F612)*S64</f>
        <v>146668.91987102263</v>
      </c>
      <c r="G684" s="217">
        <f>(G625/G612)*S91</f>
        <v>0</v>
      </c>
      <c r="H684" s="219">
        <f>(H628/H612)*S60</f>
        <v>19478.684266613112</v>
      </c>
      <c r="I684" s="217">
        <f>(I629/I612)*S92</f>
        <v>5806.0243368934835</v>
      </c>
      <c r="J684" s="217">
        <f>(J630/J612)*S93</f>
        <v>0</v>
      </c>
      <c r="K684" s="217">
        <f>(K644/K612)*S89</f>
        <v>1488808.5084723104</v>
      </c>
      <c r="L684" s="217">
        <f>(L647/L612)*S94</f>
        <v>0</v>
      </c>
      <c r="M684" s="202">
        <f t="shared" si="24"/>
        <v>2016319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4801320.54</v>
      </c>
      <c r="D686" s="217">
        <f>(D615/D612)*U90</f>
        <v>22040.123032455671</v>
      </c>
      <c r="E686" s="219">
        <f>(E623/E612)*SUM(C686:D686)</f>
        <v>213845.49207312061</v>
      </c>
      <c r="F686" s="219">
        <f>(F624/F612)*U64</f>
        <v>29819.940643389418</v>
      </c>
      <c r="G686" s="217">
        <f>(G625/G612)*U91</f>
        <v>0</v>
      </c>
      <c r="H686" s="219">
        <f>(H628/H612)*U60</f>
        <v>121709.09431017992</v>
      </c>
      <c r="I686" s="217">
        <f>(I629/I612)*U92</f>
        <v>69754.067033382278</v>
      </c>
      <c r="J686" s="217">
        <f>(J630/J612)*U93</f>
        <v>11906.342912166949</v>
      </c>
      <c r="K686" s="217">
        <f>(K644/K612)*U89</f>
        <v>1210683.9672534848</v>
      </c>
      <c r="L686" s="217">
        <f>(L647/L612)*U94</f>
        <v>0</v>
      </c>
      <c r="M686" s="202">
        <f t="shared" si="24"/>
        <v>1679759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14781</v>
      </c>
      <c r="D687" s="217">
        <f>(D615/D612)*V90</f>
        <v>4186.8718863408239</v>
      </c>
      <c r="E687" s="219">
        <f>(E623/E612)*SUM(C687:D687)</f>
        <v>840.94766709075566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5887.7993275539557</v>
      </c>
      <c r="J687" s="217">
        <f>(J630/J612)*V93</f>
        <v>0</v>
      </c>
      <c r="K687" s="217">
        <f>(K644/K612)*V89</f>
        <v>70500.870517798554</v>
      </c>
      <c r="L687" s="217">
        <f>(L647/L612)*V94</f>
        <v>0</v>
      </c>
      <c r="M687" s="202">
        <f t="shared" si="24"/>
        <v>81416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1074397.72</v>
      </c>
      <c r="D688" s="217">
        <f>(D615/D612)*W90</f>
        <v>6806.3507075386724</v>
      </c>
      <c r="E688" s="219">
        <f>(E623/E612)*SUM(C688:D688)</f>
        <v>47935.585307558598</v>
      </c>
      <c r="F688" s="219">
        <f>(F624/F612)*W64</f>
        <v>321.42772110946373</v>
      </c>
      <c r="G688" s="217">
        <f>(G625/G612)*W91</f>
        <v>0</v>
      </c>
      <c r="H688" s="219">
        <f>(H628/H612)*W60</f>
        <v>39480.286231658793</v>
      </c>
      <c r="I688" s="217">
        <f>(I629/I612)*W92</f>
        <v>11612.048673786967</v>
      </c>
      <c r="J688" s="217">
        <f>(J630/J612)*W93</f>
        <v>0</v>
      </c>
      <c r="K688" s="217">
        <f>(K644/K612)*W89</f>
        <v>819446.6806510688</v>
      </c>
      <c r="L688" s="217">
        <f>(L647/L612)*W94</f>
        <v>0</v>
      </c>
      <c r="M688" s="202">
        <f t="shared" si="24"/>
        <v>925602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1178142.75</v>
      </c>
      <c r="D689" s="217">
        <f>(D615/D612)*X90</f>
        <v>5603.9669863331028</v>
      </c>
      <c r="E689" s="219">
        <f>(E623/E612)*SUM(C689:D689)</f>
        <v>52481.851735452547</v>
      </c>
      <c r="F689" s="219">
        <f>(F624/F612)*X64</f>
        <v>383.209102799709</v>
      </c>
      <c r="G689" s="217">
        <f>(G625/G612)*X91</f>
        <v>0</v>
      </c>
      <c r="H689" s="219">
        <f>(H628/H612)*X60</f>
        <v>45951.392749761806</v>
      </c>
      <c r="I689" s="217">
        <f>(I629/I612)*X92</f>
        <v>9976.5488605775354</v>
      </c>
      <c r="J689" s="217">
        <f>(J630/J612)*X93</f>
        <v>0</v>
      </c>
      <c r="K689" s="217">
        <f>(K644/K612)*X89</f>
        <v>1073375.0957246476</v>
      </c>
      <c r="L689" s="217">
        <f>(L647/L612)*X94</f>
        <v>0</v>
      </c>
      <c r="M689" s="202">
        <f t="shared" si="24"/>
        <v>1187772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2953831.1599999997</v>
      </c>
      <c r="D690" s="217">
        <f>(D615/D612)*Y90</f>
        <v>52969.297146681092</v>
      </c>
      <c r="E690" s="219">
        <f>(E623/E612)*SUM(C690:D690)</f>
        <v>133307.61853499184</v>
      </c>
      <c r="F690" s="219">
        <f>(F624/F612)*Y64</f>
        <v>1907.69830555972</v>
      </c>
      <c r="G690" s="217">
        <f>(G625/G612)*Y91</f>
        <v>0</v>
      </c>
      <c r="H690" s="219">
        <f>(H628/H612)*Y60</f>
        <v>105760.10450798663</v>
      </c>
      <c r="I690" s="217">
        <f>(I629/I612)*Y92</f>
        <v>116284.03671919061</v>
      </c>
      <c r="J690" s="217">
        <f>(J630/J612)*Y93</f>
        <v>15875.429856289213</v>
      </c>
      <c r="K690" s="217">
        <f>(K644/K612)*Y89</f>
        <v>1117022.7848223438</v>
      </c>
      <c r="L690" s="217">
        <f>(L647/L612)*Y94</f>
        <v>0</v>
      </c>
      <c r="M690" s="202">
        <f t="shared" si="24"/>
        <v>1543127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1454182.83</v>
      </c>
      <c r="D692" s="217">
        <f>(D615/D612)*AA90</f>
        <v>3693.0357151313933</v>
      </c>
      <c r="E692" s="219">
        <f>(E623/E612)*SUM(C692:D692)</f>
        <v>64635.469678805806</v>
      </c>
      <c r="F692" s="219">
        <f>(F624/F612)*AA64</f>
        <v>11604.9071861254</v>
      </c>
      <c r="G692" s="217">
        <f>(G625/G612)*AA91</f>
        <v>0</v>
      </c>
      <c r="H692" s="219">
        <f>(H628/H612)*AA60</f>
        <v>13269.036597726381</v>
      </c>
      <c r="I692" s="217">
        <f>(I629/I612)*AA92</f>
        <v>5887.7993275539557</v>
      </c>
      <c r="J692" s="217">
        <f>(J630/J612)*AA93</f>
        <v>0</v>
      </c>
      <c r="K692" s="217">
        <f>(K644/K612)*AA89</f>
        <v>273303.01389752782</v>
      </c>
      <c r="L692" s="217">
        <f>(L647/L612)*AA94</f>
        <v>0</v>
      </c>
      <c r="M692" s="202">
        <f t="shared" si="24"/>
        <v>372393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5962066.6000000006</v>
      </c>
      <c r="D693" s="217">
        <f>(D615/D612)*AB90</f>
        <v>10520.857560548737</v>
      </c>
      <c r="E693" s="219">
        <f>(E623/E612)*SUM(C693:D693)</f>
        <v>264796.89018502698</v>
      </c>
      <c r="F693" s="219">
        <f>(F624/F612)*AB64</f>
        <v>92476.856211085847</v>
      </c>
      <c r="G693" s="217">
        <f>(G625/G612)*AB91</f>
        <v>0</v>
      </c>
      <c r="H693" s="219">
        <f>(H628/H612)*AB60</f>
        <v>41310.498176172776</v>
      </c>
      <c r="I693" s="217">
        <f>(I629/I612)*AB92</f>
        <v>15046.598281526774</v>
      </c>
      <c r="J693" s="217">
        <f>(J630/J612)*AB93</f>
        <v>0</v>
      </c>
      <c r="K693" s="217">
        <f>(K644/K612)*AB89</f>
        <v>1536526.3962026001</v>
      </c>
      <c r="L693" s="217">
        <f>(L647/L612)*AB94</f>
        <v>0</v>
      </c>
      <c r="M693" s="202">
        <f t="shared" si="24"/>
        <v>1960678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1826714.7799999998</v>
      </c>
      <c r="D694" s="217">
        <f>(D615/D612)*AC90</f>
        <v>13966.975190075415</v>
      </c>
      <c r="E694" s="219">
        <f>(E623/E612)*SUM(C694:D694)</f>
        <v>81607.311413691044</v>
      </c>
      <c r="F694" s="219">
        <f>(F624/F612)*AC64</f>
        <v>802.69645766046483</v>
      </c>
      <c r="G694" s="217">
        <f>(G625/G612)*AC91</f>
        <v>0</v>
      </c>
      <c r="H694" s="219">
        <f>(H628/H612)*AC60</f>
        <v>54448.805349291011</v>
      </c>
      <c r="I694" s="217">
        <f>(I629/I612)*AC92</f>
        <v>29030.12168446742</v>
      </c>
      <c r="J694" s="217">
        <f>(J630/J612)*AC93</f>
        <v>19844.516800411475</v>
      </c>
      <c r="K694" s="217">
        <f>(K644/K612)*AC89</f>
        <v>325131.63128648506</v>
      </c>
      <c r="L694" s="217">
        <f>(L647/L612)*AC94</f>
        <v>0</v>
      </c>
      <c r="M694" s="202">
        <f t="shared" si="24"/>
        <v>524832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5993053.8099999996</v>
      </c>
      <c r="D696" s="217">
        <f>(D615/D612)*AE90</f>
        <v>150383.84970221092</v>
      </c>
      <c r="E696" s="219">
        <f>(E623/E612)*SUM(C696:D696)</f>
        <v>272371.59755198669</v>
      </c>
      <c r="F696" s="219">
        <f>(F624/F612)*AE64</f>
        <v>1631.0164373795342</v>
      </c>
      <c r="G696" s="217">
        <f>(G625/G612)*AE91</f>
        <v>0</v>
      </c>
      <c r="H696" s="219">
        <f>(H628/H612)*AE60</f>
        <v>293683.65238219034</v>
      </c>
      <c r="I696" s="217">
        <f>(I629/I612)*AE92</f>
        <v>209262.20110014683</v>
      </c>
      <c r="J696" s="217">
        <f>(J630/J612)*AE93</f>
        <v>47751.126716046325</v>
      </c>
      <c r="K696" s="217">
        <f>(K644/K612)*AE89</f>
        <v>584849.25993263</v>
      </c>
      <c r="L696" s="217">
        <f>(L647/L612)*AE94</f>
        <v>0</v>
      </c>
      <c r="M696" s="202">
        <f t="shared" si="24"/>
        <v>1559933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9186438.2999999989</v>
      </c>
      <c r="D698" s="217">
        <f>(D615/D612)*AG90</f>
        <v>64209.437826165304</v>
      </c>
      <c r="E698" s="219">
        <f>(E623/E612)*SUM(C698:D698)</f>
        <v>410130.91404341144</v>
      </c>
      <c r="F698" s="219">
        <f>(F624/F612)*AG64</f>
        <v>5196.0971223587303</v>
      </c>
      <c r="G698" s="217">
        <f>(G625/G612)*AG91</f>
        <v>7780.5838095198569</v>
      </c>
      <c r="H698" s="219">
        <f>(H628/H612)*AG60</f>
        <v>236228.07026691205</v>
      </c>
      <c r="I698" s="217">
        <f>(I629/I612)*AG92</f>
        <v>209262.20110014683</v>
      </c>
      <c r="J698" s="217">
        <f>(J630/J612)*AG93</f>
        <v>71438.97539320153</v>
      </c>
      <c r="K698" s="217">
        <f>(K644/K612)*AG89</f>
        <v>2371390.4260655525</v>
      </c>
      <c r="L698" s="217">
        <f>(L647/L612)*AG94</f>
        <v>218196.00902305834</v>
      </c>
      <c r="M698" s="202">
        <f t="shared" si="24"/>
        <v>3593833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39001.910000000003</v>
      </c>
      <c r="D699" s="217">
        <f>(D615/D612)*AH90</f>
        <v>0</v>
      </c>
      <c r="E699" s="219">
        <f>(E623/E612)*SUM(C699:D699)</f>
        <v>1729.1642110996424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1729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116754.05</v>
      </c>
      <c r="D701" s="217">
        <f>(D615/D612)*AJ90</f>
        <v>0</v>
      </c>
      <c r="E701" s="219">
        <f>(E623/E612)*SUM(C701:D701)</f>
        <v>5176.3343067285214</v>
      </c>
      <c r="F701" s="219">
        <f>(F624/F612)*AJ64</f>
        <v>0</v>
      </c>
      <c r="G701" s="217">
        <f>(G625/G612)*AJ91</f>
        <v>0</v>
      </c>
      <c r="H701" s="219">
        <f>(H628/H612)*AJ60</f>
        <v>5229.1769843256679</v>
      </c>
      <c r="I701" s="217">
        <f>(I629/I612)*AJ92</f>
        <v>27231.071889937044</v>
      </c>
      <c r="J701" s="217">
        <f>(J630/J612)*AJ93</f>
        <v>0</v>
      </c>
      <c r="K701" s="217">
        <f>(K644/K612)*AJ89</f>
        <v>11159.286392085227</v>
      </c>
      <c r="L701" s="217">
        <f>(L647/L612)*AJ94</f>
        <v>233387.81306425421</v>
      </c>
      <c r="M701" s="202">
        <f t="shared" si="24"/>
        <v>282184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25058037.370000001</v>
      </c>
      <c r="D707" s="217">
        <f>(D615/D612)*AP90</f>
        <v>200765.87473451218</v>
      </c>
      <c r="E707" s="219">
        <f>(E623/E612)*SUM(C707:D707)</f>
        <v>1119858.4527271213</v>
      </c>
      <c r="F707" s="219">
        <f>(F624/F612)*AP64</f>
        <v>15281.591653164078</v>
      </c>
      <c r="G707" s="217">
        <f>(G625/G612)*AP91</f>
        <v>0</v>
      </c>
      <c r="H707" s="219">
        <f>(H628/H612)*AP60</f>
        <v>615539.49576743529</v>
      </c>
      <c r="I707" s="217">
        <f>(I629/I612)*AP92</f>
        <v>0</v>
      </c>
      <c r="J707" s="217">
        <f>(J630/J612)*AP93</f>
        <v>20628.420651077624</v>
      </c>
      <c r="K707" s="217">
        <f>(K644/K612)*AP89</f>
        <v>2325249.5986388912</v>
      </c>
      <c r="L707" s="217">
        <f>(L647/L612)*AP94</f>
        <v>0</v>
      </c>
      <c r="M707" s="202">
        <f t="shared" si="24"/>
        <v>4297323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238243.72</v>
      </c>
      <c r="D713" s="217">
        <f>(D615/D612)*AV90</f>
        <v>5110.1308151236717</v>
      </c>
      <c r="E713" s="219">
        <f>(E623/E612)*SUM(C713:D713)</f>
        <v>10789.183644154693</v>
      </c>
      <c r="F713" s="219">
        <f>(F624/F612)*AV64</f>
        <v>76.429127267990964</v>
      </c>
      <c r="G713" s="217">
        <f>(G625/G612)*AV91</f>
        <v>0</v>
      </c>
      <c r="H713" s="219">
        <f>(H628/H612)*AV60</f>
        <v>10981.271667083902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26957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120932892.74000001</v>
      </c>
      <c r="D715" s="202">
        <f>SUM(D616:D647)+SUM(D668:D713)</f>
        <v>1251327.1800000002</v>
      </c>
      <c r="E715" s="202">
        <f>SUM(E624:E647)+SUM(E668:E713)</f>
        <v>5133987.6033462016</v>
      </c>
      <c r="F715" s="202">
        <f>SUM(F625:F648)+SUM(F668:F713)</f>
        <v>363324.58752387011</v>
      </c>
      <c r="G715" s="202">
        <f>SUM(G626:G647)+SUM(G668:G713)</f>
        <v>497315.36533272348</v>
      </c>
      <c r="H715" s="202">
        <f>SUM(H629:H647)+SUM(H668:H713)</f>
        <v>6967093.9550663028</v>
      </c>
      <c r="I715" s="202">
        <f>SUM(I630:I647)+SUM(I668:I713)</f>
        <v>1592649.718103345</v>
      </c>
      <c r="J715" s="202">
        <f>SUM(J631:J647)+SUM(J668:J713)</f>
        <v>437480.76724529854</v>
      </c>
      <c r="K715" s="202">
        <f>SUM(K668:K713)</f>
        <v>17143448.949601684</v>
      </c>
      <c r="L715" s="202">
        <f>SUM(L668:L713)</f>
        <v>1429518.9724254699</v>
      </c>
      <c r="M715" s="202">
        <f>SUM(M668:M713)</f>
        <v>32401455</v>
      </c>
      <c r="N715" s="211" t="s">
        <v>694</v>
      </c>
    </row>
    <row r="716" spans="1:14" s="202" customFormat="1" ht="12.6" customHeight="1" x14ac:dyDescent="0.2">
      <c r="C716" s="214">
        <f>CE85</f>
        <v>120932892.74000001</v>
      </c>
      <c r="D716" s="202">
        <f>D615</f>
        <v>1251327.1800000002</v>
      </c>
      <c r="E716" s="202">
        <f>E623</f>
        <v>5133987.6033462016</v>
      </c>
      <c r="F716" s="202">
        <f>F624</f>
        <v>363324.58752387017</v>
      </c>
      <c r="G716" s="202">
        <f>G625</f>
        <v>497315.36533272348</v>
      </c>
      <c r="H716" s="202">
        <f>H628</f>
        <v>2929515.676043848</v>
      </c>
      <c r="I716" s="202">
        <f>I629</f>
        <v>1592649.7181033448</v>
      </c>
      <c r="J716" s="202">
        <f>J630</f>
        <v>437480.76724529854</v>
      </c>
      <c r="K716" s="202">
        <f>K644</f>
        <v>17143448.949601684</v>
      </c>
      <c r="L716" s="202">
        <f>L647</f>
        <v>1429518.9724254704</v>
      </c>
      <c r="M716" s="202">
        <f>C648</f>
        <v>28363878.479999997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72" fitToHeight="13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I21" sqref="I21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5" width="10.77734375" style="11" customWidth="1"/>
    <col min="6" max="6" width="7" style="11" customWidth="1"/>
    <col min="7" max="7" width="9.33203125" style="11" bestFit="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Public Hospital District #1-A of Whitman County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H-172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835 SE Bishop Blvd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835 SE Bishop Blvd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Pullman, Washington</v>
      </c>
      <c r="F21" s="10"/>
      <c r="G21" s="345">
        <v>99163</v>
      </c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 t="s">
        <v>1370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 t="s">
        <v>1369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pm1eIXZ1iBHP6qEFWMt+eSol9UjLUAaXzOaneTAgCGJpBcmRKu9qBWg0XW/wPqPY+XD0+EPug4CBfh0mMDUnsw==" saltValue="Ho6R9zzLRMwLC8Ft9FGoCw==" spinCount="100000" sheet="1" objects="1" scenarios="1"/>
  <pageMargins left="0.75" right="0.75" top="1" bottom="1" header="0.5" footer="0.5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  <pageSetUpPr fitToPage="1"/>
  </sheetPr>
  <dimension ref="A2:M94"/>
  <sheetViews>
    <sheetView topLeftCell="A7" zoomScale="85" zoomScaleNormal="85" workbookViewId="0">
      <selection activeCell="J26" sqref="J26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172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361</v>
      </c>
      <c r="C14" s="228" t="s">
        <v>361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2178288</v>
      </c>
      <c r="C15" s="228">
        <f>data!C85</f>
        <v>2142027.79</v>
      </c>
      <c r="D15" s="228">
        <f>ROUND(N('Prior Year'!C59), 0)</f>
        <v>670</v>
      </c>
      <c r="E15" s="1" t="e">
        <f>data!#REF!</f>
        <v>#REF!</v>
      </c>
      <c r="F15" s="205">
        <f t="shared" ref="F15:F59" si="0">IF(B15=0,"",IF(D15=0,"",B15/D15))</f>
        <v>3251.176119402985</v>
      </c>
      <c r="G15" s="205" t="e">
        <f t="shared" ref="G15:G29" si="1">IF(C15=0,"",IF(E15=0,"",C15/E15))</f>
        <v>#REF!</v>
      </c>
      <c r="H15" s="6" t="e">
        <f t="shared" ref="H15:H30" si="2">IF(B15 = 0, "", IF(C15 = 0, "", IF(D15 = 0, "", IF(E15 = 0, "", IF(G15 / F15 - 1 &lt; -0.25, G15 / F15 - 1, IF(G15 / F15 - 1 &gt; 0.25, G15 / F15 - 1, ""))))))</f>
        <v>#REF!</v>
      </c>
      <c r="I15" s="228" t="e">
        <f t="shared" ref="I15:I46" si="3">IF(H15 = "", "", IF(ABS(H15) &gt; 25 %, "Please provide explanation for the fluctuation noted here", ""))</f>
        <v>#REF!</v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5078685</v>
      </c>
      <c r="C17" s="228">
        <f>data!E85</f>
        <v>5151252.3899999997</v>
      </c>
      <c r="D17" s="228">
        <f>ROUND(N('Prior Year'!E59), 0)</f>
        <v>2522</v>
      </c>
      <c r="E17" s="1">
        <f>data!E59</f>
        <v>2268</v>
      </c>
      <c r="F17" s="205">
        <f t="shared" si="0"/>
        <v>2013.7529738302935</v>
      </c>
      <c r="G17" s="205">
        <f t="shared" si="1"/>
        <v>2271.275304232804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719</v>
      </c>
      <c r="E22" s="1">
        <f>data!J59</f>
        <v>735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3413373</v>
      </c>
      <c r="C27" s="228">
        <f>data!O85</f>
        <v>3586279.5100000002</v>
      </c>
      <c r="D27" s="228">
        <f>ROUND(N('Prior Year'!O59), 0)</f>
        <v>382</v>
      </c>
      <c r="E27" s="1">
        <f>data!O59</f>
        <v>383</v>
      </c>
      <c r="F27" s="205">
        <f t="shared" si="0"/>
        <v>8935.5314136125653</v>
      </c>
      <c r="G27" s="205">
        <f t="shared" si="1"/>
        <v>9363.6540731070509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11269417</v>
      </c>
      <c r="C28" s="228">
        <f>data!P85</f>
        <v>10167415.330000002</v>
      </c>
      <c r="D28" s="228">
        <f>ROUND(N('Prior Year'!P59), 0)</f>
        <v>302518</v>
      </c>
      <c r="E28" s="1">
        <f>data!P59</f>
        <v>249820</v>
      </c>
      <c r="F28" s="205">
        <f t="shared" si="0"/>
        <v>37.252054423207873</v>
      </c>
      <c r="G28" s="205">
        <f t="shared" si="1"/>
        <v>40.698964574493644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17067</v>
      </c>
      <c r="C29" s="228">
        <f>data!Q85</f>
        <v>22756.3</v>
      </c>
      <c r="D29" s="228">
        <f>ROUND(N('Prior Year'!Q59), 0)</f>
        <v>120901</v>
      </c>
      <c r="E29" s="1">
        <f>data!Q59</f>
        <v>112876</v>
      </c>
      <c r="F29" s="205">
        <f t="shared" si="0"/>
        <v>0.14116508548316392</v>
      </c>
      <c r="G29" s="205">
        <f t="shared" si="1"/>
        <v>0.20160441546475777</v>
      </c>
      <c r="H29" s="6">
        <f t="shared" si="2"/>
        <v>0.42814644835675142</v>
      </c>
      <c r="I29" s="228" t="s">
        <v>1381</v>
      </c>
      <c r="M29" s="7"/>
    </row>
    <row r="30" spans="1:13" x14ac:dyDescent="0.25">
      <c r="A30" s="1" t="s">
        <v>748</v>
      </c>
      <c r="B30" s="228">
        <f>ROUND(N('Prior Year'!R85), 0)</f>
        <v>3798613</v>
      </c>
      <c r="C30" s="228">
        <f>data!R85</f>
        <v>3927544.22</v>
      </c>
      <c r="D30" s="228">
        <f>ROUND(N('Prior Year'!R59), 0)</f>
        <v>317288</v>
      </c>
      <c r="E30" s="1">
        <f>data!R59</f>
        <v>0</v>
      </c>
      <c r="F30" s="205">
        <f t="shared" si="0"/>
        <v>11.97212942185018</v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5602654</v>
      </c>
      <c r="C31" s="228">
        <f>data!S85</f>
        <v>7674772.1799999997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3987839</v>
      </c>
      <c r="C33" s="228">
        <f>data!U85</f>
        <v>4801320.54</v>
      </c>
      <c r="D33" s="228">
        <f>ROUND(N('Prior Year'!U59), 0)</f>
        <v>148145</v>
      </c>
      <c r="E33" s="1">
        <f>data!U59</f>
        <v>181071</v>
      </c>
      <c r="F33" s="205">
        <f t="shared" si="0"/>
        <v>26.918485267811942</v>
      </c>
      <c r="G33" s="205">
        <f t="shared" ref="G33:G69" si="4">IF(C33=0,"",IF(E33=0,"",C33/E33))</f>
        <v>26.516231423032956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26861</v>
      </c>
      <c r="C34" s="228">
        <f>data!V85</f>
        <v>14781</v>
      </c>
      <c r="D34" s="228">
        <f>ROUND(N('Prior Year'!V59), 0)</f>
        <v>4416</v>
      </c>
      <c r="E34" s="1">
        <f>data!V59</f>
        <v>0</v>
      </c>
      <c r="F34" s="205">
        <f t="shared" si="0"/>
        <v>6.0826539855072461</v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1010978</v>
      </c>
      <c r="C35" s="228">
        <f>data!W85</f>
        <v>1074397.72</v>
      </c>
      <c r="D35" s="228">
        <f>ROUND(N('Prior Year'!W59), 0)</f>
        <v>3643</v>
      </c>
      <c r="E35" s="1">
        <f>data!W59</f>
        <v>4292</v>
      </c>
      <c r="F35" s="205">
        <f t="shared" si="0"/>
        <v>277.51248970628603</v>
      </c>
      <c r="G35" s="205">
        <f t="shared" si="4"/>
        <v>250.32565703634668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1087763</v>
      </c>
      <c r="C36" s="228">
        <f>data!X85</f>
        <v>1178142.75</v>
      </c>
      <c r="D36" s="228">
        <f>ROUND(N('Prior Year'!X59), 0)</f>
        <v>6126</v>
      </c>
      <c r="E36" s="1">
        <f>data!X59</f>
        <v>6783</v>
      </c>
      <c r="F36" s="205">
        <f t="shared" si="0"/>
        <v>177.56496898465556</v>
      </c>
      <c r="G36" s="205">
        <f t="shared" si="4"/>
        <v>173.6905130473242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2918485</v>
      </c>
      <c r="C37" s="228">
        <f>data!Y85</f>
        <v>2953831.1599999997</v>
      </c>
      <c r="D37" s="228">
        <f>ROUND(N('Prior Year'!Y59), 0)</f>
        <v>25651</v>
      </c>
      <c r="E37" s="1">
        <f>data!Y59</f>
        <v>27617</v>
      </c>
      <c r="F37" s="205">
        <f t="shared" si="0"/>
        <v>113.77665588086235</v>
      </c>
      <c r="G37" s="205">
        <f t="shared" si="4"/>
        <v>106.95698881123944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1029751</v>
      </c>
      <c r="C39" s="228">
        <f>data!AA85</f>
        <v>1454182.83</v>
      </c>
      <c r="D39" s="228">
        <f>ROUND(N('Prior Year'!AA59), 0)</f>
        <v>992</v>
      </c>
      <c r="E39" s="1">
        <f>data!AA59</f>
        <v>888</v>
      </c>
      <c r="F39" s="205">
        <f t="shared" si="0"/>
        <v>1038.0554435483871</v>
      </c>
      <c r="G39" s="205">
        <f t="shared" si="4"/>
        <v>1637.5932770270272</v>
      </c>
      <c r="H39" s="6">
        <f t="shared" si="5"/>
        <v>0.57755858533840798</v>
      </c>
      <c r="I39" s="344" t="s">
        <v>1380</v>
      </c>
      <c r="M39" s="7"/>
    </row>
    <row r="40" spans="1:13" x14ac:dyDescent="0.25">
      <c r="A40" s="1" t="s">
        <v>759</v>
      </c>
      <c r="B40" s="228">
        <f>ROUND(N('Prior Year'!AB85), 0)</f>
        <v>5913219</v>
      </c>
      <c r="C40" s="228">
        <f>data!AB85</f>
        <v>5962066.6000000006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1601771</v>
      </c>
      <c r="C41" s="228">
        <f>data!AC85</f>
        <v>1826714.7799999998</v>
      </c>
      <c r="D41" s="228">
        <f>ROUND(N('Prior Year'!AC59), 0)</f>
        <v>5889</v>
      </c>
      <c r="E41" s="1">
        <f>data!AC59</f>
        <v>6275</v>
      </c>
      <c r="F41" s="205">
        <f t="shared" si="0"/>
        <v>271.99371709967738</v>
      </c>
      <c r="G41" s="205">
        <f t="shared" si="4"/>
        <v>291.10992509960158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5455383</v>
      </c>
      <c r="C43" s="228">
        <f>data!AE85</f>
        <v>5993053.8099999996</v>
      </c>
      <c r="D43" s="228">
        <f>ROUND(N('Prior Year'!AE59), 0)</f>
        <v>36620</v>
      </c>
      <c r="E43" s="1">
        <f>data!AE59</f>
        <v>42437</v>
      </c>
      <c r="F43" s="205">
        <f t="shared" si="0"/>
        <v>148.97277444019662</v>
      </c>
      <c r="G43" s="205">
        <f t="shared" si="4"/>
        <v>141.22237222235313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8638529</v>
      </c>
      <c r="C45" s="228">
        <f>data!AG85</f>
        <v>9186438.2999999989</v>
      </c>
      <c r="D45" s="228">
        <f>ROUND(N('Prior Year'!AG59), 0)</f>
        <v>14005</v>
      </c>
      <c r="E45" s="1">
        <f>data!AG59</f>
        <v>14484</v>
      </c>
      <c r="F45" s="205">
        <f t="shared" si="0"/>
        <v>616.81749375223137</v>
      </c>
      <c r="G45" s="205">
        <f t="shared" si="4"/>
        <v>634.24732808616398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39001.910000000003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104521</v>
      </c>
      <c r="C48" s="228">
        <f>data!AJ85</f>
        <v>116754.05</v>
      </c>
      <c r="D48" s="228">
        <f>ROUND(N('Prior Year'!AJ59), 0)</f>
        <v>424</v>
      </c>
      <c r="E48" s="1">
        <f>data!AJ59</f>
        <v>443</v>
      </c>
      <c r="F48" s="205">
        <f t="shared" si="0"/>
        <v>246.51179245283018</v>
      </c>
      <c r="G48" s="205">
        <f t="shared" si="4"/>
        <v>263.55316027088037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18043263</v>
      </c>
      <c r="C54" s="228">
        <f>data!AP85</f>
        <v>25058037.370000001</v>
      </c>
      <c r="D54" s="228">
        <f>ROUND(N('Prior Year'!AP59), 0)</f>
        <v>54033</v>
      </c>
      <c r="E54" s="1">
        <f>data!AP59</f>
        <v>67082</v>
      </c>
      <c r="F54" s="205">
        <f t="shared" si="0"/>
        <v>333.93043140303149</v>
      </c>
      <c r="G54" s="205">
        <f t="shared" si="4"/>
        <v>373.54338525983127</v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16865</v>
      </c>
      <c r="C60" s="228">
        <f>data!AV85</f>
        <v>238243.72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429775</v>
      </c>
      <c r="C63" s="228">
        <f>data!AY85</f>
        <v>473718.24999999994</v>
      </c>
      <c r="D63" s="228">
        <f>ROUND(N('Prior Year'!AY59), 0)</f>
        <v>16387</v>
      </c>
      <c r="E63" s="1">
        <f>data!AY59</f>
        <v>20388</v>
      </c>
      <c r="F63" s="205">
        <f>IF(B63=0,"",IF(D63=0,"",B63/D63))</f>
        <v>26.226582046744369</v>
      </c>
      <c r="G63" s="205">
        <f t="shared" si="4"/>
        <v>23.235150578771822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871775</v>
      </c>
      <c r="C64" s="228">
        <f>data!AZ85</f>
        <v>1949176.99</v>
      </c>
      <c r="D64" s="228">
        <f>ROUND(N('Prior Year'!AZ59), 0)</f>
        <v>85431</v>
      </c>
      <c r="E64" s="1">
        <f>data!AZ59</f>
        <v>115948</v>
      </c>
      <c r="F64" s="205">
        <f>IF(B64=0,"",IF(D64=0,"",B64/D64))</f>
        <v>10.204433987662558</v>
      </c>
      <c r="G64" s="205">
        <f t="shared" si="4"/>
        <v>16.81078578328216</v>
      </c>
      <c r="H64" s="6">
        <f>IF(B64 = 0, "", IF(C64 = 0, "", IF(D64 = 0, "", IF(E64 = 0, "", IF(G64 / F64 - 1 &lt; -0.25, G64 / F64 - 1, IF(G64 / F64 - 1 &gt; 0.25, G64 / F64 - 1, ""))))))</f>
        <v>0.64740012073250353</v>
      </c>
      <c r="I64" s="228" t="s">
        <v>1379</v>
      </c>
      <c r="M64" s="7"/>
    </row>
    <row r="65" spans="1:13" x14ac:dyDescent="0.25">
      <c r="A65" s="1" t="s">
        <v>784</v>
      </c>
      <c r="B65" s="228">
        <f>ROUND(N('Prior Year'!BA85), 0)</f>
        <v>360981</v>
      </c>
      <c r="C65" s="228">
        <f>data!BA85</f>
        <v>387681.37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743975</v>
      </c>
      <c r="C66" s="228">
        <f>data!BB85</f>
        <v>753640.23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842156</v>
      </c>
      <c r="C68" s="228">
        <f>data!BD85</f>
        <v>317271.72000000009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2309467</v>
      </c>
      <c r="C69" s="228">
        <f>data!BE85</f>
        <v>2281221.1800000002</v>
      </c>
      <c r="D69" s="228">
        <f>ROUND(N('Prior Year'!BE59), 0)</f>
        <v>127457</v>
      </c>
      <c r="E69" s="1">
        <f>data!BE59</f>
        <v>127457</v>
      </c>
      <c r="F69" s="205">
        <f>IF(B69=0,"",IF(D69=0,"",B69/D69))</f>
        <v>18.119577583028001</v>
      </c>
      <c r="G69" s="205">
        <f t="shared" si="4"/>
        <v>17.897967000635511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1192301</v>
      </c>
      <c r="C70" s="228">
        <f>data!BF85</f>
        <v>1389803.6400000001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3814718</v>
      </c>
      <c r="C72" s="228">
        <f>data!BH85</f>
        <v>3353958.93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712083</v>
      </c>
      <c r="C73" s="228">
        <f>data!BI85</f>
        <v>613400.26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-2411261</v>
      </c>
      <c r="C74" s="228">
        <f>data!BJ85</f>
        <v>607836.81999999995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4315964</v>
      </c>
      <c r="C75" s="228">
        <f>data!BK85</f>
        <v>6771062.379999999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1165192</v>
      </c>
      <c r="C76" s="228">
        <f>data!BL85</f>
        <v>1191893.58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1841733</v>
      </c>
      <c r="C77" s="228">
        <f>data!BM85</f>
        <v>1110597.96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1348698</v>
      </c>
      <c r="C78" s="228">
        <f>data!BN85</f>
        <v>2016123.46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212491</v>
      </c>
      <c r="C79" s="228">
        <f>data!BO85</f>
        <v>285311.39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1233771</v>
      </c>
      <c r="C80" s="228">
        <f>data!BP85</f>
        <v>1165273.4699999997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656312</v>
      </c>
      <c r="C82" s="228">
        <f>data!BR85</f>
        <v>105164.51999999986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249692</v>
      </c>
      <c r="C83" s="228">
        <f>data!BS85</f>
        <v>166049.79999999999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538774</v>
      </c>
      <c r="C86" s="228">
        <f>data!BV85</f>
        <v>532756.93000000005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1290859</v>
      </c>
      <c r="C87" s="228">
        <f>data!BW85</f>
        <v>837043.79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384956</v>
      </c>
      <c r="C88" s="228">
        <f>data!BX85</f>
        <v>551652.62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1229772</v>
      </c>
      <c r="C89" s="228">
        <f>data!BY85</f>
        <v>1329208.53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264690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1000673</v>
      </c>
      <c r="C93" s="228">
        <f>data!CC85</f>
        <v>1203924.6599999999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-1029894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mTWukHtJMbPC5WctlWdg6Ua/CZWyKtAAX9UWhlqBMll3ku0NSR0w6DUT5BA9yVfXM4R1IqOTcOC7jC2pt+ooNA==" saltValue="+Xf48E7gDe9e0P4P0FXBBg==" spinCount="100000" sheet="1" objects="1" scenarios="1"/>
  <pageMargins left="0.7" right="0.7" top="0.75" bottom="0.75" header="0.3" footer="0.3"/>
  <pageSetup scale="32" fitToHeight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21" workbookViewId="0">
      <selection activeCell="B36" sqref="B36"/>
    </sheetView>
  </sheetViews>
  <sheetFormatPr defaultRowHeight="15" x14ac:dyDescent="0.2"/>
  <cols>
    <col min="2" max="2" width="12.88671875" customWidth="1"/>
    <col min="4" max="4" width="9.109375" bestFit="1" customWidth="1"/>
    <col min="8" max="8" width="10.77734375" bestFit="1" customWidth="1"/>
  </cols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1828528.0899999999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1" t="s">
        <v>1377</v>
      </c>
      <c r="B15" s="267"/>
      <c r="C15" s="267"/>
      <c r="D15" s="267">
        <v>480768.33</v>
      </c>
    </row>
    <row r="16" spans="1:4" ht="15.75" x14ac:dyDescent="0.25">
      <c r="A16" s="1" t="s">
        <v>1378</v>
      </c>
      <c r="B16" s="267"/>
      <c r="C16" s="267"/>
      <c r="D16" s="267">
        <v>1629777</v>
      </c>
    </row>
    <row r="17" spans="1:4" ht="15.75" x14ac:dyDescent="0.25">
      <c r="A17" s="267"/>
      <c r="B17" s="267"/>
      <c r="C17" s="267"/>
      <c r="D17" s="267"/>
    </row>
    <row r="18" spans="1:4" ht="15.75" x14ac:dyDescent="0.25">
      <c r="A18" s="267"/>
      <c r="B18" s="267"/>
      <c r="C18" s="267"/>
      <c r="D18" s="267"/>
    </row>
    <row r="19" spans="1:4" ht="15.75" x14ac:dyDescent="0.25">
      <c r="A19" s="267"/>
      <c r="B19" s="267"/>
      <c r="C19" s="267"/>
      <c r="D19" s="267"/>
    </row>
    <row r="20" spans="1:4" ht="15.75" x14ac:dyDescent="0.25">
      <c r="A20" s="267"/>
      <c r="B20" s="267"/>
      <c r="C20" s="267"/>
      <c r="D20" s="267"/>
    </row>
    <row r="21" spans="1:4" ht="15.75" x14ac:dyDescent="0.25">
      <c r="A21" s="267"/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2398279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1372</v>
      </c>
      <c r="B29" s="267"/>
      <c r="C29" s="267"/>
      <c r="D29" s="267">
        <v>1029894</v>
      </c>
    </row>
    <row r="30" spans="1:4" ht="15.75" x14ac:dyDescent="0.25">
      <c r="A30" s="1" t="s">
        <v>1373</v>
      </c>
      <c r="B30" s="267"/>
      <c r="C30" s="267"/>
      <c r="D30" s="267">
        <v>304640</v>
      </c>
    </row>
    <row r="31" spans="1:4" ht="15.75" x14ac:dyDescent="0.25">
      <c r="A31" s="1" t="s">
        <v>1374</v>
      </c>
      <c r="B31" s="267"/>
      <c r="C31" s="267"/>
      <c r="D31" s="267">
        <v>277107</v>
      </c>
    </row>
    <row r="32" spans="1:4" ht="15.75" x14ac:dyDescent="0.25">
      <c r="A32" s="1" t="s">
        <v>1375</v>
      </c>
      <c r="B32" s="267"/>
      <c r="C32" s="267"/>
      <c r="D32" s="267">
        <f>25884+15561+29576+98162</f>
        <v>169183</v>
      </c>
    </row>
    <row r="33" spans="1:4" ht="15.75" x14ac:dyDescent="0.25">
      <c r="A33" s="1" t="s">
        <v>1376</v>
      </c>
      <c r="B33" s="267"/>
      <c r="C33" s="267"/>
      <c r="D33" s="267">
        <f>46332+2661</f>
        <v>48993</v>
      </c>
    </row>
    <row r="34" spans="1:4" ht="15.75" x14ac:dyDescent="0.25">
      <c r="A34" s="267"/>
      <c r="B34" s="267"/>
      <c r="C34" s="267"/>
      <c r="D34" s="267"/>
    </row>
    <row r="35" spans="1:4" ht="15.75" x14ac:dyDescent="0.25">
      <c r="A35" s="267"/>
      <c r="B35" s="267"/>
      <c r="C35" s="267"/>
      <c r="D35" s="267"/>
    </row>
    <row r="36" spans="1:4" ht="57" x14ac:dyDescent="0.25">
      <c r="A36" s="1" t="s">
        <v>1382</v>
      </c>
      <c r="B36" s="346" t="s">
        <v>1383</v>
      </c>
      <c r="C36" s="267"/>
      <c r="D36" s="267">
        <v>-6121034</v>
      </c>
    </row>
  </sheetData>
  <sheetProtection algorithmName="SHA-512" hashValue="9tuT/IF3hs++cVxIZXppFEAO/68UU18Am/D8NCmIlG1tEOO5eiPvocQjuGGMQcue7e36UhORYSAnASCMTwhneQ==" saltValue="Wvt9ENpPVkEDdgrKngCLJ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825</v>
      </c>
    </row>
    <row r="2" spans="1:7" ht="20.100000000000001" customHeight="1" x14ac:dyDescent="0.25">
      <c r="A2" s="62" t="s">
        <v>826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H-172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Public Hospital District #1-A of Whitman County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311</v>
      </c>
      <c r="C6" s="67"/>
      <c r="D6" s="64" t="str">
        <f>"  "&amp;data!C103</f>
        <v xml:space="preserve">  Whitman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827</v>
      </c>
      <c r="C7" s="67"/>
      <c r="D7" s="64" t="str">
        <f>"  "&amp;data!C104</f>
        <v xml:space="preserve">  Matt Forge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828</v>
      </c>
      <c r="C8" s="67"/>
      <c r="D8" s="64" t="str">
        <f>"  "&amp;data!C105</f>
        <v xml:space="preserve">  Steven D. Febus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829</v>
      </c>
      <c r="C9" s="67"/>
      <c r="D9" s="64" t="str">
        <f>"  "&amp;data!C106</f>
        <v xml:space="preserve">  Tricia Grantham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830</v>
      </c>
      <c r="C10" s="67"/>
      <c r="D10" s="64" t="str">
        <f>"  "&amp;data!C107</f>
        <v xml:space="preserve">  509-332-2541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831</v>
      </c>
      <c r="C11" s="67"/>
      <c r="D11" s="64" t="str">
        <f>"  "&amp;data!C108</f>
        <v xml:space="preserve">  509-332-4242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832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323</v>
      </c>
      <c r="B15" s="74"/>
      <c r="C15" s="75" t="s">
        <v>325</v>
      </c>
      <c r="D15" s="74"/>
      <c r="E15" s="75" t="s">
        <v>327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833</v>
      </c>
      <c r="E16" s="229" t="str">
        <f>IF(data!C120&gt;0," X","")</f>
        <v/>
      </c>
      <c r="F16" s="81" t="s">
        <v>328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311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329</v>
      </c>
      <c r="G17" s="67"/>
    </row>
    <row r="18" spans="1:7" ht="20.100000000000001" customHeight="1" x14ac:dyDescent="0.25">
      <c r="A18" s="63"/>
      <c r="B18" s="67" t="s">
        <v>834</v>
      </c>
      <c r="C18" s="67"/>
      <c r="D18" s="67"/>
      <c r="E18" s="229" t="str">
        <f>IF(data!C122&gt;0," X","")</f>
        <v/>
      </c>
      <c r="F18" s="81" t="s">
        <v>330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835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836</v>
      </c>
      <c r="C22" s="64"/>
      <c r="D22" s="64"/>
      <c r="E22" s="64"/>
      <c r="F22" s="78" t="s">
        <v>333</v>
      </c>
      <c r="G22" s="79" t="s">
        <v>241</v>
      </c>
    </row>
    <row r="23" spans="1:7" ht="20.100000000000001" customHeight="1" x14ac:dyDescent="0.25">
      <c r="A23" s="63"/>
      <c r="B23" s="64" t="s">
        <v>837</v>
      </c>
      <c r="C23" s="64"/>
      <c r="D23" s="64"/>
      <c r="E23" s="64"/>
      <c r="F23" s="63">
        <f>data!C127</f>
        <v>1444</v>
      </c>
      <c r="G23" s="67">
        <f>data!D127</f>
        <v>2900</v>
      </c>
    </row>
    <row r="24" spans="1:7" ht="20.100000000000001" customHeight="1" x14ac:dyDescent="0.25">
      <c r="A24" s="63"/>
      <c r="B24" s="64" t="s">
        <v>838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839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337</v>
      </c>
      <c r="C26" s="64"/>
      <c r="D26" s="64"/>
      <c r="E26" s="64"/>
      <c r="F26" s="63">
        <f>data!C130</f>
        <v>383</v>
      </c>
      <c r="G26" s="67">
        <f>data!D130</f>
        <v>735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840</v>
      </c>
      <c r="C29" s="67"/>
      <c r="D29" s="79" t="s">
        <v>193</v>
      </c>
      <c r="E29" s="83" t="s">
        <v>840</v>
      </c>
      <c r="F29" s="67"/>
      <c r="G29" s="79" t="s">
        <v>193</v>
      </c>
    </row>
    <row r="30" spans="1:7" ht="20.100000000000001" customHeight="1" x14ac:dyDescent="0.25">
      <c r="A30" s="63"/>
      <c r="B30" s="64" t="s">
        <v>339</v>
      </c>
      <c r="C30" s="67"/>
      <c r="D30" s="67">
        <f>data!C132</f>
        <v>2</v>
      </c>
      <c r="E30" s="64" t="s">
        <v>345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841</v>
      </c>
      <c r="C31" s="67"/>
      <c r="D31" s="67">
        <f>data!C133</f>
        <v>0</v>
      </c>
      <c r="E31" s="64" t="s">
        <v>346</v>
      </c>
      <c r="F31" s="67"/>
      <c r="G31" s="67">
        <f>data!C140</f>
        <v>2</v>
      </c>
    </row>
    <row r="32" spans="1:7" ht="20.100000000000001" customHeight="1" x14ac:dyDescent="0.25">
      <c r="A32" s="63"/>
      <c r="B32" s="83" t="s">
        <v>842</v>
      </c>
      <c r="C32" s="67"/>
      <c r="D32" s="67">
        <f>data!C134</f>
        <v>13</v>
      </c>
      <c r="E32" s="64" t="s">
        <v>843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844</v>
      </c>
      <c r="C33" s="67"/>
      <c r="D33" s="67">
        <f>data!C135</f>
        <v>0</v>
      </c>
      <c r="E33" s="64" t="s">
        <v>845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846</v>
      </c>
      <c r="C34" s="67"/>
      <c r="D34" s="67">
        <f>data!C136</f>
        <v>8</v>
      </c>
      <c r="E34" s="64" t="s">
        <v>348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847</v>
      </c>
      <c r="C35" s="67"/>
      <c r="D35" s="67">
        <f>data!C137</f>
        <v>0</v>
      </c>
      <c r="E35" s="64" t="s">
        <v>848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349</v>
      </c>
      <c r="F36" s="67"/>
      <c r="G36" s="67">
        <f>data!C144</f>
        <v>42</v>
      </c>
    </row>
    <row r="37" spans="1:7" ht="20.100000000000001" customHeight="1" x14ac:dyDescent="0.25">
      <c r="A37" s="63"/>
      <c r="E37" s="64" t="s">
        <v>350</v>
      </c>
      <c r="F37" s="67"/>
      <c r="G37" s="67">
        <f>data!C145</f>
        <v>8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345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849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850</v>
      </c>
      <c r="G1" s="61" t="s">
        <v>851</v>
      </c>
    </row>
    <row r="2" spans="1:7" ht="20.100000000000001" customHeight="1" x14ac:dyDescent="0.25">
      <c r="A2" s="1" t="str">
        <f>"Hospital: "&amp;data!C98</f>
        <v>Hospital: Public Hospital District #1-A of Whitman County</v>
      </c>
      <c r="G2" s="4" t="s">
        <v>852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853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854</v>
      </c>
      <c r="C5" s="74"/>
      <c r="D5" s="74"/>
      <c r="E5" s="125" t="s">
        <v>360</v>
      </c>
      <c r="F5" s="74"/>
      <c r="G5" s="74"/>
    </row>
    <row r="6" spans="1:7" ht="20.100000000000001" customHeight="1" x14ac:dyDescent="0.25">
      <c r="A6" s="126" t="s">
        <v>855</v>
      </c>
      <c r="B6" s="79" t="s">
        <v>333</v>
      </c>
      <c r="C6" s="79" t="s">
        <v>856</v>
      </c>
      <c r="D6" s="79" t="s">
        <v>356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354</v>
      </c>
      <c r="B7" s="127">
        <f>data!B154</f>
        <v>564</v>
      </c>
      <c r="C7" s="127">
        <f>data!B155</f>
        <v>1273</v>
      </c>
      <c r="D7" s="127">
        <f>data!B156</f>
        <v>57691</v>
      </c>
      <c r="E7" s="127">
        <f>data!B157</f>
        <v>11242784</v>
      </c>
      <c r="F7" s="127">
        <f>data!B158</f>
        <v>86406321</v>
      </c>
      <c r="G7" s="127">
        <f>data!B157+data!B158</f>
        <v>97649105</v>
      </c>
    </row>
    <row r="8" spans="1:7" ht="20.100000000000001" customHeight="1" x14ac:dyDescent="0.25">
      <c r="A8" s="63" t="s">
        <v>355</v>
      </c>
      <c r="B8" s="127">
        <f>data!C154</f>
        <v>234</v>
      </c>
      <c r="C8" s="127">
        <f>data!C155</f>
        <v>509</v>
      </c>
      <c r="D8" s="127">
        <f>data!C156</f>
        <v>22197</v>
      </c>
      <c r="E8" s="127">
        <f>data!C157</f>
        <v>4433380</v>
      </c>
      <c r="F8" s="127">
        <f>data!C158</f>
        <v>33244892</v>
      </c>
      <c r="G8" s="127">
        <f>data!C157+data!C158</f>
        <v>37678272</v>
      </c>
    </row>
    <row r="9" spans="1:7" ht="20.100000000000001" customHeight="1" x14ac:dyDescent="0.25">
      <c r="A9" s="63" t="s">
        <v>857</v>
      </c>
      <c r="B9" s="127">
        <f>data!D154</f>
        <v>646</v>
      </c>
      <c r="C9" s="127">
        <f>data!D155</f>
        <v>1118</v>
      </c>
      <c r="D9" s="127">
        <f>data!D156</f>
        <v>80873</v>
      </c>
      <c r="E9" s="127">
        <f>data!D157</f>
        <v>11284575</v>
      </c>
      <c r="F9" s="127">
        <f>data!D158</f>
        <v>121128696</v>
      </c>
      <c r="G9" s="127">
        <f>data!D157+data!D158</f>
        <v>132413271</v>
      </c>
    </row>
    <row r="10" spans="1:7" ht="20.100000000000001" customHeight="1" x14ac:dyDescent="0.25">
      <c r="A10" s="78" t="s">
        <v>229</v>
      </c>
      <c r="B10" s="127">
        <f>data!E154</f>
        <v>1444</v>
      </c>
      <c r="C10" s="127">
        <f>data!E155</f>
        <v>2900</v>
      </c>
      <c r="D10" s="127">
        <f>data!E156</f>
        <v>160761</v>
      </c>
      <c r="E10" s="127">
        <f>data!E157</f>
        <v>26960739</v>
      </c>
      <c r="F10" s="127">
        <f>data!E158</f>
        <v>240779909</v>
      </c>
      <c r="G10" s="127">
        <f>E10+F10</f>
        <v>267740648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858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854</v>
      </c>
      <c r="C14" s="133"/>
      <c r="D14" s="133"/>
      <c r="E14" s="133" t="s">
        <v>360</v>
      </c>
      <c r="F14" s="133"/>
      <c r="G14" s="133"/>
    </row>
    <row r="15" spans="1:7" ht="20.100000000000001" customHeight="1" x14ac:dyDescent="0.25">
      <c r="A15" s="126" t="s">
        <v>855</v>
      </c>
      <c r="B15" s="79" t="s">
        <v>333</v>
      </c>
      <c r="C15" s="79" t="s">
        <v>856</v>
      </c>
      <c r="D15" s="79" t="s">
        <v>356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354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355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857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859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854</v>
      </c>
      <c r="C23" s="74"/>
      <c r="D23" s="74"/>
      <c r="E23" s="74" t="s">
        <v>360</v>
      </c>
      <c r="F23" s="74"/>
      <c r="G23" s="74"/>
    </row>
    <row r="24" spans="1:7" ht="20.100000000000001" customHeight="1" x14ac:dyDescent="0.25">
      <c r="A24" s="126" t="s">
        <v>855</v>
      </c>
      <c r="B24" s="79" t="s">
        <v>333</v>
      </c>
      <c r="C24" s="79" t="s">
        <v>856</v>
      </c>
      <c r="D24" s="79" t="s">
        <v>356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354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355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857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860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861</v>
      </c>
      <c r="C32" s="139">
        <f>data!B173</f>
        <v>9568696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862</v>
      </c>
      <c r="C33" s="135">
        <f>data!C173</f>
        <v>6413702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363</v>
      </c>
      <c r="B1" s="62"/>
      <c r="C1" s="61" t="s">
        <v>863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Public Hospital District #1-A of Whitman County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364</v>
      </c>
      <c r="C5" s="123"/>
    </row>
    <row r="6" spans="1:3" ht="20.100000000000001" customHeight="1" x14ac:dyDescent="0.25">
      <c r="A6" s="143">
        <v>2</v>
      </c>
      <c r="B6" s="64" t="s">
        <v>864</v>
      </c>
      <c r="C6" s="63">
        <f>data!C181</f>
        <v>3742211</v>
      </c>
    </row>
    <row r="7" spans="1:3" ht="20.100000000000001" customHeight="1" x14ac:dyDescent="0.25">
      <c r="A7" s="144">
        <v>3</v>
      </c>
      <c r="B7" s="83" t="s">
        <v>366</v>
      </c>
      <c r="C7" s="63">
        <f>data!C182</f>
        <v>12034</v>
      </c>
    </row>
    <row r="8" spans="1:3" ht="20.100000000000001" customHeight="1" x14ac:dyDescent="0.25">
      <c r="A8" s="144">
        <v>4</v>
      </c>
      <c r="B8" s="64" t="s">
        <v>367</v>
      </c>
      <c r="C8" s="63">
        <f>data!C183</f>
        <v>416066</v>
      </c>
    </row>
    <row r="9" spans="1:3" ht="20.100000000000001" customHeight="1" x14ac:dyDescent="0.25">
      <c r="A9" s="144">
        <v>5</v>
      </c>
      <c r="B9" s="64" t="s">
        <v>368</v>
      </c>
      <c r="C9" s="63">
        <f>data!C184</f>
        <v>6638962</v>
      </c>
    </row>
    <row r="10" spans="1:3" ht="20.100000000000001" customHeight="1" x14ac:dyDescent="0.25">
      <c r="A10" s="144">
        <v>6</v>
      </c>
      <c r="B10" s="64" t="s">
        <v>369</v>
      </c>
      <c r="C10" s="63">
        <f>data!C185</f>
        <v>18128</v>
      </c>
    </row>
    <row r="11" spans="1:3" ht="20.100000000000001" customHeight="1" x14ac:dyDescent="0.25">
      <c r="A11" s="144">
        <v>7</v>
      </c>
      <c r="B11" s="64" t="s">
        <v>370</v>
      </c>
      <c r="C11" s="63">
        <f>data!C186</f>
        <v>1294268</v>
      </c>
    </row>
    <row r="12" spans="1:3" ht="20.100000000000001" customHeight="1" x14ac:dyDescent="0.25">
      <c r="A12" s="144">
        <v>8</v>
      </c>
      <c r="B12" s="64" t="s">
        <v>371</v>
      </c>
      <c r="C12" s="63">
        <f>data!C187</f>
        <v>119346</v>
      </c>
    </row>
    <row r="13" spans="1:3" ht="20.100000000000001" customHeight="1" x14ac:dyDescent="0.25">
      <c r="A13" s="144">
        <v>9</v>
      </c>
      <c r="B13" s="64" t="s">
        <v>371</v>
      </c>
      <c r="C13" s="63">
        <f>data!C188</f>
        <v>3295673</v>
      </c>
    </row>
    <row r="14" spans="1:3" ht="20.100000000000001" customHeight="1" x14ac:dyDescent="0.25">
      <c r="A14" s="144">
        <v>10</v>
      </c>
      <c r="B14" s="64" t="s">
        <v>865</v>
      </c>
      <c r="C14" s="63">
        <f>data!D189</f>
        <v>15536688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372</v>
      </c>
      <c r="C17" s="77"/>
    </row>
    <row r="18" spans="1:3" ht="20.100000000000001" customHeight="1" x14ac:dyDescent="0.25">
      <c r="A18" s="63">
        <v>12</v>
      </c>
      <c r="B18" s="64" t="s">
        <v>866</v>
      </c>
      <c r="C18" s="63">
        <f>data!C191</f>
        <v>911726</v>
      </c>
    </row>
    <row r="19" spans="1:3" ht="20.100000000000001" customHeight="1" x14ac:dyDescent="0.25">
      <c r="A19" s="63">
        <v>13</v>
      </c>
      <c r="B19" s="64" t="s">
        <v>867</v>
      </c>
      <c r="C19" s="63">
        <f>data!C192</f>
        <v>576480</v>
      </c>
    </row>
    <row r="20" spans="1:3" ht="20.100000000000001" customHeight="1" x14ac:dyDescent="0.25">
      <c r="A20" s="63">
        <v>14</v>
      </c>
      <c r="B20" s="64" t="s">
        <v>868</v>
      </c>
      <c r="C20" s="63">
        <f>data!D193</f>
        <v>1488206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375</v>
      </c>
      <c r="C23" s="123"/>
    </row>
    <row r="24" spans="1:3" ht="20.100000000000001" customHeight="1" x14ac:dyDescent="0.25">
      <c r="A24" s="63">
        <v>16</v>
      </c>
      <c r="B24" s="75" t="s">
        <v>869</v>
      </c>
      <c r="C24" s="148"/>
    </row>
    <row r="25" spans="1:3" ht="20.100000000000001" customHeight="1" x14ac:dyDescent="0.25">
      <c r="A25" s="63">
        <v>17</v>
      </c>
      <c r="B25" s="64" t="s">
        <v>870</v>
      </c>
      <c r="C25" s="63">
        <f>data!C195</f>
        <v>439649</v>
      </c>
    </row>
    <row r="26" spans="1:3" ht="20.100000000000001" customHeight="1" x14ac:dyDescent="0.25">
      <c r="A26" s="63">
        <v>18</v>
      </c>
      <c r="B26" s="64" t="s">
        <v>377</v>
      </c>
      <c r="C26" s="63">
        <f>data!C196</f>
        <v>278352</v>
      </c>
    </row>
    <row r="27" spans="1:3" ht="20.100000000000001" customHeight="1" x14ac:dyDescent="0.25">
      <c r="A27" s="63">
        <v>19</v>
      </c>
      <c r="B27" s="64" t="s">
        <v>871</v>
      </c>
      <c r="C27" s="63">
        <f>data!D197</f>
        <v>718001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872</v>
      </c>
      <c r="C30" s="133"/>
    </row>
    <row r="31" spans="1:3" ht="20.100000000000001" customHeight="1" x14ac:dyDescent="0.25">
      <c r="A31" s="63">
        <v>21</v>
      </c>
      <c r="B31" s="64" t="s">
        <v>379</v>
      </c>
      <c r="C31" s="63">
        <f>data!C199</f>
        <v>77392</v>
      </c>
    </row>
    <row r="32" spans="1:3" ht="20.100000000000001" customHeight="1" x14ac:dyDescent="0.25">
      <c r="A32" s="63">
        <v>22</v>
      </c>
      <c r="B32" s="64" t="s">
        <v>873</v>
      </c>
      <c r="C32" s="63">
        <f>data!C200</f>
        <v>892817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874</v>
      </c>
      <c r="C34" s="63">
        <f>data!D202</f>
        <v>970209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381</v>
      </c>
      <c r="C37" s="123"/>
    </row>
    <row r="38" spans="1:3" ht="20.100000000000001" customHeight="1" x14ac:dyDescent="0.25">
      <c r="A38" s="63">
        <v>26</v>
      </c>
      <c r="B38" s="64" t="s">
        <v>875</v>
      </c>
      <c r="C38" s="63">
        <f>data!C204</f>
        <v>1977347</v>
      </c>
    </row>
    <row r="39" spans="1:3" ht="20.100000000000001" customHeight="1" x14ac:dyDescent="0.25">
      <c r="A39" s="63">
        <v>27</v>
      </c>
      <c r="B39" s="64" t="s">
        <v>383</v>
      </c>
      <c r="C39" s="63">
        <f>data!C205</f>
        <v>78139</v>
      </c>
    </row>
    <row r="40" spans="1:3" ht="20.100000000000001" customHeight="1" x14ac:dyDescent="0.25">
      <c r="A40" s="63">
        <v>28</v>
      </c>
      <c r="B40" s="64" t="s">
        <v>876</v>
      </c>
      <c r="C40" s="63">
        <f>data!D206</f>
        <v>2055486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384</v>
      </c>
      <c r="B1" s="62"/>
      <c r="C1" s="62"/>
      <c r="D1" s="62"/>
      <c r="E1" s="62"/>
      <c r="F1" s="61" t="s">
        <v>877</v>
      </c>
    </row>
    <row r="3" spans="1:6" ht="20.100000000000001" customHeight="1" x14ac:dyDescent="0.25">
      <c r="A3" s="120" t="str">
        <f>"Hospital: "&amp;data!C98</f>
        <v>Hospital: Public Hospital District #1-A of Whitman County</v>
      </c>
      <c r="F3" s="142" t="str">
        <f>"FYE: "&amp;data!C96</f>
        <v>FYE: 12/31/2024</v>
      </c>
    </row>
    <row r="4" spans="1:6" ht="20.100000000000001" customHeight="1" x14ac:dyDescent="0.25">
      <c r="A4" s="148" t="s">
        <v>385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878</v>
      </c>
      <c r="D5" s="151"/>
      <c r="E5" s="151"/>
      <c r="F5" s="151" t="s">
        <v>879</v>
      </c>
    </row>
    <row r="6" spans="1:6" ht="20.100000000000001" customHeight="1" x14ac:dyDescent="0.25">
      <c r="A6" s="152"/>
      <c r="B6" s="70"/>
      <c r="C6" s="153" t="s">
        <v>880</v>
      </c>
      <c r="D6" s="153" t="s">
        <v>387</v>
      </c>
      <c r="E6" s="153" t="s">
        <v>881</v>
      </c>
      <c r="F6" s="153" t="s">
        <v>880</v>
      </c>
    </row>
    <row r="7" spans="1:6" ht="20.100000000000001" customHeight="1" x14ac:dyDescent="0.25">
      <c r="A7" s="63">
        <v>1</v>
      </c>
      <c r="B7" s="67" t="s">
        <v>390</v>
      </c>
      <c r="C7" s="67">
        <f>data!B211</f>
        <v>1813305</v>
      </c>
      <c r="D7" s="67">
        <f>data!C211</f>
        <v>1512735</v>
      </c>
      <c r="E7" s="67">
        <f>data!D211</f>
        <v>0</v>
      </c>
      <c r="F7" s="67">
        <f>data!E211</f>
        <v>3326040</v>
      </c>
    </row>
    <row r="8" spans="1:6" ht="20.100000000000001" customHeight="1" x14ac:dyDescent="0.25">
      <c r="A8" s="63">
        <v>2</v>
      </c>
      <c r="B8" s="67" t="s">
        <v>391</v>
      </c>
      <c r="C8" s="67">
        <f>data!B212</f>
        <v>2670216</v>
      </c>
      <c r="D8" s="67">
        <f>data!C212</f>
        <v>0</v>
      </c>
      <c r="E8" s="67">
        <f>data!D212</f>
        <v>60468</v>
      </c>
      <c r="F8" s="67">
        <f>data!E212</f>
        <v>2609748</v>
      </c>
    </row>
    <row r="9" spans="1:6" ht="20.100000000000001" customHeight="1" x14ac:dyDescent="0.25">
      <c r="A9" s="63">
        <v>3</v>
      </c>
      <c r="B9" s="67" t="s">
        <v>392</v>
      </c>
      <c r="C9" s="67">
        <f>data!B213</f>
        <v>21972490</v>
      </c>
      <c r="D9" s="67">
        <f>data!C213</f>
        <v>96746</v>
      </c>
      <c r="E9" s="67">
        <f>data!D213</f>
        <v>1374644</v>
      </c>
      <c r="F9" s="67">
        <f>data!E213</f>
        <v>20694592</v>
      </c>
    </row>
    <row r="10" spans="1:6" ht="20.100000000000001" customHeight="1" x14ac:dyDescent="0.25">
      <c r="A10" s="63">
        <v>4</v>
      </c>
      <c r="B10" s="67" t="s">
        <v>882</v>
      </c>
      <c r="C10" s="67">
        <f>data!B214</f>
        <v>10168811</v>
      </c>
      <c r="D10" s="67">
        <f>data!C214</f>
        <v>194967</v>
      </c>
      <c r="E10" s="67">
        <f>data!D214</f>
        <v>404169</v>
      </c>
      <c r="F10" s="67">
        <f>data!E214</f>
        <v>9959609</v>
      </c>
    </row>
    <row r="11" spans="1:6" ht="20.100000000000001" customHeight="1" x14ac:dyDescent="0.25">
      <c r="A11" s="63">
        <v>5</v>
      </c>
      <c r="B11" s="67" t="s">
        <v>883</v>
      </c>
      <c r="C11" s="67">
        <f>data!B215</f>
        <v>524151</v>
      </c>
      <c r="D11" s="67">
        <f>data!C215</f>
        <v>51843</v>
      </c>
      <c r="E11" s="67">
        <f>data!D215</f>
        <v>0</v>
      </c>
      <c r="F11" s="67">
        <f>data!E215</f>
        <v>575994</v>
      </c>
    </row>
    <row r="12" spans="1:6" ht="20.100000000000001" customHeight="1" x14ac:dyDescent="0.25">
      <c r="A12" s="63">
        <v>6</v>
      </c>
      <c r="B12" s="67" t="s">
        <v>884</v>
      </c>
      <c r="C12" s="67">
        <f>data!B216</f>
        <v>26235716</v>
      </c>
      <c r="D12" s="67">
        <f>data!C216</f>
        <v>2538396</v>
      </c>
      <c r="E12" s="67">
        <f>data!D216</f>
        <v>1461376</v>
      </c>
      <c r="F12" s="67">
        <f>data!E216</f>
        <v>27312736</v>
      </c>
    </row>
    <row r="13" spans="1:6" ht="20.100000000000001" customHeight="1" x14ac:dyDescent="0.25">
      <c r="A13" s="63">
        <v>7</v>
      </c>
      <c r="B13" s="67" t="s">
        <v>885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439801</v>
      </c>
      <c r="D14" s="67">
        <f>data!C218</f>
        <v>0</v>
      </c>
      <c r="E14" s="67">
        <f>data!D218</f>
        <v>0</v>
      </c>
      <c r="F14" s="67">
        <f>data!E218</f>
        <v>439801</v>
      </c>
    </row>
    <row r="15" spans="1:6" ht="20.100000000000001" customHeight="1" x14ac:dyDescent="0.25">
      <c r="A15" s="63">
        <v>9</v>
      </c>
      <c r="B15" s="67" t="s">
        <v>886</v>
      </c>
      <c r="C15" s="67">
        <f>data!B219</f>
        <v>535657</v>
      </c>
      <c r="D15" s="67">
        <f>data!C219</f>
        <v>4711975</v>
      </c>
      <c r="E15" s="67">
        <f>data!D219</f>
        <v>2039204</v>
      </c>
      <c r="F15" s="67">
        <f>data!E219</f>
        <v>3208428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64360147</v>
      </c>
      <c r="D16" s="67">
        <f>data!C220</f>
        <v>9106662</v>
      </c>
      <c r="E16" s="67">
        <f>data!D220</f>
        <v>5339861</v>
      </c>
      <c r="F16" s="67">
        <f>data!E220</f>
        <v>68126948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878</v>
      </c>
      <c r="D21" s="4" t="s">
        <v>229</v>
      </c>
      <c r="E21" s="153"/>
      <c r="F21" s="153" t="s">
        <v>879</v>
      </c>
    </row>
    <row r="22" spans="1:6" ht="20.100000000000001" customHeight="1" x14ac:dyDescent="0.25">
      <c r="A22" s="154"/>
      <c r="B22" s="146"/>
      <c r="C22" s="153" t="s">
        <v>880</v>
      </c>
      <c r="D22" s="153" t="s">
        <v>887</v>
      </c>
      <c r="E22" s="153" t="s">
        <v>881</v>
      </c>
      <c r="F22" s="153" t="s">
        <v>880</v>
      </c>
    </row>
    <row r="23" spans="1:6" ht="20.100000000000001" customHeight="1" x14ac:dyDescent="0.25">
      <c r="A23" s="63">
        <v>11</v>
      </c>
      <c r="B23" s="155" t="s">
        <v>390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391</v>
      </c>
      <c r="C24" s="67">
        <f>data!B225</f>
        <v>1068412</v>
      </c>
      <c r="D24" s="67">
        <f>data!C225</f>
        <v>88761</v>
      </c>
      <c r="E24" s="67">
        <f>data!D225</f>
        <v>60467</v>
      </c>
      <c r="F24" s="67">
        <f>data!E225</f>
        <v>1096706</v>
      </c>
    </row>
    <row r="25" spans="1:6" ht="20.100000000000001" customHeight="1" x14ac:dyDescent="0.25">
      <c r="A25" s="63">
        <v>13</v>
      </c>
      <c r="B25" s="67" t="s">
        <v>392</v>
      </c>
      <c r="C25" s="67">
        <f>data!B226</f>
        <v>6805313</v>
      </c>
      <c r="D25" s="67">
        <f>data!C226</f>
        <v>902383</v>
      </c>
      <c r="E25" s="67">
        <f>data!D226</f>
        <v>1445204</v>
      </c>
      <c r="F25" s="67">
        <f>data!E226</f>
        <v>6262492</v>
      </c>
    </row>
    <row r="26" spans="1:6" ht="20.100000000000001" customHeight="1" x14ac:dyDescent="0.25">
      <c r="A26" s="63">
        <v>14</v>
      </c>
      <c r="B26" s="67" t="s">
        <v>882</v>
      </c>
      <c r="C26" s="67">
        <f>data!B227</f>
        <v>7410822</v>
      </c>
      <c r="D26" s="67">
        <f>data!C227</f>
        <v>515565</v>
      </c>
      <c r="E26" s="67">
        <f>data!D227</f>
        <v>404169</v>
      </c>
      <c r="F26" s="67">
        <f>data!E227</f>
        <v>7522218</v>
      </c>
    </row>
    <row r="27" spans="1:6" ht="20.100000000000001" customHeight="1" x14ac:dyDescent="0.25">
      <c r="A27" s="63">
        <v>15</v>
      </c>
      <c r="B27" s="67" t="s">
        <v>883</v>
      </c>
      <c r="C27" s="67">
        <f>data!B228</f>
        <v>131293</v>
      </c>
      <c r="D27" s="67">
        <f>data!C228</f>
        <v>36408</v>
      </c>
      <c r="E27" s="67">
        <f>data!D228</f>
        <v>0</v>
      </c>
      <c r="F27" s="67">
        <f>data!E228</f>
        <v>167701</v>
      </c>
    </row>
    <row r="28" spans="1:6" ht="20.100000000000001" customHeight="1" x14ac:dyDescent="0.25">
      <c r="A28" s="63">
        <v>16</v>
      </c>
      <c r="B28" s="67" t="s">
        <v>884</v>
      </c>
      <c r="C28" s="67">
        <f>data!B229</f>
        <v>14133026</v>
      </c>
      <c r="D28" s="67">
        <f>data!C229</f>
        <v>4217658</v>
      </c>
      <c r="E28" s="67">
        <f>data!D229</f>
        <v>2311630</v>
      </c>
      <c r="F28" s="67">
        <f>data!E229</f>
        <v>16039054</v>
      </c>
    </row>
    <row r="29" spans="1:6" ht="20.100000000000001" customHeight="1" x14ac:dyDescent="0.25">
      <c r="A29" s="63">
        <v>17</v>
      </c>
      <c r="B29" s="67" t="s">
        <v>885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145845</v>
      </c>
      <c r="D30" s="67">
        <f>data!C231</f>
        <v>79495</v>
      </c>
      <c r="E30" s="67">
        <f>data!D231</f>
        <v>0</v>
      </c>
      <c r="F30" s="67">
        <f>data!E231</f>
        <v>225340</v>
      </c>
    </row>
    <row r="31" spans="1:6" ht="20.100000000000001" customHeight="1" x14ac:dyDescent="0.25">
      <c r="A31" s="63">
        <v>19</v>
      </c>
      <c r="B31" s="67" t="s">
        <v>886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29694711</v>
      </c>
      <c r="D32" s="67">
        <f>data!C233</f>
        <v>5840270</v>
      </c>
      <c r="E32" s="67">
        <f>data!D233</f>
        <v>4221470</v>
      </c>
      <c r="F32" s="67">
        <f>data!E233</f>
        <v>31313511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888</v>
      </c>
      <c r="B1" s="62"/>
      <c r="C1" s="62"/>
      <c r="D1" s="61" t="s">
        <v>889</v>
      </c>
    </row>
    <row r="2" spans="1:4" ht="20.100000000000001" customHeight="1" x14ac:dyDescent="0.25">
      <c r="A2" s="120" t="str">
        <f>"Hospital: "&amp;data!C98</f>
        <v>Hospital: Public Hospital District #1-A of Whitman County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890</v>
      </c>
      <c r="C4" s="156" t="s">
        <v>891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4781518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354</v>
      </c>
      <c r="D7" s="67">
        <f>data!C239</f>
        <v>55121209</v>
      </c>
    </row>
    <row r="8" spans="1:4" ht="20.100000000000001" customHeight="1" x14ac:dyDescent="0.25">
      <c r="A8" s="63">
        <v>4</v>
      </c>
      <c r="B8" s="158">
        <v>5820</v>
      </c>
      <c r="C8" s="67" t="s">
        <v>355</v>
      </c>
      <c r="D8" s="67">
        <f>data!C240</f>
        <v>20985366</v>
      </c>
    </row>
    <row r="9" spans="1:4" ht="20.100000000000001" customHeight="1" x14ac:dyDescent="0.25">
      <c r="A9" s="63">
        <v>5</v>
      </c>
      <c r="B9" s="158">
        <v>5830</v>
      </c>
      <c r="C9" s="67" t="s">
        <v>367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892</v>
      </c>
      <c r="D11" s="67">
        <f>data!C243</f>
        <v>45542768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11909</v>
      </c>
    </row>
    <row r="13" spans="1:4" ht="20.100000000000001" customHeight="1" x14ac:dyDescent="0.25">
      <c r="A13" s="63">
        <v>9</v>
      </c>
      <c r="B13" s="67"/>
      <c r="C13" s="67" t="s">
        <v>893</v>
      </c>
      <c r="D13" s="67">
        <f>data!D245</f>
        <v>121661252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894</v>
      </c>
      <c r="D16" s="63">
        <f>data!C247</f>
        <v>797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177391</v>
      </c>
    </row>
    <row r="19" spans="1:4" ht="20.100000000000001" customHeight="1" x14ac:dyDescent="0.25">
      <c r="A19" s="161">
        <v>15</v>
      </c>
      <c r="B19" s="158">
        <v>5910</v>
      </c>
      <c r="C19" s="80" t="s">
        <v>895</v>
      </c>
      <c r="D19" s="67">
        <f>data!C250</f>
        <v>937327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896</v>
      </c>
      <c r="D22" s="67">
        <f>data!D252</f>
        <v>1114718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18121751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897</v>
      </c>
      <c r="D26" s="67">
        <f>data!C255</f>
        <v>552002</v>
      </c>
    </row>
    <row r="27" spans="1:4" ht="20.100000000000001" customHeight="1" x14ac:dyDescent="0.25">
      <c r="A27" s="144">
        <v>23</v>
      </c>
      <c r="B27" s="163" t="s">
        <v>898</v>
      </c>
      <c r="C27" s="79"/>
      <c r="D27" s="67">
        <f>data!D256</f>
        <v>18673753</v>
      </c>
    </row>
    <row r="28" spans="1:4" ht="20.100000000000001" customHeight="1" x14ac:dyDescent="0.25">
      <c r="A28" s="72">
        <v>24</v>
      </c>
      <c r="B28" s="138" t="s">
        <v>899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900</v>
      </c>
      <c r="B1" s="169"/>
      <c r="C1" s="169"/>
    </row>
    <row r="2" spans="1:3" ht="20.100000000000001" customHeight="1" x14ac:dyDescent="0.25">
      <c r="A2" s="168"/>
      <c r="B2" s="169"/>
      <c r="C2" s="94" t="s">
        <v>901</v>
      </c>
    </row>
    <row r="3" spans="1:3" ht="20.100000000000001" customHeight="1" x14ac:dyDescent="0.25">
      <c r="A3" s="120" t="str">
        <f>"Hospital: "&amp;data!C98</f>
        <v>Hospital: Public Hospital District #1-A of Whitman County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902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19306283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48858520</v>
      </c>
    </row>
    <row r="9" spans="1:3" ht="20.100000000000001" customHeight="1" x14ac:dyDescent="0.25">
      <c r="A9" s="174">
        <v>5</v>
      </c>
      <c r="B9" s="176" t="s">
        <v>903</v>
      </c>
      <c r="C9" s="176">
        <f>data!C269</f>
        <v>27950625</v>
      </c>
    </row>
    <row r="10" spans="1:3" ht="20.100000000000001" customHeight="1" x14ac:dyDescent="0.25">
      <c r="A10" s="174">
        <v>6</v>
      </c>
      <c r="B10" s="176" t="s">
        <v>904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905</v>
      </c>
      <c r="C11" s="176">
        <f>data!C271</f>
        <v>2305999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3072533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2677225</v>
      </c>
    </row>
    <row r="15" spans="1:3" ht="20.100000000000001" customHeight="1" x14ac:dyDescent="0.25">
      <c r="A15" s="174">
        <v>11</v>
      </c>
      <c r="B15" s="176" t="s">
        <v>906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907</v>
      </c>
      <c r="C16" s="176">
        <f>data!D276</f>
        <v>48269935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908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23113546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909</v>
      </c>
      <c r="C22" s="176">
        <f>data!D281</f>
        <v>23113546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910</v>
      </c>
      <c r="C24" s="175"/>
    </row>
    <row r="25" spans="1:3" ht="20.100000000000001" customHeight="1" x14ac:dyDescent="0.25">
      <c r="A25" s="174">
        <v>21</v>
      </c>
      <c r="B25" s="176" t="s">
        <v>390</v>
      </c>
      <c r="C25" s="176">
        <f>data!C283</f>
        <v>3326040</v>
      </c>
    </row>
    <row r="26" spans="1:3" ht="20.100000000000001" customHeight="1" x14ac:dyDescent="0.25">
      <c r="A26" s="174">
        <v>22</v>
      </c>
      <c r="B26" s="176" t="s">
        <v>391</v>
      </c>
      <c r="C26" s="176">
        <f>data!C284</f>
        <v>2609748</v>
      </c>
    </row>
    <row r="27" spans="1:3" ht="20.100000000000001" customHeight="1" x14ac:dyDescent="0.25">
      <c r="A27" s="174">
        <v>23</v>
      </c>
      <c r="B27" s="176" t="s">
        <v>392</v>
      </c>
      <c r="C27" s="176">
        <f>data!C285</f>
        <v>20694592</v>
      </c>
    </row>
    <row r="28" spans="1:3" ht="20.100000000000001" customHeight="1" x14ac:dyDescent="0.25">
      <c r="A28" s="174">
        <v>24</v>
      </c>
      <c r="B28" s="176" t="s">
        <v>911</v>
      </c>
      <c r="C28" s="176">
        <f>data!C286</f>
        <v>9959609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575994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27312736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439801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3208428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912</v>
      </c>
      <c r="C34" s="176">
        <f>data!C292</f>
        <v>31313510.969999999</v>
      </c>
    </row>
    <row r="35" spans="1:3" ht="20.100000000000001" customHeight="1" x14ac:dyDescent="0.25">
      <c r="A35" s="174">
        <v>31</v>
      </c>
      <c r="B35" s="176" t="s">
        <v>913</v>
      </c>
      <c r="C35" s="176">
        <f>data!D293</f>
        <v>36813437.030000001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914</v>
      </c>
      <c r="C37" s="175"/>
    </row>
    <row r="38" spans="1:3" ht="20.100000000000001" customHeight="1" x14ac:dyDescent="0.25">
      <c r="A38" s="174">
        <v>34</v>
      </c>
      <c r="B38" s="176" t="s">
        <v>915</v>
      </c>
      <c r="C38" s="176">
        <f>data!C295</f>
        <v>8149864</v>
      </c>
    </row>
    <row r="39" spans="1:3" ht="20.100000000000001" customHeight="1" x14ac:dyDescent="0.25">
      <c r="A39" s="174">
        <v>35</v>
      </c>
      <c r="B39" s="176" t="s">
        <v>916</v>
      </c>
      <c r="C39" s="176">
        <f>data!C296</f>
        <v>3870560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636196</v>
      </c>
    </row>
    <row r="42" spans="1:3" ht="20.100000000000001" customHeight="1" x14ac:dyDescent="0.25">
      <c r="A42" s="174">
        <v>38</v>
      </c>
      <c r="B42" s="176" t="s">
        <v>917</v>
      </c>
      <c r="C42" s="176">
        <f>data!D299</f>
        <v>4915500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918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919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920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921</v>
      </c>
      <c r="C50" s="176">
        <f>data!D308</f>
        <v>113112418.03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922</v>
      </c>
      <c r="B53" s="169"/>
      <c r="C53" s="169"/>
    </row>
    <row r="54" spans="1:3" ht="20.100000000000001" customHeight="1" x14ac:dyDescent="0.25">
      <c r="A54" s="168"/>
      <c r="B54" s="169"/>
      <c r="C54" s="94" t="s">
        <v>923</v>
      </c>
    </row>
    <row r="55" spans="1:3" ht="20.100000000000001" customHeight="1" x14ac:dyDescent="0.25">
      <c r="A55" s="120" t="str">
        <f>"Hospital: "&amp;data!C98</f>
        <v>Hospital: Public Hospital District #1-A of Whitman County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924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925</v>
      </c>
      <c r="C59" s="176">
        <f>data!C315</f>
        <v>4952149</v>
      </c>
    </row>
    <row r="60" spans="1:3" ht="20.100000000000001" customHeight="1" x14ac:dyDescent="0.25">
      <c r="A60" s="174">
        <v>4</v>
      </c>
      <c r="B60" s="176" t="s">
        <v>926</v>
      </c>
      <c r="C60" s="176">
        <f>data!C316</f>
        <v>8287560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292546</v>
      </c>
    </row>
    <row r="62" spans="1:3" ht="20.100000000000001" customHeight="1" x14ac:dyDescent="0.25">
      <c r="A62" s="174">
        <v>6</v>
      </c>
      <c r="B62" s="176" t="s">
        <v>927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928</v>
      </c>
      <c r="C63" s="176">
        <f>data!C319</f>
        <v>675372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103837</v>
      </c>
    </row>
    <row r="67" spans="1:3" ht="20.100000000000001" customHeight="1" x14ac:dyDescent="0.25">
      <c r="A67" s="174">
        <v>11</v>
      </c>
      <c r="B67" s="176" t="s">
        <v>929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930</v>
      </c>
      <c r="C68" s="176">
        <f>data!D324</f>
        <v>14311464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931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932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106374</v>
      </c>
    </row>
    <row r="74" spans="1:3" ht="20.100000000000001" customHeight="1" x14ac:dyDescent="0.25">
      <c r="A74" s="174">
        <v>18</v>
      </c>
      <c r="B74" s="176" t="s">
        <v>933</v>
      </c>
      <c r="C74" s="176">
        <f>data!D329</f>
        <v>106374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934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935</v>
      </c>
      <c r="C80" s="176">
        <f>data!C334</f>
        <v>7726919</v>
      </c>
    </row>
    <row r="81" spans="1:3" ht="20.100000000000001" customHeight="1" x14ac:dyDescent="0.25">
      <c r="A81" s="174">
        <v>25</v>
      </c>
      <c r="B81" s="176" t="s">
        <v>477</v>
      </c>
      <c r="C81" s="176">
        <f>data!C335</f>
        <v>37316202</v>
      </c>
    </row>
    <row r="82" spans="1:3" ht="20.100000000000001" customHeight="1" x14ac:dyDescent="0.25">
      <c r="A82" s="174">
        <v>26</v>
      </c>
      <c r="B82" s="176" t="s">
        <v>936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1296207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46339328</v>
      </c>
    </row>
    <row r="86" spans="1:3" ht="20.100000000000001" customHeight="1" x14ac:dyDescent="0.25">
      <c r="A86" s="174">
        <v>30</v>
      </c>
      <c r="B86" s="176" t="s">
        <v>937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938</v>
      </c>
      <c r="C87" s="176">
        <f>data!D341</f>
        <v>46339328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939</v>
      </c>
      <c r="C89" s="176">
        <f>data!C343</f>
        <v>52355252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940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941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942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943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944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945</v>
      </c>
      <c r="C102" s="176">
        <f>data!C343+data!C345+data!C346+data!C347+data!C348-data!C349</f>
        <v>52355252</v>
      </c>
    </row>
    <row r="103" spans="1:3" ht="20.100000000000001" customHeight="1" x14ac:dyDescent="0.25">
      <c r="A103" s="174">
        <v>47</v>
      </c>
      <c r="B103" s="176" t="s">
        <v>946</v>
      </c>
      <c r="C103" s="176">
        <f>data!D352</f>
        <v>113112418.03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947</v>
      </c>
      <c r="B106" s="169"/>
      <c r="C106" s="169"/>
    </row>
    <row r="107" spans="1:3" ht="20.100000000000001" customHeight="1" x14ac:dyDescent="0.25">
      <c r="A107" s="170"/>
      <c r="C107" s="94" t="s">
        <v>948</v>
      </c>
    </row>
    <row r="108" spans="1:3" ht="20.100000000000001" customHeight="1" x14ac:dyDescent="0.25">
      <c r="A108" s="120" t="str">
        <f>"Hospital: "&amp;data!C98</f>
        <v>Hospital: Public Hospital District #1-A of Whitman County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949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26960739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240779909</v>
      </c>
    </row>
    <row r="113" spans="1:3" ht="20.100000000000001" customHeight="1" x14ac:dyDescent="0.25">
      <c r="A113" s="174">
        <v>4</v>
      </c>
      <c r="B113" s="176" t="s">
        <v>950</v>
      </c>
      <c r="C113" s="176">
        <f>data!D360</f>
        <v>267740648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951</v>
      </c>
      <c r="C115" s="175"/>
    </row>
    <row r="116" spans="1:3" ht="20.100000000000001" customHeight="1" x14ac:dyDescent="0.25">
      <c r="A116" s="174">
        <v>7</v>
      </c>
      <c r="B116" s="188" t="s">
        <v>952</v>
      </c>
      <c r="C116" s="189">
        <f>data!C362</f>
        <v>4781518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121661252</v>
      </c>
    </row>
    <row r="118" spans="1:3" ht="20.100000000000001" customHeight="1" x14ac:dyDescent="0.25">
      <c r="A118" s="174">
        <v>9</v>
      </c>
      <c r="B118" s="176" t="s">
        <v>953</v>
      </c>
      <c r="C118" s="189">
        <f>data!C364</f>
        <v>1114718</v>
      </c>
    </row>
    <row r="119" spans="1:3" ht="20.100000000000001" customHeight="1" x14ac:dyDescent="0.25">
      <c r="A119" s="174">
        <v>10</v>
      </c>
      <c r="B119" s="176" t="s">
        <v>954</v>
      </c>
      <c r="C119" s="189">
        <f>data!C365</f>
        <v>18673753</v>
      </c>
    </row>
    <row r="120" spans="1:3" ht="20.100000000000001" customHeight="1" x14ac:dyDescent="0.25">
      <c r="A120" s="174">
        <v>11</v>
      </c>
      <c r="B120" s="176" t="s">
        <v>898</v>
      </c>
      <c r="C120" s="189">
        <f>data!D366</f>
        <v>146231241</v>
      </c>
    </row>
    <row r="121" spans="1:3" ht="20.100000000000001" customHeight="1" x14ac:dyDescent="0.25">
      <c r="A121" s="174">
        <v>12</v>
      </c>
      <c r="B121" s="176" t="s">
        <v>955</v>
      </c>
      <c r="C121" s="189">
        <f>data!D367</f>
        <v>121509407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956</v>
      </c>
      <c r="B125" s="192" t="s">
        <v>503</v>
      </c>
      <c r="C125" s="191">
        <f>data!C370</f>
        <v>49933</v>
      </c>
    </row>
    <row r="126" spans="1:3" ht="20.100000000000001" customHeight="1" x14ac:dyDescent="0.25">
      <c r="A126" s="195" t="s">
        <v>957</v>
      </c>
      <c r="B126" s="192" t="s">
        <v>504</v>
      </c>
      <c r="C126" s="191">
        <f>data!C371</f>
        <v>-6121034</v>
      </c>
    </row>
    <row r="127" spans="1:3" ht="20.100000000000001" customHeight="1" x14ac:dyDescent="0.25">
      <c r="A127" s="195" t="s">
        <v>958</v>
      </c>
      <c r="B127" s="192" t="s">
        <v>505</v>
      </c>
      <c r="C127" s="191">
        <f>data!C372</f>
        <v>480768</v>
      </c>
    </row>
    <row r="128" spans="1:3" ht="20.100000000000001" customHeight="1" x14ac:dyDescent="0.25">
      <c r="A128" s="195" t="s">
        <v>959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960</v>
      </c>
      <c r="B129" s="192" t="s">
        <v>507</v>
      </c>
      <c r="C129" s="191">
        <f>data!C374</f>
        <v>413550</v>
      </c>
    </row>
    <row r="130" spans="1:3" ht="20.100000000000001" customHeight="1" x14ac:dyDescent="0.25">
      <c r="A130" s="195" t="s">
        <v>961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962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963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964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965</v>
      </c>
      <c r="B134" s="192" t="s">
        <v>512</v>
      </c>
      <c r="C134" s="191">
        <f>data!C379</f>
        <v>575625</v>
      </c>
    </row>
    <row r="135" spans="1:3" ht="20.100000000000001" customHeight="1" x14ac:dyDescent="0.25">
      <c r="A135" s="195" t="s">
        <v>966</v>
      </c>
      <c r="B135" s="192" t="s">
        <v>513</v>
      </c>
      <c r="C135" s="191">
        <f>data!C380</f>
        <v>1828528.0899999999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967</v>
      </c>
      <c r="C137" s="189">
        <f>data!D383</f>
        <v>-174852.91000000015</v>
      </c>
    </row>
    <row r="138" spans="1:3" ht="20.100000000000001" customHeight="1" x14ac:dyDescent="0.25">
      <c r="A138" s="174">
        <v>18</v>
      </c>
      <c r="B138" s="176" t="s">
        <v>968</v>
      </c>
      <c r="C138" s="189">
        <f>data!D384</f>
        <v>121334554.09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969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55998878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15536688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20935518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18216254</v>
      </c>
    </row>
    <row r="145" spans="1:3" ht="20.100000000000001" customHeight="1" x14ac:dyDescent="0.25">
      <c r="A145" s="174">
        <v>25</v>
      </c>
      <c r="B145" s="176" t="s">
        <v>970</v>
      </c>
      <c r="C145" s="189">
        <f>data!C393</f>
        <v>1212331</v>
      </c>
    </row>
    <row r="146" spans="1:3" ht="20.100000000000001" customHeight="1" x14ac:dyDescent="0.25">
      <c r="A146" s="174">
        <v>26</v>
      </c>
      <c r="B146" s="176" t="s">
        <v>971</v>
      </c>
      <c r="C146" s="189">
        <f>data!C394</f>
        <v>6194615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4830730</v>
      </c>
    </row>
    <row r="148" spans="1:3" ht="20.100000000000001" customHeight="1" x14ac:dyDescent="0.25">
      <c r="A148" s="174">
        <v>28</v>
      </c>
      <c r="B148" s="176" t="s">
        <v>972</v>
      </c>
      <c r="C148" s="189">
        <f>data!C396</f>
        <v>1488206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718001</v>
      </c>
    </row>
    <row r="150" spans="1:3" ht="20.100000000000001" customHeight="1" x14ac:dyDescent="0.25">
      <c r="A150" s="174">
        <v>30</v>
      </c>
      <c r="B150" s="176" t="s">
        <v>973</v>
      </c>
      <c r="C150" s="189">
        <f>data!C398</f>
        <v>970210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2055486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974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975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976</v>
      </c>
      <c r="B155" s="193" t="s">
        <v>977</v>
      </c>
      <c r="C155" s="189">
        <f>data!C403</f>
        <v>0</v>
      </c>
    </row>
    <row r="156" spans="1:3" ht="20.100000000000001" customHeight="1" x14ac:dyDescent="0.25">
      <c r="A156" s="195" t="s">
        <v>978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979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980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981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982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983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984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985</v>
      </c>
      <c r="B163" s="193" t="s">
        <v>279</v>
      </c>
      <c r="C163" s="189">
        <f>data!C411</f>
        <v>406156</v>
      </c>
    </row>
    <row r="164" spans="1:3" ht="20.100000000000001" customHeight="1" x14ac:dyDescent="0.25">
      <c r="A164" s="195" t="s">
        <v>986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987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988</v>
      </c>
      <c r="B166" s="193" t="s">
        <v>989</v>
      </c>
      <c r="C166" s="189">
        <f>data!C414</f>
        <v>2398279</v>
      </c>
    </row>
    <row r="167" spans="1:3" ht="20.100000000000001" customHeight="1" x14ac:dyDescent="0.25">
      <c r="A167" s="174">
        <v>34</v>
      </c>
      <c r="B167" s="176" t="s">
        <v>990</v>
      </c>
      <c r="C167" s="189">
        <f>data!D416</f>
        <v>130961352</v>
      </c>
    </row>
    <row r="168" spans="1:3" ht="20.100000000000001" customHeight="1" x14ac:dyDescent="0.25">
      <c r="A168" s="174">
        <v>35</v>
      </c>
      <c r="B168" s="176" t="s">
        <v>991</v>
      </c>
      <c r="C168" s="189">
        <f>data!D417</f>
        <v>-9626797.9099999964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992</v>
      </c>
      <c r="C170" s="189">
        <f>data!D420</f>
        <v>-1394718.7200000002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993</v>
      </c>
      <c r="C172" s="176">
        <f>data!D421</f>
        <v>-11021516.629999997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994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995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996</v>
      </c>
      <c r="C177" s="189">
        <f>data!D424</f>
        <v>-11021516.629999997</v>
      </c>
    </row>
    <row r="178" spans="1:3" ht="20.100000000000001" customHeight="1" x14ac:dyDescent="0.25">
      <c r="A178" s="179">
        <v>45</v>
      </c>
      <c r="B178" s="178" t="s">
        <v>997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998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999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Public Hospital District #1-A of Whitman County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1000</v>
      </c>
      <c r="C6" s="243" t="s">
        <v>117</v>
      </c>
      <c r="D6" s="244" t="s">
        <v>1001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1002</v>
      </c>
      <c r="E7" s="244" t="s">
        <v>189</v>
      </c>
      <c r="F7" s="244" t="s">
        <v>1003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1004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 t="e">
        <f>data!#REF!</f>
        <v>#REF!</v>
      </c>
      <c r="D9" s="238">
        <f>data!D59</f>
        <v>0</v>
      </c>
      <c r="E9" s="238">
        <f>data!E59</f>
        <v>2268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data!C59</f>
        <v>632</v>
      </c>
      <c r="D10" s="245">
        <f>data!D60</f>
        <v>0</v>
      </c>
      <c r="E10" s="245">
        <f>data!E60</f>
        <v>25.599999999999998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1531186</v>
      </c>
      <c r="D11" s="238">
        <f>data!D61</f>
        <v>0</v>
      </c>
      <c r="E11" s="238">
        <f>data!E61</f>
        <v>3562895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424822</v>
      </c>
      <c r="D12" s="238">
        <f>data!D62</f>
        <v>0</v>
      </c>
      <c r="E12" s="238">
        <f>data!E62</f>
        <v>988512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144570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195407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485.72</v>
      </c>
      <c r="D15" s="238">
        <f>data!D65</f>
        <v>0</v>
      </c>
      <c r="E15" s="238">
        <f>data!E65</f>
        <v>2635.4100000000003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27133.82</v>
      </c>
      <c r="D16" s="238">
        <f>data!D66</f>
        <v>0</v>
      </c>
      <c r="E16" s="238">
        <f>data!E66</f>
        <v>13437.56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155166</v>
      </c>
      <c r="D17" s="238">
        <f>data!D67</f>
        <v>0</v>
      </c>
      <c r="E17" s="238">
        <f>data!E67</f>
        <v>260076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1005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1006</v>
      </c>
      <c r="C19" s="238">
        <f>data!C69</f>
        <v>3319.32</v>
      </c>
      <c r="D19" s="238">
        <f>data!D69</f>
        <v>0</v>
      </c>
      <c r="E19" s="238">
        <f>data!E69</f>
        <v>22772.43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-85.070000000000164</v>
      </c>
      <c r="D20" s="238">
        <f>-data!D84</f>
        <v>0</v>
      </c>
      <c r="E20" s="238">
        <f>-data!E84</f>
        <v>-39053.009999999995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1007</v>
      </c>
      <c r="C21" s="238">
        <f>data!C85</f>
        <v>2142027.79</v>
      </c>
      <c r="D21" s="238">
        <f>data!D85</f>
        <v>0</v>
      </c>
      <c r="E21" s="238">
        <f>data!E85</f>
        <v>5151252.3899999997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1008</v>
      </c>
      <c r="C23" s="246">
        <f>+data!M668</f>
        <v>4624946</v>
      </c>
      <c r="D23" s="246">
        <f>+data!M669</f>
        <v>0</v>
      </c>
      <c r="E23" s="246">
        <f>+data!M670</f>
        <v>1538046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1009</v>
      </c>
      <c r="C24" s="238">
        <f>data!C87</f>
        <v>1404576</v>
      </c>
      <c r="D24" s="238">
        <f>data!D87</f>
        <v>0</v>
      </c>
      <c r="E24" s="238">
        <f>data!E87</f>
        <v>3461956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1010</v>
      </c>
      <c r="C25" s="238">
        <f>data!C88</f>
        <v>445750</v>
      </c>
      <c r="D25" s="238">
        <f>data!D88</f>
        <v>0</v>
      </c>
      <c r="E25" s="238">
        <f>data!E88</f>
        <v>4247864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1011</v>
      </c>
      <c r="C26" s="238">
        <f>data!C89</f>
        <v>1850326</v>
      </c>
      <c r="D26" s="238">
        <f>data!D89</f>
        <v>0</v>
      </c>
      <c r="E26" s="238">
        <f>data!E89</f>
        <v>7709820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1012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1013</v>
      </c>
      <c r="C28" s="238">
        <f>data!C90</f>
        <v>4094</v>
      </c>
      <c r="D28" s="238">
        <f>data!D90</f>
        <v>0</v>
      </c>
      <c r="E28" s="238">
        <f>data!E90</f>
        <v>6862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1014</v>
      </c>
      <c r="C29" s="238">
        <f>data!C91</f>
        <v>3454</v>
      </c>
      <c r="D29" s="238">
        <f>data!D91</f>
        <v>0</v>
      </c>
      <c r="E29" s="238">
        <f>data!E91</f>
        <v>8427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1015</v>
      </c>
      <c r="C30" s="238">
        <f>data!C92</f>
        <v>853</v>
      </c>
      <c r="D30" s="238">
        <f>data!D92</f>
        <v>0</v>
      </c>
      <c r="E30" s="238">
        <f>data!E92</f>
        <v>3412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1016</v>
      </c>
      <c r="C31" s="238">
        <f>data!C93</f>
        <v>25942</v>
      </c>
      <c r="D31" s="238">
        <f>data!D93</f>
        <v>0</v>
      </c>
      <c r="E31" s="238">
        <f>data!E93</f>
        <v>77827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8.6199999999999992</v>
      </c>
      <c r="D32" s="245">
        <f>data!D94</f>
        <v>0</v>
      </c>
      <c r="E32" s="245">
        <f>data!E94</f>
        <v>12.53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998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1017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Public Hospital District #1-A of Whitman County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1000</v>
      </c>
      <c r="C38" s="244"/>
      <c r="D38" s="244" t="s">
        <v>125</v>
      </c>
      <c r="E38" s="244" t="s">
        <v>126</v>
      </c>
      <c r="F38" s="244" t="s">
        <v>1018</v>
      </c>
      <c r="G38" s="244" t="s">
        <v>128</v>
      </c>
      <c r="H38" s="244" t="s">
        <v>1019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1004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735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383</v>
      </c>
      <c r="I41" s="238">
        <f>data!P59</f>
        <v>249820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21.8</v>
      </c>
      <c r="I42" s="245">
        <f>data!P60</f>
        <v>56.75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2344871</v>
      </c>
      <c r="I43" s="238">
        <f>data!P61</f>
        <v>5555457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650576</v>
      </c>
      <c r="I44" s="238">
        <f>data!P62</f>
        <v>1541342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87126</v>
      </c>
      <c r="I45" s="238">
        <f>data!P63</f>
        <v>472642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149867</v>
      </c>
      <c r="I46" s="238">
        <f>data!P64</f>
        <v>1340443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748.77</v>
      </c>
      <c r="I47" s="238">
        <f>data!P65</f>
        <v>1811.64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38206.14</v>
      </c>
      <c r="I48" s="238">
        <f>data!P66</f>
        <v>658186.89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310598</v>
      </c>
      <c r="I49" s="238">
        <f>data!P67</f>
        <v>599819</v>
      </c>
    </row>
    <row r="50" spans="1:11" ht="20.100000000000001" customHeight="1" x14ac:dyDescent="0.2">
      <c r="A50" s="230">
        <v>13</v>
      </c>
      <c r="B50" s="238" t="s">
        <v>1005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1006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7642.43</v>
      </c>
      <c r="I51" s="238">
        <f>data!P69</f>
        <v>1859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-3355.83</v>
      </c>
      <c r="I52" s="238">
        <f>-data!P84</f>
        <v>-4145.2</v>
      </c>
    </row>
    <row r="53" spans="1:11" ht="20.100000000000001" customHeight="1" x14ac:dyDescent="0.2">
      <c r="A53" s="230">
        <v>16</v>
      </c>
      <c r="B53" s="246" t="s">
        <v>1007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3586279.5100000002</v>
      </c>
      <c r="I53" s="238">
        <f>data!P85</f>
        <v>10167415.330000002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1008</v>
      </c>
      <c r="C55" s="246">
        <f>+data!M675</f>
        <v>76010</v>
      </c>
      <c r="D55" s="246">
        <f>+data!M676</f>
        <v>0</v>
      </c>
      <c r="E55" s="246">
        <f>+data!M691</f>
        <v>0</v>
      </c>
      <c r="F55" s="246">
        <f>+data!M692</f>
        <v>372393</v>
      </c>
      <c r="G55" s="246">
        <f>+data!M693</f>
        <v>1960678</v>
      </c>
      <c r="H55" s="246">
        <f>+data!M680</f>
        <v>1136484</v>
      </c>
      <c r="I55" s="246">
        <f>+data!M681</f>
        <v>3781065</v>
      </c>
    </row>
    <row r="56" spans="1:11" ht="20.100000000000001" customHeight="1" x14ac:dyDescent="0.2">
      <c r="A56" s="230">
        <v>19</v>
      </c>
      <c r="B56" s="246" t="s">
        <v>1009</v>
      </c>
      <c r="C56" s="238">
        <f>data!J87</f>
        <v>742939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3077933</v>
      </c>
      <c r="I56" s="238">
        <f>data!P87</f>
        <v>3262391</v>
      </c>
    </row>
    <row r="57" spans="1:11" ht="20.100000000000001" customHeight="1" x14ac:dyDescent="0.2">
      <c r="A57" s="230">
        <v>20</v>
      </c>
      <c r="B57" s="246" t="s">
        <v>1010</v>
      </c>
      <c r="C57" s="238">
        <f>data!J88</f>
        <v>10279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633538</v>
      </c>
      <c r="I57" s="238">
        <f>data!P88</f>
        <v>28375362</v>
      </c>
    </row>
    <row r="58" spans="1:11" ht="20.100000000000001" customHeight="1" x14ac:dyDescent="0.2">
      <c r="A58" s="230">
        <v>21</v>
      </c>
      <c r="B58" s="246" t="s">
        <v>1011</v>
      </c>
      <c r="C58" s="238">
        <f>data!J89</f>
        <v>753218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3711471</v>
      </c>
      <c r="I58" s="238">
        <f>data!P89</f>
        <v>31637753</v>
      </c>
    </row>
    <row r="59" spans="1:11" ht="20.100000000000001" customHeight="1" x14ac:dyDescent="0.2">
      <c r="A59" s="230" t="s">
        <v>1012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1013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8195</v>
      </c>
      <c r="I60" s="238">
        <f>data!P90</f>
        <v>15826</v>
      </c>
      <c r="K60" s="249"/>
    </row>
    <row r="61" spans="1:11" ht="20.100000000000001" customHeight="1" x14ac:dyDescent="0.2">
      <c r="A61" s="230">
        <v>23</v>
      </c>
      <c r="B61" s="238" t="s">
        <v>1014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4022</v>
      </c>
      <c r="I61" s="238">
        <f>data!P91</f>
        <v>2352</v>
      </c>
    </row>
    <row r="62" spans="1:11" ht="20.100000000000001" customHeight="1" x14ac:dyDescent="0.2">
      <c r="A62" s="230">
        <v>24</v>
      </c>
      <c r="B62" s="238" t="s">
        <v>1015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2559</v>
      </c>
      <c r="I62" s="238">
        <f>data!P92</f>
        <v>2559</v>
      </c>
    </row>
    <row r="63" spans="1:11" ht="20.100000000000001" customHeight="1" x14ac:dyDescent="0.2">
      <c r="A63" s="230">
        <v>25</v>
      </c>
      <c r="B63" s="238" t="s">
        <v>1016</v>
      </c>
      <c r="C63" s="238">
        <f>data!J93</f>
        <v>30266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60532</v>
      </c>
      <c r="I63" s="238">
        <f>data!P93</f>
        <v>77827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14.97</v>
      </c>
      <c r="I64" s="245">
        <f>data!P94</f>
        <v>29.54</v>
      </c>
    </row>
    <row r="65" spans="1:9" ht="20.100000000000001" customHeight="1" x14ac:dyDescent="0.2">
      <c r="A65" s="231" t="s">
        <v>998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1020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Public Hospital District #1-A of Whitman County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1000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1021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1004</v>
      </c>
      <c r="C72" s="240" t="s">
        <v>1022</v>
      </c>
      <c r="D72" s="239" t="s">
        <v>1023</v>
      </c>
      <c r="E72" s="250"/>
      <c r="F72" s="250"/>
      <c r="G72" s="239" t="s">
        <v>1024</v>
      </c>
      <c r="H72" s="239" t="s">
        <v>1024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112876</v>
      </c>
      <c r="D73" s="246">
        <f>data!R59</f>
        <v>0</v>
      </c>
      <c r="E73" s="250"/>
      <c r="F73" s="250"/>
      <c r="G73" s="238">
        <f>data!U59</f>
        <v>181071</v>
      </c>
      <c r="H73" s="238">
        <f>data!V59</f>
        <v>0</v>
      </c>
      <c r="I73" s="238">
        <f>data!W59</f>
        <v>4292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2.98</v>
      </c>
      <c r="F74" s="245">
        <f>data!T60</f>
        <v>0</v>
      </c>
      <c r="G74" s="245">
        <f>data!U60</f>
        <v>18.62</v>
      </c>
      <c r="H74" s="245">
        <f>data!V60</f>
        <v>0</v>
      </c>
      <c r="I74" s="245">
        <f>data!W60</f>
        <v>6.04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237020</v>
      </c>
      <c r="F75" s="238">
        <f>data!T61</f>
        <v>0</v>
      </c>
      <c r="G75" s="238">
        <f>data!U61</f>
        <v>1391300</v>
      </c>
      <c r="H75" s="238">
        <f>data!V61</f>
        <v>0</v>
      </c>
      <c r="I75" s="238">
        <f>data!W61</f>
        <v>668747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65760</v>
      </c>
      <c r="F76" s="238">
        <f>data!T62</f>
        <v>0</v>
      </c>
      <c r="G76" s="238">
        <f>data!U62</f>
        <v>386011</v>
      </c>
      <c r="H76" s="238">
        <f>data!V62</f>
        <v>0</v>
      </c>
      <c r="I76" s="238">
        <f>data!W62</f>
        <v>185541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3764854</v>
      </c>
      <c r="E77" s="238">
        <f>data!S63</f>
        <v>6896</v>
      </c>
      <c r="F77" s="238">
        <f>data!T63</f>
        <v>0</v>
      </c>
      <c r="G77" s="238">
        <f>data!U63</f>
        <v>1253496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22038</v>
      </c>
      <c r="D78" s="238">
        <f>data!R64</f>
        <v>161637</v>
      </c>
      <c r="E78" s="238">
        <f>data!S64</f>
        <v>7309542</v>
      </c>
      <c r="F78" s="238">
        <f>data!T64</f>
        <v>0</v>
      </c>
      <c r="G78" s="238">
        <f>data!U64</f>
        <v>1486137</v>
      </c>
      <c r="H78" s="238">
        <f>data!V64</f>
        <v>0</v>
      </c>
      <c r="I78" s="238">
        <f>data!W64</f>
        <v>16019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1142.8699999999999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718.3</v>
      </c>
      <c r="D80" s="238">
        <f>data!R66</f>
        <v>1053.22</v>
      </c>
      <c r="E80" s="238">
        <f>data!S66</f>
        <v>4000</v>
      </c>
      <c r="F80" s="238">
        <f>data!T66</f>
        <v>0</v>
      </c>
      <c r="G80" s="238">
        <f>data!U66</f>
        <v>204428.18</v>
      </c>
      <c r="H80" s="238">
        <f>data!V66</f>
        <v>0</v>
      </c>
      <c r="I80" s="238">
        <f>data!W66</f>
        <v>181159.79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51697</v>
      </c>
      <c r="F81" s="238">
        <f>data!T67</f>
        <v>0</v>
      </c>
      <c r="G81" s="238">
        <f>data!U67</f>
        <v>77810</v>
      </c>
      <c r="H81" s="238">
        <f>data!V67</f>
        <v>14781</v>
      </c>
      <c r="I81" s="238">
        <f>data!W67</f>
        <v>24029</v>
      </c>
    </row>
    <row r="82" spans="1:9" ht="20.100000000000001" customHeight="1" x14ac:dyDescent="0.2">
      <c r="A82" s="230">
        <v>13</v>
      </c>
      <c r="B82" s="238" t="s">
        <v>1005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1006</v>
      </c>
      <c r="C83" s="238">
        <f>data!Q69</f>
        <v>0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2175.87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-142.82</v>
      </c>
      <c r="F84" s="238">
        <f>-data!T84</f>
        <v>0</v>
      </c>
      <c r="G84" s="238">
        <f>-data!U84</f>
        <v>-1180.3800000000001</v>
      </c>
      <c r="H84" s="238">
        <f>-data!V84</f>
        <v>0</v>
      </c>
      <c r="I84" s="238">
        <f>-data!W84</f>
        <v>-1098.07</v>
      </c>
    </row>
    <row r="85" spans="1:9" ht="20.100000000000001" customHeight="1" x14ac:dyDescent="0.2">
      <c r="A85" s="230">
        <v>16</v>
      </c>
      <c r="B85" s="246" t="s">
        <v>1007</v>
      </c>
      <c r="C85" s="238">
        <f>data!Q85</f>
        <v>22756.3</v>
      </c>
      <c r="D85" s="238">
        <f>data!R85</f>
        <v>3927544.22</v>
      </c>
      <c r="E85" s="238">
        <f>data!S85</f>
        <v>7674772.1799999997</v>
      </c>
      <c r="F85" s="238">
        <f>data!T85</f>
        <v>0</v>
      </c>
      <c r="G85" s="238">
        <f>data!U85</f>
        <v>4801320.54</v>
      </c>
      <c r="H85" s="238">
        <f>data!V85</f>
        <v>14781</v>
      </c>
      <c r="I85" s="238">
        <f>data!W85</f>
        <v>1074397.72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1008</v>
      </c>
      <c r="C87" s="246">
        <f>+data!M682</f>
        <v>135999</v>
      </c>
      <c r="D87" s="246">
        <f>+data!M683</f>
        <v>1055048</v>
      </c>
      <c r="E87" s="246">
        <f>+data!M684</f>
        <v>2016319</v>
      </c>
      <c r="F87" s="246">
        <f>+data!M685</f>
        <v>0</v>
      </c>
      <c r="G87" s="246">
        <f>+data!M686</f>
        <v>1679759</v>
      </c>
      <c r="H87" s="246">
        <f>+data!M687</f>
        <v>81416</v>
      </c>
      <c r="I87" s="246">
        <f>+data!M688</f>
        <v>925602</v>
      </c>
    </row>
    <row r="88" spans="1:9" ht="20.100000000000001" customHeight="1" x14ac:dyDescent="0.2">
      <c r="A88" s="230">
        <v>19</v>
      </c>
      <c r="B88" s="246" t="s">
        <v>1009</v>
      </c>
      <c r="C88" s="238">
        <f>data!Q87</f>
        <v>266192</v>
      </c>
      <c r="D88" s="238">
        <f>data!R87</f>
        <v>2088908</v>
      </c>
      <c r="E88" s="238">
        <f>data!S87</f>
        <v>1878200</v>
      </c>
      <c r="F88" s="238">
        <f>data!T87</f>
        <v>0</v>
      </c>
      <c r="G88" s="238">
        <f>data!U87</f>
        <v>1722025</v>
      </c>
      <c r="H88" s="238">
        <f>data!V87</f>
        <v>58170</v>
      </c>
      <c r="I88" s="238">
        <f>data!W87</f>
        <v>109199</v>
      </c>
    </row>
    <row r="89" spans="1:9" ht="20.100000000000001" customHeight="1" x14ac:dyDescent="0.2">
      <c r="A89" s="230">
        <v>20</v>
      </c>
      <c r="B89" s="246" t="s">
        <v>1010</v>
      </c>
      <c r="C89" s="238">
        <f>data!Q88</f>
        <v>1835126</v>
      </c>
      <c r="D89" s="238">
        <f>data!R88</f>
        <v>11618339</v>
      </c>
      <c r="E89" s="238">
        <f>data!S88</f>
        <v>21373513</v>
      </c>
      <c r="F89" s="238">
        <f>data!T88</f>
        <v>0</v>
      </c>
      <c r="G89" s="238">
        <f>data!U88</f>
        <v>17186032</v>
      </c>
      <c r="H89" s="238">
        <f>data!V88</f>
        <v>1042889</v>
      </c>
      <c r="I89" s="238">
        <f>data!W88</f>
        <v>12688645</v>
      </c>
    </row>
    <row r="90" spans="1:9" ht="20.100000000000001" customHeight="1" x14ac:dyDescent="0.2">
      <c r="A90" s="230">
        <v>21</v>
      </c>
      <c r="B90" s="246" t="s">
        <v>1011</v>
      </c>
      <c r="C90" s="238">
        <f>data!Q89</f>
        <v>2101318</v>
      </c>
      <c r="D90" s="238">
        <f>data!R89</f>
        <v>13707247</v>
      </c>
      <c r="E90" s="238">
        <f>data!S89</f>
        <v>23251713</v>
      </c>
      <c r="F90" s="238">
        <f>data!T89</f>
        <v>0</v>
      </c>
      <c r="G90" s="238">
        <f>data!U89</f>
        <v>18908057</v>
      </c>
      <c r="H90" s="238">
        <f>data!V89</f>
        <v>1101059</v>
      </c>
      <c r="I90" s="238">
        <f>data!W89</f>
        <v>12797844</v>
      </c>
    </row>
    <row r="91" spans="1:9" ht="20.100000000000001" customHeight="1" x14ac:dyDescent="0.2">
      <c r="A91" s="230" t="s">
        <v>1012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1013</v>
      </c>
      <c r="C92" s="238">
        <f>data!Q90</f>
        <v>0</v>
      </c>
      <c r="D92" s="238">
        <f>data!R90</f>
        <v>0</v>
      </c>
      <c r="E92" s="238">
        <f>data!S90</f>
        <v>1364</v>
      </c>
      <c r="F92" s="238">
        <f>data!T90</f>
        <v>0</v>
      </c>
      <c r="G92" s="238">
        <f>data!U90</f>
        <v>2053</v>
      </c>
      <c r="H92" s="238">
        <f>data!V90</f>
        <v>390</v>
      </c>
      <c r="I92" s="238">
        <f>data!W90</f>
        <v>634</v>
      </c>
    </row>
    <row r="93" spans="1:9" ht="20.100000000000001" customHeight="1" x14ac:dyDescent="0.2">
      <c r="A93" s="230">
        <v>23</v>
      </c>
      <c r="B93" s="238" t="s">
        <v>1014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1015</v>
      </c>
      <c r="C94" s="238">
        <f>data!Q92</f>
        <v>0</v>
      </c>
      <c r="D94" s="238">
        <f>data!R92</f>
        <v>0</v>
      </c>
      <c r="E94" s="238">
        <f>data!S92</f>
        <v>71</v>
      </c>
      <c r="F94" s="238">
        <f>data!T92</f>
        <v>0</v>
      </c>
      <c r="G94" s="238">
        <f>data!U92</f>
        <v>853</v>
      </c>
      <c r="H94" s="238">
        <f>data!V92</f>
        <v>72</v>
      </c>
      <c r="I94" s="238">
        <f>data!W92</f>
        <v>142</v>
      </c>
    </row>
    <row r="95" spans="1:9" ht="20.100000000000001" customHeight="1" x14ac:dyDescent="0.2">
      <c r="A95" s="230">
        <v>25</v>
      </c>
      <c r="B95" s="238" t="s">
        <v>1016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12971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998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1025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Public Hospital District #1-A of Whitman County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1000</v>
      </c>
      <c r="C102" s="244" t="s">
        <v>1026</v>
      </c>
      <c r="D102" s="244" t="s">
        <v>1027</v>
      </c>
      <c r="E102" s="244" t="s">
        <v>1027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1004</v>
      </c>
      <c r="C104" s="239" t="s">
        <v>250</v>
      </c>
      <c r="D104" s="240" t="s">
        <v>1028</v>
      </c>
      <c r="E104" s="240" t="s">
        <v>1028</v>
      </c>
      <c r="F104" s="240" t="s">
        <v>1028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6783</v>
      </c>
      <c r="D105" s="238">
        <f>data!Y59</f>
        <v>27617</v>
      </c>
      <c r="E105" s="238">
        <f>data!Z59</f>
        <v>0</v>
      </c>
      <c r="F105" s="238">
        <f>data!AA59</f>
        <v>888</v>
      </c>
      <c r="G105" s="250"/>
      <c r="H105" s="238">
        <f>data!AC59</f>
        <v>6275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7.03</v>
      </c>
      <c r="D106" s="245">
        <f>data!Y60</f>
        <v>16.18</v>
      </c>
      <c r="E106" s="245">
        <f>data!Z60</f>
        <v>0</v>
      </c>
      <c r="F106" s="245">
        <f>data!AA60</f>
        <v>2.0299999999999998</v>
      </c>
      <c r="G106" s="245">
        <f>data!AB60</f>
        <v>6.32</v>
      </c>
      <c r="H106" s="245">
        <f>data!AC60</f>
        <v>8.33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687355</v>
      </c>
      <c r="D107" s="238">
        <f>data!Y61</f>
        <v>1408620</v>
      </c>
      <c r="E107" s="238">
        <f>data!Z61</f>
        <v>0</v>
      </c>
      <c r="F107" s="238">
        <f>data!AA61</f>
        <v>264722</v>
      </c>
      <c r="G107" s="238">
        <f>data!AB61</f>
        <v>870054</v>
      </c>
      <c r="H107" s="238">
        <f>data!AC61</f>
        <v>850797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190704</v>
      </c>
      <c r="D108" s="238">
        <f>data!Y62</f>
        <v>390817</v>
      </c>
      <c r="E108" s="238">
        <f>data!Z62</f>
        <v>0</v>
      </c>
      <c r="F108" s="238">
        <f>data!AA62</f>
        <v>73446</v>
      </c>
      <c r="G108" s="238">
        <f>data!AB62</f>
        <v>241393</v>
      </c>
      <c r="H108" s="238">
        <f>data!AC62</f>
        <v>236051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70759</v>
      </c>
      <c r="D109" s="238">
        <f>data!Y63</f>
        <v>510146</v>
      </c>
      <c r="E109" s="238">
        <f>data!Z63</f>
        <v>0</v>
      </c>
      <c r="F109" s="238">
        <f>data!AA63</f>
        <v>0</v>
      </c>
      <c r="G109" s="238">
        <f>data!AB63</f>
        <v>143938</v>
      </c>
      <c r="H109" s="238">
        <f>data!AC63</f>
        <v>628379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19098</v>
      </c>
      <c r="D110" s="238">
        <f>data!Y64</f>
        <v>95074</v>
      </c>
      <c r="E110" s="238">
        <f>data!Z64</f>
        <v>0</v>
      </c>
      <c r="F110" s="238">
        <f>data!AA64</f>
        <v>578354</v>
      </c>
      <c r="G110" s="238">
        <f>data!AB64</f>
        <v>4608771</v>
      </c>
      <c r="H110" s="238">
        <f>data!AC64</f>
        <v>40004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485.72</v>
      </c>
      <c r="D111" s="238">
        <f>data!Y65</f>
        <v>828.57999999999993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485.72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189559.84</v>
      </c>
      <c r="D112" s="238">
        <f>data!Y66</f>
        <v>361239.72</v>
      </c>
      <c r="E112" s="238">
        <f>data!Z66</f>
        <v>0</v>
      </c>
      <c r="F112" s="238">
        <f>data!AA66</f>
        <v>528042.82999999996</v>
      </c>
      <c r="G112" s="238">
        <f>data!AB66</f>
        <v>63158.700000000004</v>
      </c>
      <c r="H112" s="238">
        <f>data!AC66</f>
        <v>23226.15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19784</v>
      </c>
      <c r="D113" s="238">
        <f>data!Y67</f>
        <v>187003</v>
      </c>
      <c r="E113" s="238">
        <f>data!Z67</f>
        <v>0</v>
      </c>
      <c r="F113" s="238">
        <f>data!AA67</f>
        <v>13038</v>
      </c>
      <c r="G113" s="238">
        <f>data!AB67</f>
        <v>37143</v>
      </c>
      <c r="H113" s="238">
        <f>data!AC67</f>
        <v>49309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1005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1006</v>
      </c>
      <c r="C115" s="238">
        <f>data!X69</f>
        <v>865</v>
      </c>
      <c r="D115" s="238">
        <f>data!Y69</f>
        <v>5090.5</v>
      </c>
      <c r="E115" s="238">
        <f>data!Z69</f>
        <v>0</v>
      </c>
      <c r="F115" s="238">
        <f>data!AA69</f>
        <v>560</v>
      </c>
      <c r="G115" s="238">
        <f>data!AB69</f>
        <v>0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-467.80999999999995</v>
      </c>
      <c r="D116" s="238">
        <f>-data!Y84</f>
        <v>-4987.6400000000012</v>
      </c>
      <c r="E116" s="238">
        <f>-data!Z84</f>
        <v>0</v>
      </c>
      <c r="F116" s="238">
        <f>-data!AA84</f>
        <v>-3980</v>
      </c>
      <c r="G116" s="238">
        <f>-data!AB84</f>
        <v>-2391.1</v>
      </c>
      <c r="H116" s="238">
        <f>-data!AC84</f>
        <v>-1537.09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1007</v>
      </c>
      <c r="C117" s="238">
        <f>data!X85</f>
        <v>1178142.75</v>
      </c>
      <c r="D117" s="238">
        <f>data!Y85</f>
        <v>2953831.1599999997</v>
      </c>
      <c r="E117" s="238">
        <f>data!Z85</f>
        <v>0</v>
      </c>
      <c r="F117" s="238">
        <f>data!AA85</f>
        <v>1454182.83</v>
      </c>
      <c r="G117" s="238">
        <f>data!AB85</f>
        <v>5962066.6000000006</v>
      </c>
      <c r="H117" s="238">
        <f>data!AC85</f>
        <v>1826714.7799999998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1008</v>
      </c>
      <c r="C119" s="246">
        <f>+data!M689</f>
        <v>1187772</v>
      </c>
      <c r="D119" s="246">
        <f>+data!M690</f>
        <v>1543127</v>
      </c>
      <c r="E119" s="246">
        <f>+data!M691</f>
        <v>0</v>
      </c>
      <c r="F119" s="246">
        <f>+data!M692</f>
        <v>372393</v>
      </c>
      <c r="G119" s="246">
        <f>+data!M693</f>
        <v>1960678</v>
      </c>
      <c r="H119" s="246">
        <f>+data!M694</f>
        <v>524832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1009</v>
      </c>
      <c r="C120" s="238">
        <f>data!X87</f>
        <v>657849</v>
      </c>
      <c r="D120" s="238">
        <f>data!Y87</f>
        <v>603758</v>
      </c>
      <c r="E120" s="238">
        <f>data!Z87</f>
        <v>0</v>
      </c>
      <c r="F120" s="238">
        <f>data!AA87</f>
        <v>33822</v>
      </c>
      <c r="G120" s="238">
        <f>data!AB87</f>
        <v>3043009</v>
      </c>
      <c r="H120" s="238">
        <f>data!AC87</f>
        <v>1955363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1010</v>
      </c>
      <c r="C121" s="238">
        <f>data!X88</f>
        <v>16105764</v>
      </c>
      <c r="D121" s="238">
        <f>data!Y88</f>
        <v>16841530</v>
      </c>
      <c r="E121" s="238">
        <f>data!Z88</f>
        <v>0</v>
      </c>
      <c r="F121" s="238">
        <f>data!AA88</f>
        <v>4234533</v>
      </c>
      <c r="G121" s="238">
        <f>data!AB88</f>
        <v>20953946</v>
      </c>
      <c r="H121" s="238">
        <f>data!AC88</f>
        <v>3122434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1011</v>
      </c>
      <c r="C122" s="238">
        <f>data!X89</f>
        <v>16763613</v>
      </c>
      <c r="D122" s="238">
        <f>data!Y89</f>
        <v>17445288</v>
      </c>
      <c r="E122" s="238">
        <f>data!Z89</f>
        <v>0</v>
      </c>
      <c r="F122" s="238">
        <f>data!AA89</f>
        <v>4268355</v>
      </c>
      <c r="G122" s="238">
        <f>data!AB89</f>
        <v>23996955</v>
      </c>
      <c r="H122" s="238">
        <f>data!AC89</f>
        <v>5077797</v>
      </c>
      <c r="I122" s="238">
        <f>data!AD89</f>
        <v>0</v>
      </c>
    </row>
    <row r="123" spans="1:9" ht="20.100000000000001" customHeight="1" x14ac:dyDescent="0.2">
      <c r="A123" s="230" t="s">
        <v>1012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1013</v>
      </c>
      <c r="C124" s="238">
        <f>data!X90</f>
        <v>522</v>
      </c>
      <c r="D124" s="238">
        <f>data!Y90</f>
        <v>4934</v>
      </c>
      <c r="E124" s="238">
        <f>data!Z90</f>
        <v>0</v>
      </c>
      <c r="F124" s="238">
        <f>data!AA90</f>
        <v>344</v>
      </c>
      <c r="G124" s="238">
        <f>data!AB90</f>
        <v>980</v>
      </c>
      <c r="H124" s="238">
        <f>data!AC90</f>
        <v>1301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1014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1015</v>
      </c>
      <c r="C126" s="238">
        <f>data!X92</f>
        <v>122</v>
      </c>
      <c r="D126" s="238">
        <f>data!Y92</f>
        <v>1422</v>
      </c>
      <c r="E126" s="238">
        <f>data!Z92</f>
        <v>0</v>
      </c>
      <c r="F126" s="238">
        <f>data!AA92</f>
        <v>72</v>
      </c>
      <c r="G126" s="238">
        <f>data!AB92</f>
        <v>184</v>
      </c>
      <c r="H126" s="238">
        <f>data!AC92</f>
        <v>355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1016</v>
      </c>
      <c r="C127" s="238">
        <f>data!X93</f>
        <v>0</v>
      </c>
      <c r="D127" s="238">
        <f>data!Y93</f>
        <v>17295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21619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998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1029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Public Hospital District #1-A of Whitman County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1000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1030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1004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1031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42437</v>
      </c>
      <c r="D137" s="238">
        <f>data!AF59</f>
        <v>0</v>
      </c>
      <c r="E137" s="238">
        <f>data!AG59</f>
        <v>14484</v>
      </c>
      <c r="F137" s="238">
        <f>data!AH59</f>
        <v>0</v>
      </c>
      <c r="G137" s="238">
        <f>data!AI59</f>
        <v>0</v>
      </c>
      <c r="H137" s="238">
        <f>data!AJ59</f>
        <v>443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44.930000000000007</v>
      </c>
      <c r="D138" s="245">
        <f>data!AF60</f>
        <v>0</v>
      </c>
      <c r="E138" s="245">
        <f>data!AG60</f>
        <v>36.14</v>
      </c>
      <c r="F138" s="245">
        <f>data!AH60</f>
        <v>0</v>
      </c>
      <c r="G138" s="245">
        <f>data!AI60</f>
        <v>0</v>
      </c>
      <c r="H138" s="245">
        <f>data!AJ60</f>
        <v>0.8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4111070</v>
      </c>
      <c r="D139" s="238">
        <f>data!AF61</f>
        <v>0</v>
      </c>
      <c r="E139" s="238">
        <f>data!AG61</f>
        <v>6656789</v>
      </c>
      <c r="F139" s="238">
        <f>data!AH61</f>
        <v>0</v>
      </c>
      <c r="G139" s="238">
        <f>data!AI61</f>
        <v>0</v>
      </c>
      <c r="H139" s="238">
        <f>data!AJ61</f>
        <v>89386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1140602</v>
      </c>
      <c r="D140" s="238">
        <f>data!AF62</f>
        <v>0</v>
      </c>
      <c r="E140" s="238">
        <f>data!AG62</f>
        <v>1846902</v>
      </c>
      <c r="F140" s="238">
        <f>data!AH62</f>
        <v>0</v>
      </c>
      <c r="G140" s="238">
        <f>data!AI62</f>
        <v>0</v>
      </c>
      <c r="H140" s="238">
        <f>data!AJ62</f>
        <v>24800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1538</v>
      </c>
      <c r="D141" s="238">
        <f>data!AF63</f>
        <v>0</v>
      </c>
      <c r="E141" s="238">
        <f>data!AG63</f>
        <v>91077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81285</v>
      </c>
      <c r="D142" s="238">
        <f>data!AF64</f>
        <v>0</v>
      </c>
      <c r="E142" s="238">
        <f>data!AG64</f>
        <v>258958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39375.800000000003</v>
      </c>
      <c r="D143" s="238">
        <f>data!AF65</f>
        <v>0</v>
      </c>
      <c r="E143" s="238">
        <f>data!AG65</f>
        <v>1796.04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90865.88</v>
      </c>
      <c r="D144" s="238">
        <f>data!AF66</f>
        <v>0</v>
      </c>
      <c r="E144" s="238">
        <f>data!AG66</f>
        <v>76751.180000000008</v>
      </c>
      <c r="F144" s="238">
        <f>data!AH66</f>
        <v>39001.910000000003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530915</v>
      </c>
      <c r="D145" s="238">
        <f>data!AF67</f>
        <v>0</v>
      </c>
      <c r="E145" s="238">
        <f>data!AG67</f>
        <v>226685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1005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1006</v>
      </c>
      <c r="C147" s="238">
        <f>data!AE69</f>
        <v>16837.28</v>
      </c>
      <c r="D147" s="238">
        <f>data!AF69</f>
        <v>0</v>
      </c>
      <c r="E147" s="238">
        <f>data!AG69</f>
        <v>97987.89</v>
      </c>
      <c r="F147" s="238">
        <f>data!AH69</f>
        <v>0</v>
      </c>
      <c r="G147" s="238">
        <f>data!AI69</f>
        <v>0</v>
      </c>
      <c r="H147" s="238">
        <f>data!AJ69</f>
        <v>2568.0500000000002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-19435.150000000001</v>
      </c>
      <c r="D148" s="238">
        <f>-data!AF84</f>
        <v>0</v>
      </c>
      <c r="E148" s="238">
        <f>-data!AG84</f>
        <v>-70507.81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1007</v>
      </c>
      <c r="C149" s="238">
        <f>data!AE85</f>
        <v>5993053.8099999996</v>
      </c>
      <c r="D149" s="238">
        <f>data!AF85</f>
        <v>0</v>
      </c>
      <c r="E149" s="238">
        <f>data!AG85</f>
        <v>9186438.2999999989</v>
      </c>
      <c r="F149" s="238">
        <f>data!AH85</f>
        <v>39001.910000000003</v>
      </c>
      <c r="G149" s="238">
        <f>data!AI85</f>
        <v>0</v>
      </c>
      <c r="H149" s="238">
        <f>data!AJ85</f>
        <v>116754.05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1008</v>
      </c>
      <c r="C151" s="246">
        <f>+data!M696</f>
        <v>1559933</v>
      </c>
      <c r="D151" s="246">
        <f>+data!M697</f>
        <v>0</v>
      </c>
      <c r="E151" s="246">
        <f>+data!M698</f>
        <v>3593833</v>
      </c>
      <c r="F151" s="246">
        <f>+data!M699</f>
        <v>1729</v>
      </c>
      <c r="G151" s="246">
        <f>+data!M700</f>
        <v>0</v>
      </c>
      <c r="H151" s="246">
        <f>+data!M701</f>
        <v>282184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1009</v>
      </c>
      <c r="C152" s="238">
        <f>data!AE87</f>
        <v>323842</v>
      </c>
      <c r="D152" s="238">
        <f>data!AF87</f>
        <v>0</v>
      </c>
      <c r="E152" s="238">
        <f>data!AG87</f>
        <v>776463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1010</v>
      </c>
      <c r="C153" s="238">
        <f>data!AE88</f>
        <v>8810138</v>
      </c>
      <c r="D153" s="238">
        <f>data!AF88</f>
        <v>0</v>
      </c>
      <c r="E153" s="238">
        <f>data!AG88</f>
        <v>36259119</v>
      </c>
      <c r="F153" s="238">
        <f>data!AH88</f>
        <v>0</v>
      </c>
      <c r="G153" s="238">
        <f>data!AI88</f>
        <v>0</v>
      </c>
      <c r="H153" s="238">
        <f>data!AJ88</f>
        <v>174282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1011</v>
      </c>
      <c r="C154" s="238">
        <f>data!AE89</f>
        <v>9133980</v>
      </c>
      <c r="D154" s="238">
        <f>data!AF89</f>
        <v>0</v>
      </c>
      <c r="E154" s="238">
        <f>data!AG89</f>
        <v>37035582</v>
      </c>
      <c r="F154" s="238">
        <f>data!AH89</f>
        <v>0</v>
      </c>
      <c r="G154" s="238">
        <f>data!AI89</f>
        <v>0</v>
      </c>
      <c r="H154" s="238">
        <f>data!AJ89</f>
        <v>174282</v>
      </c>
      <c r="I154" s="238">
        <f>data!AK89</f>
        <v>0</v>
      </c>
    </row>
    <row r="155" spans="1:9" ht="20.100000000000001" customHeight="1" x14ac:dyDescent="0.2">
      <c r="A155" s="230" t="s">
        <v>1012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1013</v>
      </c>
      <c r="C156" s="238">
        <f>data!AE90</f>
        <v>14008</v>
      </c>
      <c r="D156" s="238">
        <f>data!AF90</f>
        <v>0</v>
      </c>
      <c r="E156" s="238">
        <f>data!AG90</f>
        <v>5981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1014</v>
      </c>
      <c r="C157" s="238">
        <f>data!AE91</f>
        <v>0</v>
      </c>
      <c r="D157" s="238">
        <f>data!AF91</f>
        <v>0</v>
      </c>
      <c r="E157" s="238">
        <f>data!AG91</f>
        <v>2133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1015</v>
      </c>
      <c r="C158" s="238">
        <f>data!AE92</f>
        <v>2559</v>
      </c>
      <c r="D158" s="238">
        <f>data!AF92</f>
        <v>0</v>
      </c>
      <c r="E158" s="238">
        <f>data!AG92</f>
        <v>2559</v>
      </c>
      <c r="F158" s="238">
        <f>data!AH92</f>
        <v>0</v>
      </c>
      <c r="G158" s="238">
        <f>data!AI92</f>
        <v>0</v>
      </c>
      <c r="H158" s="238">
        <f>data!AJ92</f>
        <v>333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1016</v>
      </c>
      <c r="C159" s="238">
        <f>data!AE93</f>
        <v>52021</v>
      </c>
      <c r="D159" s="238">
        <f>data!AF93</f>
        <v>0</v>
      </c>
      <c r="E159" s="238">
        <f>data!AG93</f>
        <v>77827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14.65</v>
      </c>
      <c r="F160" s="245">
        <f>data!AH94</f>
        <v>0</v>
      </c>
      <c r="G160" s="245">
        <f>data!AI94</f>
        <v>0</v>
      </c>
      <c r="H160" s="245">
        <f>data!AJ94</f>
        <v>15.67</v>
      </c>
      <c r="I160" s="245">
        <f>data!AK94</f>
        <v>0</v>
      </c>
    </row>
    <row r="161" spans="1:9" ht="20.100000000000001" customHeight="1" x14ac:dyDescent="0.2">
      <c r="A161" s="231" t="s">
        <v>998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1032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Public Hospital District #1-A of Whitman County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1000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1033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1034</v>
      </c>
      <c r="F167" s="244" t="s">
        <v>208</v>
      </c>
      <c r="G167" s="244" t="s">
        <v>147</v>
      </c>
      <c r="H167" s="243" t="s">
        <v>1035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1004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67082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94.170000000000016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12541609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3479624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7162755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761589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89542.619999999981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180138.94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708784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1005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1006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165725.31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-31730.500000000029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1007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25058037.370000001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1008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0</v>
      </c>
      <c r="G183" s="246">
        <f>+data!M707</f>
        <v>4297323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1009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1494144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1010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34820826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1011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36314970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1012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1013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18701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1014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1015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1016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22473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998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1036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Public Hospital District #1-A of Whitman County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1000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1037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1038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1004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20388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1.68</v>
      </c>
      <c r="G202" s="245">
        <f>data!AW60</f>
        <v>0</v>
      </c>
      <c r="H202" s="245">
        <f>data!AX60</f>
        <v>0</v>
      </c>
      <c r="I202" s="245">
        <f>data!AY60</f>
        <v>3.93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178740</v>
      </c>
      <c r="G203" s="238">
        <f>data!AW61</f>
        <v>0</v>
      </c>
      <c r="H203" s="238">
        <f>data!AX61</f>
        <v>0</v>
      </c>
      <c r="I203" s="238">
        <f>data!AY61</f>
        <v>316134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49591</v>
      </c>
      <c r="G204" s="238">
        <f>data!AW62</f>
        <v>0</v>
      </c>
      <c r="H204" s="238">
        <f>data!AX62</f>
        <v>0</v>
      </c>
      <c r="I204" s="238">
        <f>data!AY62</f>
        <v>87710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1991</v>
      </c>
      <c r="G205" s="238">
        <f>data!AW63</f>
        <v>0</v>
      </c>
      <c r="H205" s="238">
        <f>data!AX63</f>
        <v>0</v>
      </c>
      <c r="I205" s="238">
        <f>data!AY63</f>
        <v>46512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3809</v>
      </c>
      <c r="G206" s="238">
        <f>data!AW64</f>
        <v>0</v>
      </c>
      <c r="H206" s="238">
        <f>data!AX64</f>
        <v>0</v>
      </c>
      <c r="I206" s="238">
        <f>data!AY64</f>
        <v>11413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1852.04</v>
      </c>
      <c r="G208" s="238">
        <f>data!AW66</f>
        <v>0</v>
      </c>
      <c r="H208" s="238">
        <f>data!AX66</f>
        <v>0</v>
      </c>
      <c r="I208" s="238">
        <f>data!AY66</f>
        <v>1490.1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18041</v>
      </c>
      <c r="G209" s="238">
        <f>data!AW67</f>
        <v>0</v>
      </c>
      <c r="H209" s="238">
        <f>data!AX67</f>
        <v>0</v>
      </c>
      <c r="I209" s="238">
        <f>data!AY67</f>
        <v>7997</v>
      </c>
    </row>
    <row r="210" spans="1:9" ht="20.100000000000001" customHeight="1" x14ac:dyDescent="0.2">
      <c r="A210" s="230">
        <v>13</v>
      </c>
      <c r="B210" s="238" t="s">
        <v>1005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1006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3478.91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-15780.32</v>
      </c>
      <c r="G212" s="238">
        <f>-data!AW84</f>
        <v>0</v>
      </c>
      <c r="H212" s="238">
        <f>-data!AX84</f>
        <v>0</v>
      </c>
      <c r="I212" s="238">
        <f>-data!AY84</f>
        <v>-1016.7600000000002</v>
      </c>
    </row>
    <row r="213" spans="1:9" ht="20.100000000000001" customHeight="1" x14ac:dyDescent="0.2">
      <c r="A213" s="230">
        <v>16</v>
      </c>
      <c r="B213" s="246" t="s">
        <v>1007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238243.72</v>
      </c>
      <c r="G213" s="238">
        <f>data!AW85</f>
        <v>0</v>
      </c>
      <c r="H213" s="238">
        <f>data!AX85</f>
        <v>0</v>
      </c>
      <c r="I213" s="238">
        <f>data!AY85</f>
        <v>473718.24999999994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1008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26957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1009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1010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1011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1012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1013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476</v>
      </c>
      <c r="G220" s="238">
        <f>data!AW90</f>
        <v>0</v>
      </c>
      <c r="H220" s="238">
        <f>data!AX90</f>
        <v>0</v>
      </c>
      <c r="I220" s="238">
        <f>data!AY90</f>
        <v>211</v>
      </c>
    </row>
    <row r="221" spans="1:9" ht="20.100000000000001" customHeight="1" x14ac:dyDescent="0.2">
      <c r="A221" s="230">
        <v>23</v>
      </c>
      <c r="B221" s="238" t="s">
        <v>1014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1015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1016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998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1039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Public Hospital District #1-A of Whitman County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1000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1040</v>
      </c>
      <c r="F231" s="244" t="s">
        <v>1041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1004</v>
      </c>
      <c r="C232" s="240" t="s">
        <v>1042</v>
      </c>
      <c r="D232" s="240" t="s">
        <v>1043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115948</v>
      </c>
      <c r="D233" s="238">
        <f>data!BA59</f>
        <v>0</v>
      </c>
      <c r="E233" s="250"/>
      <c r="F233" s="250"/>
      <c r="G233" s="250"/>
      <c r="H233" s="238">
        <f>data!BE59</f>
        <v>127457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16.510000000000002</v>
      </c>
      <c r="D234" s="245">
        <f>data!BA60</f>
        <v>1</v>
      </c>
      <c r="E234" s="245">
        <f>data!BB60</f>
        <v>5.23</v>
      </c>
      <c r="F234" s="245">
        <f>data!BC60</f>
        <v>0</v>
      </c>
      <c r="G234" s="245">
        <f>data!BD60</f>
        <v>3.74</v>
      </c>
      <c r="H234" s="245">
        <f>data!BE60</f>
        <v>8.7899999999999991</v>
      </c>
      <c r="I234" s="245">
        <f>data!BF60</f>
        <v>13.67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820226</v>
      </c>
      <c r="D235" s="238">
        <f>data!BA61</f>
        <v>48859</v>
      </c>
      <c r="E235" s="238">
        <f>data!BB61</f>
        <v>523629</v>
      </c>
      <c r="F235" s="238">
        <f>data!BC61</f>
        <v>0</v>
      </c>
      <c r="G235" s="238">
        <f>data!BD61</f>
        <v>318301</v>
      </c>
      <c r="H235" s="238">
        <f>data!BE61</f>
        <v>721316</v>
      </c>
      <c r="I235" s="238">
        <f>data!BF61</f>
        <v>678938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227569</v>
      </c>
      <c r="D236" s="238">
        <f>data!BA62</f>
        <v>13556</v>
      </c>
      <c r="E236" s="238">
        <f>data!BB62</f>
        <v>145279</v>
      </c>
      <c r="F236" s="238">
        <f>data!BC62</f>
        <v>0</v>
      </c>
      <c r="G236" s="238">
        <f>data!BD62</f>
        <v>88311</v>
      </c>
      <c r="H236" s="238">
        <f>data!BE62</f>
        <v>200127</v>
      </c>
      <c r="I236" s="238">
        <f>data!BF62</f>
        <v>188369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38171</v>
      </c>
      <c r="F237" s="238">
        <f>data!BC63</f>
        <v>0</v>
      </c>
      <c r="G237" s="238">
        <f>data!BD63</f>
        <v>0</v>
      </c>
      <c r="H237" s="238">
        <f>data!BE63</f>
        <v>9708</v>
      </c>
      <c r="I237" s="238">
        <f>data!BF63</f>
        <v>43335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710416</v>
      </c>
      <c r="D238" s="238">
        <f>data!BA64</f>
        <v>0</v>
      </c>
      <c r="E238" s="238">
        <f>data!BB64</f>
        <v>7000</v>
      </c>
      <c r="F238" s="238">
        <f>data!BC64</f>
        <v>0</v>
      </c>
      <c r="G238" s="238">
        <f>data!BD64</f>
        <v>10427</v>
      </c>
      <c r="H238" s="238">
        <f>data!BE64</f>
        <v>22957</v>
      </c>
      <c r="I238" s="238">
        <f>data!BF64</f>
        <v>101098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2996.47</v>
      </c>
      <c r="F239" s="238">
        <f>data!BC65</f>
        <v>0</v>
      </c>
      <c r="G239" s="238">
        <f>data!BD65</f>
        <v>1168.5899999999999</v>
      </c>
      <c r="H239" s="238">
        <f>data!BE65</f>
        <v>626406.98</v>
      </c>
      <c r="I239" s="238">
        <f>data!BF65</f>
        <v>163240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30037.01</v>
      </c>
      <c r="D240" s="238">
        <f>data!BA66</f>
        <v>276374.37</v>
      </c>
      <c r="E240" s="238">
        <f>data!BB66</f>
        <v>21661.24</v>
      </c>
      <c r="F240" s="238">
        <f>data!BC66</f>
        <v>0</v>
      </c>
      <c r="G240" s="238">
        <f>data!BD66</f>
        <v>21759.99</v>
      </c>
      <c r="H240" s="238">
        <f>data!BE66</f>
        <v>287888.23000000004</v>
      </c>
      <c r="I240" s="238">
        <f>data!BF66</f>
        <v>49389.32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164679</v>
      </c>
      <c r="D241" s="238">
        <f>data!BA67</f>
        <v>48892</v>
      </c>
      <c r="E241" s="238">
        <f>data!BB67</f>
        <v>10309</v>
      </c>
      <c r="F241" s="238">
        <f>data!BC67</f>
        <v>0</v>
      </c>
      <c r="G241" s="238">
        <f>data!BD67</f>
        <v>108131</v>
      </c>
      <c r="H241" s="238">
        <f>data!BE67</f>
        <v>413044</v>
      </c>
      <c r="I241" s="238">
        <f>data!BF67</f>
        <v>168507</v>
      </c>
    </row>
    <row r="242" spans="1:9" ht="20.100000000000001" customHeight="1" x14ac:dyDescent="0.2">
      <c r="A242" s="230">
        <v>13</v>
      </c>
      <c r="B242" s="238" t="s">
        <v>1005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1006</v>
      </c>
      <c r="C243" s="238">
        <f>data!AZ69</f>
        <v>0</v>
      </c>
      <c r="D243" s="238">
        <f>data!BA69</f>
        <v>0</v>
      </c>
      <c r="E243" s="238">
        <f>data!BB69</f>
        <v>6142.67</v>
      </c>
      <c r="F243" s="238">
        <f>data!BC69</f>
        <v>0</v>
      </c>
      <c r="G243" s="238">
        <f>data!BD69</f>
        <v>0</v>
      </c>
      <c r="H243" s="238">
        <f>data!BE69</f>
        <v>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-3750.02</v>
      </c>
      <c r="D244" s="238">
        <f>-data!BA84</f>
        <v>0</v>
      </c>
      <c r="E244" s="238">
        <f>-data!BB84</f>
        <v>-1548.1499999999996</v>
      </c>
      <c r="F244" s="238">
        <f>-data!BC84</f>
        <v>0</v>
      </c>
      <c r="G244" s="238">
        <f>-data!BD84</f>
        <v>-230826.86</v>
      </c>
      <c r="H244" s="238">
        <f>-data!BE84</f>
        <v>-226.02999999999997</v>
      </c>
      <c r="I244" s="238">
        <f>-data!BF84</f>
        <v>-3072.68</v>
      </c>
    </row>
    <row r="245" spans="1:9" ht="20.100000000000001" customHeight="1" x14ac:dyDescent="0.2">
      <c r="A245" s="230">
        <v>16</v>
      </c>
      <c r="B245" s="246" t="s">
        <v>1007</v>
      </c>
      <c r="C245" s="238">
        <f>data!AZ85</f>
        <v>1949176.99</v>
      </c>
      <c r="D245" s="238">
        <f>data!BA85</f>
        <v>387681.37</v>
      </c>
      <c r="E245" s="238">
        <f>data!BB85</f>
        <v>753640.23</v>
      </c>
      <c r="F245" s="238">
        <f>data!BC85</f>
        <v>0</v>
      </c>
      <c r="G245" s="238">
        <f>data!BD85</f>
        <v>317271.72000000009</v>
      </c>
      <c r="H245" s="238">
        <f>data!BE85</f>
        <v>2281221.1800000002</v>
      </c>
      <c r="I245" s="238">
        <f>data!BF85</f>
        <v>1389803.6400000001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1008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1009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1010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1011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1012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1013</v>
      </c>
      <c r="C252" s="254">
        <f>data!AZ90</f>
        <v>4345</v>
      </c>
      <c r="D252" s="254">
        <f>data!BA90</f>
        <v>1290</v>
      </c>
      <c r="E252" s="254">
        <f>data!BB90</f>
        <v>272</v>
      </c>
      <c r="F252" s="254">
        <f>data!BC90</f>
        <v>0</v>
      </c>
      <c r="G252" s="254">
        <f>data!BD90</f>
        <v>2853</v>
      </c>
      <c r="H252" s="254">
        <f>data!BE90</f>
        <v>10898</v>
      </c>
      <c r="I252" s="254">
        <f>data!BF90</f>
        <v>4446</v>
      </c>
    </row>
    <row r="253" spans="1:9" ht="20.100000000000001" customHeight="1" x14ac:dyDescent="0.2">
      <c r="A253" s="230">
        <v>23</v>
      </c>
      <c r="B253" s="238" t="s">
        <v>1014</v>
      </c>
      <c r="C253" s="254">
        <f>data!AZ91</f>
        <v>115948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1015</v>
      </c>
      <c r="C254" s="253" t="str">
        <f>IF(data!AZ92&gt;0,data!AZ92,"")</f>
        <v>x</v>
      </c>
      <c r="D254" s="254">
        <f>data!BA92</f>
        <v>142</v>
      </c>
      <c r="E254" s="254">
        <f>data!BB92</f>
        <v>35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1016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998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1044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Public Hospital District #1-A of Whitman County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1000</v>
      </c>
      <c r="C262" s="244" t="s">
        <v>1045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1046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1047</v>
      </c>
    </row>
    <row r="264" spans="1:9" ht="20.100000000000001" customHeight="1" x14ac:dyDescent="0.2">
      <c r="A264" s="230">
        <v>3</v>
      </c>
      <c r="B264" s="238" t="s">
        <v>1004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7.4399999999999995</v>
      </c>
      <c r="E266" s="245">
        <f>data!BI60</f>
        <v>2</v>
      </c>
      <c r="F266" s="245">
        <f>data!BJ60</f>
        <v>4.68</v>
      </c>
      <c r="G266" s="245">
        <f>data!BK60</f>
        <v>20.350000000000001</v>
      </c>
      <c r="H266" s="245">
        <f>data!BL60</f>
        <v>16.97</v>
      </c>
      <c r="I266" s="245">
        <f>data!BM60</f>
        <v>2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805293</v>
      </c>
      <c r="E267" s="238">
        <f>data!BI61</f>
        <v>246446</v>
      </c>
      <c r="F267" s="238">
        <f>data!BJ61</f>
        <v>428481</v>
      </c>
      <c r="G267" s="238">
        <f>data!BK61</f>
        <v>1555665</v>
      </c>
      <c r="H267" s="238">
        <f>data!BL61</f>
        <v>887931</v>
      </c>
      <c r="I267" s="238">
        <f>data!BM61</f>
        <v>396301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223426</v>
      </c>
      <c r="E268" s="238">
        <f>data!BI62</f>
        <v>68376</v>
      </c>
      <c r="F268" s="238">
        <f>data!BJ62</f>
        <v>118881</v>
      </c>
      <c r="G268" s="238">
        <f>data!BK62</f>
        <v>431614</v>
      </c>
      <c r="H268" s="238">
        <f>data!BL62</f>
        <v>246353</v>
      </c>
      <c r="I268" s="238">
        <f>data!BM62</f>
        <v>109952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121288</v>
      </c>
      <c r="F269" s="238">
        <f>data!BJ63</f>
        <v>84383</v>
      </c>
      <c r="G269" s="238">
        <f>data!BK63</f>
        <v>4768743</v>
      </c>
      <c r="H269" s="238">
        <f>data!BL63</f>
        <v>0</v>
      </c>
      <c r="I269" s="238">
        <f>data!BM63</f>
        <v>231206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23626</v>
      </c>
      <c r="E270" s="238">
        <f>data!BI64</f>
        <v>61359</v>
      </c>
      <c r="F270" s="238">
        <f>data!BJ64</f>
        <v>2655</v>
      </c>
      <c r="G270" s="238">
        <f>data!BK64</f>
        <v>12891</v>
      </c>
      <c r="H270" s="238">
        <f>data!BL64</f>
        <v>9245</v>
      </c>
      <c r="I270" s="238">
        <f>data!BM64</f>
        <v>6692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231767.29</v>
      </c>
      <c r="E271" s="238">
        <f>data!BI65</f>
        <v>2798</v>
      </c>
      <c r="F271" s="238">
        <f>data!BJ65</f>
        <v>485.72</v>
      </c>
      <c r="G271" s="238">
        <f>data!BK65</f>
        <v>4059.77</v>
      </c>
      <c r="H271" s="238">
        <f>data!BL65</f>
        <v>485.72</v>
      </c>
      <c r="I271" s="238">
        <f>data!BM65</f>
        <v>2707.54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2022105.27</v>
      </c>
      <c r="E272" s="238">
        <f>data!BI66</f>
        <v>159399.78</v>
      </c>
      <c r="F272" s="238">
        <f>data!BJ66</f>
        <v>3614.11</v>
      </c>
      <c r="G272" s="238">
        <f>data!BK66</f>
        <v>426978.02</v>
      </c>
      <c r="H272" s="238">
        <f>data!BL66</f>
        <v>8764.86</v>
      </c>
      <c r="I272" s="238">
        <f>data!BM66</f>
        <v>398627.19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49650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39114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1005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1006</v>
      </c>
      <c r="C275" s="238">
        <f>data!BG69</f>
        <v>0</v>
      </c>
      <c r="D275" s="238">
        <f>data!BH69</f>
        <v>559</v>
      </c>
      <c r="E275" s="238">
        <f>data!BI69</f>
        <v>1165</v>
      </c>
      <c r="F275" s="238">
        <f>data!BJ69</f>
        <v>0</v>
      </c>
      <c r="G275" s="238">
        <f>data!BK69</f>
        <v>12487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-2467.6299999999992</v>
      </c>
      <c r="E276" s="238">
        <f>-data!BI84</f>
        <v>-47431.519999999997</v>
      </c>
      <c r="F276" s="238">
        <f>-data!BJ84</f>
        <v>-30663.01</v>
      </c>
      <c r="G276" s="238">
        <f>-data!BK84</f>
        <v>-441375.41</v>
      </c>
      <c r="H276" s="238">
        <f>-data!BL84</f>
        <v>0</v>
      </c>
      <c r="I276" s="238">
        <f>-data!BM84</f>
        <v>-34887.769999999997</v>
      </c>
    </row>
    <row r="277" spans="1:9" ht="20.100000000000001" customHeight="1" x14ac:dyDescent="0.2">
      <c r="A277" s="230">
        <v>16</v>
      </c>
      <c r="B277" s="246" t="s">
        <v>1007</v>
      </c>
      <c r="C277" s="238">
        <f>data!BG85</f>
        <v>0</v>
      </c>
      <c r="D277" s="238">
        <f>data!BH85</f>
        <v>3353958.93</v>
      </c>
      <c r="E277" s="238">
        <f>data!BI85</f>
        <v>613400.26</v>
      </c>
      <c r="F277" s="238">
        <f>data!BJ85</f>
        <v>607836.81999999995</v>
      </c>
      <c r="G277" s="238">
        <f>data!BK85</f>
        <v>6771062.379999999</v>
      </c>
      <c r="H277" s="238">
        <f>data!BL85</f>
        <v>1191893.58</v>
      </c>
      <c r="I277" s="238">
        <f>data!BM85</f>
        <v>1110597.96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1008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1009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1010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1011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1012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1013</v>
      </c>
      <c r="C284" s="254">
        <f>data!BG90</f>
        <v>0</v>
      </c>
      <c r="D284" s="254">
        <f>data!BH90</f>
        <v>1310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1032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1014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1015</v>
      </c>
      <c r="C286" s="253" t="str">
        <f>IF(data!BG92&gt;0,data!BG92,"")</f>
        <v>x</v>
      </c>
      <c r="D286" s="254">
        <f>data!BH92</f>
        <v>142</v>
      </c>
      <c r="E286" s="254">
        <f>data!BI92</f>
        <v>0</v>
      </c>
      <c r="F286" s="253" t="str">
        <f>IF(data!BJ92&gt;0,data!BJ92,"")</f>
        <v>x</v>
      </c>
      <c r="G286" s="254">
        <f>data!BK92</f>
        <v>475</v>
      </c>
      <c r="H286" s="254">
        <f>data!BL92</f>
        <v>203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1016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998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1048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Public Hospital District #1-A of Whitman County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1000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1049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1004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14</v>
      </c>
      <c r="D298" s="245">
        <f>data!BO60</f>
        <v>2</v>
      </c>
      <c r="E298" s="245">
        <f>data!BP60</f>
        <v>4.01</v>
      </c>
      <c r="F298" s="245">
        <f>data!BQ60</f>
        <v>0</v>
      </c>
      <c r="G298" s="245">
        <f>data!BR60</f>
        <v>6.63</v>
      </c>
      <c r="H298" s="245">
        <f>data!BS60</f>
        <v>1.57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1406351</v>
      </c>
      <c r="D299" s="238">
        <f>data!BO61</f>
        <v>208433</v>
      </c>
      <c r="E299" s="238">
        <f>data!BP61</f>
        <v>360601</v>
      </c>
      <c r="F299" s="238">
        <f>data!BQ61</f>
        <v>0</v>
      </c>
      <c r="G299" s="238">
        <f>data!BR61</f>
        <v>715394</v>
      </c>
      <c r="H299" s="238">
        <f>data!BS61</f>
        <v>115324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390187</v>
      </c>
      <c r="D300" s="238">
        <f>data!BO62</f>
        <v>57829</v>
      </c>
      <c r="E300" s="238">
        <f>data!BP62</f>
        <v>100047</v>
      </c>
      <c r="F300" s="238">
        <f>data!BQ62</f>
        <v>0</v>
      </c>
      <c r="G300" s="238">
        <f>data!BR62</f>
        <v>198484</v>
      </c>
      <c r="H300" s="238">
        <f>data!BS62</f>
        <v>31996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214643</v>
      </c>
      <c r="D301" s="238">
        <f>data!BO63</f>
        <v>0</v>
      </c>
      <c r="E301" s="238">
        <f>data!BP63</f>
        <v>568663</v>
      </c>
      <c r="F301" s="238">
        <f>data!BQ63</f>
        <v>0</v>
      </c>
      <c r="G301" s="238">
        <f>data!BR63</f>
        <v>72113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30417</v>
      </c>
      <c r="D302" s="238">
        <f>data!BO64</f>
        <v>1903</v>
      </c>
      <c r="E302" s="238">
        <f>data!BP64</f>
        <v>35846</v>
      </c>
      <c r="F302" s="238">
        <f>data!BQ64</f>
        <v>0</v>
      </c>
      <c r="G302" s="238">
        <f>data!BR64</f>
        <v>9002</v>
      </c>
      <c r="H302" s="238">
        <f>data!BS64</f>
        <v>98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16705.21</v>
      </c>
      <c r="D303" s="238">
        <f>data!BO65</f>
        <v>1938</v>
      </c>
      <c r="E303" s="238">
        <f>data!BP65</f>
        <v>0</v>
      </c>
      <c r="F303" s="238">
        <f>data!BQ65</f>
        <v>0</v>
      </c>
      <c r="G303" s="238">
        <f>data!BR65</f>
        <v>971.44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102734.15</v>
      </c>
      <c r="D304" s="238">
        <f>data!BO66</f>
        <v>13613.55</v>
      </c>
      <c r="E304" s="238">
        <f>data!BP66</f>
        <v>124207.4</v>
      </c>
      <c r="F304" s="238">
        <f>data!BQ66</f>
        <v>0</v>
      </c>
      <c r="G304" s="238">
        <f>data!BR66</f>
        <v>-813306.95000000007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69700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18837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1005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1006</v>
      </c>
      <c r="C307" s="238">
        <f>data!BN69</f>
        <v>21362.71</v>
      </c>
      <c r="D307" s="238">
        <f>data!BO69</f>
        <v>2234</v>
      </c>
      <c r="E307" s="238">
        <f>data!BP69</f>
        <v>5080.68</v>
      </c>
      <c r="F307" s="238">
        <f>data!BQ69</f>
        <v>0</v>
      </c>
      <c r="G307" s="238">
        <f>data!BR69</f>
        <v>2566.9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-235976.61</v>
      </c>
      <c r="D308" s="238">
        <f>-data!BO84</f>
        <v>-639.15999999999985</v>
      </c>
      <c r="E308" s="238">
        <f>-data!BP84</f>
        <v>-29171.61</v>
      </c>
      <c r="F308" s="238">
        <f>-data!BQ84</f>
        <v>0</v>
      </c>
      <c r="G308" s="238">
        <f>-data!BR84</f>
        <v>-80059.87000000001</v>
      </c>
      <c r="H308" s="238">
        <f>-data!BS84</f>
        <v>-205.2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1007</v>
      </c>
      <c r="C309" s="238">
        <f>data!BN85</f>
        <v>2016123.46</v>
      </c>
      <c r="D309" s="238">
        <f>data!BO85</f>
        <v>285311.39</v>
      </c>
      <c r="E309" s="238">
        <f>data!BP85</f>
        <v>1165273.4699999997</v>
      </c>
      <c r="F309" s="238">
        <f>data!BQ85</f>
        <v>0</v>
      </c>
      <c r="G309" s="238">
        <f>data!BR85</f>
        <v>105164.51999999986</v>
      </c>
      <c r="H309" s="238">
        <f>data!BS85</f>
        <v>166049.79999999999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1008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1009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1010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1011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1012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1013</v>
      </c>
      <c r="C316" s="254">
        <f>data!BN90</f>
        <v>1839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497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1014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1015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1016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998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1050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Public Hospital District #1-A of Whitman County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1000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1049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1004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3.99</v>
      </c>
      <c r="E330" s="245">
        <f>data!BW60</f>
        <v>1.37</v>
      </c>
      <c r="F330" s="245">
        <f>data!BX60</f>
        <v>2.81</v>
      </c>
      <c r="G330" s="245">
        <f>data!BY60</f>
        <v>6.08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309053</v>
      </c>
      <c r="E331" s="257">
        <f>data!BW61</f>
        <v>369345</v>
      </c>
      <c r="F331" s="257">
        <f>data!BX61</f>
        <v>269085</v>
      </c>
      <c r="G331" s="257">
        <f>data!BY61</f>
        <v>1001930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85746</v>
      </c>
      <c r="E332" s="257">
        <f>data!BW62</f>
        <v>102473</v>
      </c>
      <c r="F332" s="257">
        <f>data!BX62</f>
        <v>74657</v>
      </c>
      <c r="G332" s="257">
        <f>data!BY62</f>
        <v>277982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7000</v>
      </c>
      <c r="E333" s="257">
        <f>data!BW63</f>
        <v>292124</v>
      </c>
      <c r="F333" s="257">
        <f>data!BX63</f>
        <v>33524</v>
      </c>
      <c r="G333" s="257">
        <f>data!BY63</f>
        <v>9079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1167</v>
      </c>
      <c r="E334" s="257">
        <f>data!BW64</f>
        <v>8883</v>
      </c>
      <c r="F334" s="257">
        <f>data!BX64</f>
        <v>8001</v>
      </c>
      <c r="G334" s="257">
        <f>data!BY64</f>
        <v>6189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3096.78</v>
      </c>
      <c r="E335" s="257">
        <f>data!BW65</f>
        <v>480</v>
      </c>
      <c r="F335" s="257">
        <f>data!BX65</f>
        <v>0</v>
      </c>
      <c r="G335" s="257">
        <f>data!BY65</f>
        <v>919.55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127260</v>
      </c>
      <c r="E336" s="257">
        <f>data!BW66</f>
        <v>53660.75</v>
      </c>
      <c r="F336" s="257">
        <f>data!BX66</f>
        <v>157330.03</v>
      </c>
      <c r="G336" s="257">
        <f>data!BY66</f>
        <v>30143.02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8907</v>
      </c>
      <c r="F337" s="257">
        <f>data!BX67</f>
        <v>5685</v>
      </c>
      <c r="G337" s="257">
        <f>data!BY67</f>
        <v>5117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1005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1006</v>
      </c>
      <c r="C339" s="257">
        <f>data!BU69</f>
        <v>0</v>
      </c>
      <c r="D339" s="257">
        <f>data!BV69</f>
        <v>0</v>
      </c>
      <c r="E339" s="257">
        <f>data!BW69</f>
        <v>13857.17</v>
      </c>
      <c r="F339" s="257">
        <f>data!BX69</f>
        <v>8310.4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-565.85</v>
      </c>
      <c r="E340" s="238">
        <f>-data!BW84</f>
        <v>-12686.130000000001</v>
      </c>
      <c r="F340" s="238">
        <f>-data!BX84</f>
        <v>-4939.8099999999995</v>
      </c>
      <c r="G340" s="238">
        <f>-data!BY84</f>
        <v>-2151.04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1007</v>
      </c>
      <c r="C341" s="238">
        <f>data!BU85</f>
        <v>0</v>
      </c>
      <c r="D341" s="238">
        <f>data!BV85</f>
        <v>532756.93000000005</v>
      </c>
      <c r="E341" s="238">
        <f>data!BW85</f>
        <v>837043.79</v>
      </c>
      <c r="F341" s="238">
        <f>data!BX85</f>
        <v>551652.62</v>
      </c>
      <c r="G341" s="238">
        <f>data!BY85</f>
        <v>1329208.53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1008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1009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1010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1011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1012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1013</v>
      </c>
      <c r="C348" s="254">
        <f>data!BU90</f>
        <v>0</v>
      </c>
      <c r="D348" s="254">
        <f>data!BV90</f>
        <v>0</v>
      </c>
      <c r="E348" s="254">
        <f>data!BW90</f>
        <v>235</v>
      </c>
      <c r="F348" s="254">
        <f>data!BX90</f>
        <v>150</v>
      </c>
      <c r="G348" s="254">
        <f>data!BY90</f>
        <v>135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1014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1015</v>
      </c>
      <c r="C350" s="254">
        <f>data!BU92</f>
        <v>0</v>
      </c>
      <c r="D350" s="254">
        <f>data!BV92</f>
        <v>317</v>
      </c>
      <c r="E350" s="254">
        <f>data!BW92</f>
        <v>0</v>
      </c>
      <c r="F350" s="254">
        <f>data!BX92</f>
        <v>35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1016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998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1051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Public Hospital District #1-A of Whitman County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1000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1052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1004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4.8899999999999997</v>
      </c>
      <c r="E362" s="260"/>
      <c r="F362" s="248"/>
      <c r="G362" s="248"/>
      <c r="H362" s="248"/>
      <c r="I362" s="261">
        <f>data!CE60</f>
        <v>517.36000000000013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545224</v>
      </c>
      <c r="E363" s="262"/>
      <c r="F363" s="262"/>
      <c r="G363" s="262"/>
      <c r="H363" s="262"/>
      <c r="I363" s="257">
        <f>data!CE61</f>
        <v>55998878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151270</v>
      </c>
      <c r="E364" s="262"/>
      <c r="F364" s="262"/>
      <c r="G364" s="262"/>
      <c r="H364" s="262"/>
      <c r="I364" s="257">
        <f>data!CE62</f>
        <v>15536688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54859</v>
      </c>
      <c r="E365" s="262"/>
      <c r="F365" s="262"/>
      <c r="G365" s="262"/>
      <c r="H365" s="262"/>
      <c r="I365" s="257">
        <f>data!CE63</f>
        <v>20935518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6937</v>
      </c>
      <c r="E366" s="262"/>
      <c r="F366" s="262"/>
      <c r="G366" s="262"/>
      <c r="H366" s="262"/>
      <c r="I366" s="257">
        <f>data!CE64</f>
        <v>18216254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12765.41</v>
      </c>
      <c r="E367" s="262"/>
      <c r="F367" s="262"/>
      <c r="G367" s="262"/>
      <c r="H367" s="262"/>
      <c r="I367" s="257">
        <f>data!CE65</f>
        <v>1212331.3599999999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8722.6299999999992</v>
      </c>
      <c r="E368" s="262"/>
      <c r="F368" s="262"/>
      <c r="G368" s="262"/>
      <c r="H368" s="262"/>
      <c r="I368" s="257">
        <f>data!CE66</f>
        <v>6194615.160000002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427484</v>
      </c>
      <c r="E369" s="262"/>
      <c r="F369" s="262"/>
      <c r="G369" s="262"/>
      <c r="H369" s="262"/>
      <c r="I369" s="257">
        <f>data!CE67</f>
        <v>4830731</v>
      </c>
    </row>
    <row r="370" spans="1:9" ht="20.100000000000001" customHeight="1" x14ac:dyDescent="0.2">
      <c r="A370" s="230">
        <v>13</v>
      </c>
      <c r="B370" s="238" t="s">
        <v>1005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0</v>
      </c>
    </row>
    <row r="371" spans="1:9" ht="20.100000000000001" customHeight="1" x14ac:dyDescent="0.2">
      <c r="A371" s="230">
        <v>14</v>
      </c>
      <c r="B371" s="238" t="s">
        <v>1006</v>
      </c>
      <c r="C371" s="257">
        <f>data!CB69</f>
        <v>0</v>
      </c>
      <c r="D371" s="257">
        <f>data!CC69</f>
        <v>1508.2</v>
      </c>
      <c r="E371" s="257">
        <f>data!CD69</f>
        <v>0</v>
      </c>
      <c r="F371" s="262"/>
      <c r="G371" s="262"/>
      <c r="H371" s="262"/>
      <c r="I371" s="257">
        <f>data!CE69</f>
        <v>406155.72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-4845.58</v>
      </c>
      <c r="E372" s="238">
        <f>-data!CD84</f>
        <v>-1029894</v>
      </c>
      <c r="F372" s="248"/>
      <c r="G372" s="248"/>
      <c r="H372" s="248"/>
      <c r="I372" s="238">
        <f>-data!CE84</f>
        <v>-2398278.5</v>
      </c>
    </row>
    <row r="373" spans="1:9" ht="20.100000000000001" customHeight="1" x14ac:dyDescent="0.2">
      <c r="A373" s="230">
        <v>16</v>
      </c>
      <c r="B373" s="246" t="s">
        <v>1007</v>
      </c>
      <c r="C373" s="257">
        <f>data!CB85</f>
        <v>0</v>
      </c>
      <c r="D373" s="257">
        <f>data!CC85</f>
        <v>1203924.6599999999</v>
      </c>
      <c r="E373" s="257">
        <f>data!CD85</f>
        <v>-1029894</v>
      </c>
      <c r="F373" s="262"/>
      <c r="G373" s="262"/>
      <c r="H373" s="262"/>
      <c r="I373" s="238">
        <f>data!CE85</f>
        <v>120932892.74000001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2597777</v>
      </c>
    </row>
    <row r="375" spans="1:9" ht="20.100000000000001" customHeight="1" x14ac:dyDescent="0.2">
      <c r="A375" s="230">
        <v>18</v>
      </c>
      <c r="B375" s="238" t="s">
        <v>1008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1009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26960739</v>
      </c>
    </row>
    <row r="377" spans="1:9" ht="20.100000000000001" customHeight="1" x14ac:dyDescent="0.2">
      <c r="A377" s="230">
        <v>20</v>
      </c>
      <c r="B377" s="246" t="s">
        <v>1010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240779909</v>
      </c>
    </row>
    <row r="378" spans="1:9" ht="20.100000000000001" customHeight="1" x14ac:dyDescent="0.2">
      <c r="A378" s="230">
        <v>21</v>
      </c>
      <c r="B378" s="246" t="s">
        <v>1011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267740648</v>
      </c>
    </row>
    <row r="379" spans="1:9" ht="20.100000000000001" customHeight="1" x14ac:dyDescent="0.2">
      <c r="A379" s="230" t="s">
        <v>1012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1013</v>
      </c>
      <c r="C380" s="254">
        <f>data!CB90</f>
        <v>0</v>
      </c>
      <c r="D380" s="254">
        <f>data!CC90</f>
        <v>11279</v>
      </c>
      <c r="E380" s="248"/>
      <c r="F380" s="248"/>
      <c r="G380" s="248"/>
      <c r="H380" s="248"/>
      <c r="I380" s="238">
        <f>data!CE90</f>
        <v>127457</v>
      </c>
    </row>
    <row r="381" spans="1:9" ht="20.100000000000001" customHeight="1" x14ac:dyDescent="0.2">
      <c r="A381" s="230">
        <v>23</v>
      </c>
      <c r="B381" s="238" t="s">
        <v>1014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136336</v>
      </c>
    </row>
    <row r="382" spans="1:9" ht="20.100000000000001" customHeight="1" x14ac:dyDescent="0.2">
      <c r="A382" s="230">
        <v>24</v>
      </c>
      <c r="B382" s="238" t="s">
        <v>1015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19476</v>
      </c>
    </row>
    <row r="383" spans="1:9" ht="20.100000000000001" customHeight="1" x14ac:dyDescent="0.2">
      <c r="A383" s="230">
        <v>25</v>
      </c>
      <c r="B383" s="238" t="s">
        <v>1016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476600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95.98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3" transitionEvaluation="1" transitionEntry="1" codeName="Sheet1">
    <tabColor rgb="FF92D050"/>
    <pageSetUpPr autoPageBreaks="0" fitToPage="1"/>
  </sheetPr>
  <dimension ref="A1:CF716"/>
  <sheetViews>
    <sheetView topLeftCell="A43" zoomScaleNormal="100" workbookViewId="0">
      <pane xSplit="6510" ySplit="3600" topLeftCell="Y82" activePane="bottomRight"/>
      <selection activeCell="A43" sqref="A43"/>
      <selection pane="topRight" activeCell="C43" sqref="C43"/>
      <selection pane="bottomLeft" activeCell="A59" sqref="A59"/>
      <selection pane="bottomRight" activeCell="AZ82" sqref="AZ8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11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1053</v>
      </c>
    </row>
    <row r="6" spans="1:5" x14ac:dyDescent="0.25">
      <c r="A6" s="11" t="s">
        <v>1054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1055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1056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2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8">
        <v>0</v>
      </c>
    </row>
    <row r="48" spans="1:84" x14ac:dyDescent="0.25">
      <c r="A48" s="25" t="s">
        <v>231</v>
      </c>
      <c r="B48" s="272">
        <v>12256028</v>
      </c>
      <c r="C48" s="25">
        <v>354810</v>
      </c>
      <c r="D48" s="25">
        <v>0</v>
      </c>
      <c r="E48" s="25">
        <v>839759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539261</v>
      </c>
      <c r="P48" s="25">
        <v>1256641</v>
      </c>
      <c r="Q48" s="25">
        <v>0</v>
      </c>
      <c r="R48" s="25">
        <v>0</v>
      </c>
      <c r="S48" s="25">
        <v>24644</v>
      </c>
      <c r="T48" s="25">
        <v>0</v>
      </c>
      <c r="U48" s="25">
        <v>323932</v>
      </c>
      <c r="V48" s="25">
        <v>0</v>
      </c>
      <c r="W48" s="25">
        <v>153314</v>
      </c>
      <c r="X48" s="25">
        <v>166992</v>
      </c>
      <c r="Y48" s="25">
        <v>306859</v>
      </c>
      <c r="Z48" s="25">
        <v>0</v>
      </c>
      <c r="AA48" s="25">
        <v>61812</v>
      </c>
      <c r="AB48" s="25">
        <v>196694</v>
      </c>
      <c r="AC48" s="25">
        <v>220845</v>
      </c>
      <c r="AD48" s="25">
        <v>0</v>
      </c>
      <c r="AE48" s="25">
        <v>889231</v>
      </c>
      <c r="AF48" s="25">
        <v>0</v>
      </c>
      <c r="AG48" s="25">
        <v>1517538</v>
      </c>
      <c r="AH48" s="25">
        <v>0</v>
      </c>
      <c r="AI48" s="25">
        <v>0</v>
      </c>
      <c r="AJ48" s="25">
        <v>19794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2618076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65059</v>
      </c>
      <c r="AZ48" s="25">
        <v>174566</v>
      </c>
      <c r="BA48" s="25">
        <v>10694</v>
      </c>
      <c r="BB48" s="25">
        <v>125620</v>
      </c>
      <c r="BC48" s="25">
        <v>0</v>
      </c>
      <c r="BD48" s="25">
        <v>101248</v>
      </c>
      <c r="BE48" s="25">
        <v>165911</v>
      </c>
      <c r="BF48" s="25">
        <v>155865</v>
      </c>
      <c r="BG48" s="25">
        <v>0</v>
      </c>
      <c r="BH48" s="25">
        <v>215670</v>
      </c>
      <c r="BI48" s="25">
        <v>56494</v>
      </c>
      <c r="BJ48" s="25">
        <v>109930</v>
      </c>
      <c r="BK48" s="25">
        <v>235698</v>
      </c>
      <c r="BL48" s="25">
        <v>215328</v>
      </c>
      <c r="BM48" s="25">
        <v>102109</v>
      </c>
      <c r="BN48" s="25">
        <v>117070</v>
      </c>
      <c r="BO48" s="25">
        <v>35648</v>
      </c>
      <c r="BP48" s="25">
        <v>79641</v>
      </c>
      <c r="BQ48" s="25">
        <v>0</v>
      </c>
      <c r="BR48" s="25">
        <v>151802</v>
      </c>
      <c r="BS48" s="25">
        <v>42599</v>
      </c>
      <c r="BT48" s="25">
        <v>0</v>
      </c>
      <c r="BU48" s="25">
        <v>0</v>
      </c>
      <c r="BV48" s="25">
        <v>67856</v>
      </c>
      <c r="BW48" s="25">
        <v>105553</v>
      </c>
      <c r="BX48" s="25">
        <v>51430</v>
      </c>
      <c r="BY48" s="25">
        <v>235805</v>
      </c>
      <c r="BZ48" s="25">
        <v>0</v>
      </c>
      <c r="CA48" s="25">
        <v>0</v>
      </c>
      <c r="CB48" s="25">
        <v>46349</v>
      </c>
      <c r="CC48" s="25">
        <v>97883</v>
      </c>
      <c r="CD48" s="25" t="s">
        <v>1057</v>
      </c>
      <c r="CE48" s="25" t="s">
        <v>1057</v>
      </c>
      <c r="CF48" s="328">
        <v>0</v>
      </c>
    </row>
    <row r="49" spans="1:84" x14ac:dyDescent="0.25">
      <c r="A49" s="16" t="s">
        <v>232</v>
      </c>
      <c r="B49" s="25">
        <v>12256028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8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8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8">
        <v>0</v>
      </c>
    </row>
    <row r="52" spans="1:84" x14ac:dyDescent="0.25">
      <c r="A52" s="31" t="s">
        <v>234</v>
      </c>
      <c r="B52" s="273">
        <v>4515957</v>
      </c>
      <c r="C52" s="25">
        <v>145055</v>
      </c>
      <c r="D52" s="25">
        <v>0</v>
      </c>
      <c r="E52" s="25">
        <v>243129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290359</v>
      </c>
      <c r="P52" s="25">
        <v>560734</v>
      </c>
      <c r="Q52" s="25">
        <v>0</v>
      </c>
      <c r="R52" s="25">
        <v>0</v>
      </c>
      <c r="S52" s="25">
        <v>48328</v>
      </c>
      <c r="T52" s="25">
        <v>0</v>
      </c>
      <c r="U52" s="25">
        <v>72740</v>
      </c>
      <c r="V52" s="25">
        <v>13818</v>
      </c>
      <c r="W52" s="25">
        <v>22463</v>
      </c>
      <c r="X52" s="25">
        <v>18495</v>
      </c>
      <c r="Y52" s="25">
        <v>174818</v>
      </c>
      <c r="Z52" s="25">
        <v>0</v>
      </c>
      <c r="AA52" s="25">
        <v>12188</v>
      </c>
      <c r="AB52" s="25">
        <v>34723</v>
      </c>
      <c r="AC52" s="25">
        <v>46096</v>
      </c>
      <c r="AD52" s="25">
        <v>0</v>
      </c>
      <c r="AE52" s="25">
        <v>496321</v>
      </c>
      <c r="AF52" s="25">
        <v>0</v>
      </c>
      <c r="AG52" s="25">
        <v>211914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662599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16865</v>
      </c>
      <c r="AW52" s="25">
        <v>0</v>
      </c>
      <c r="AX52" s="25">
        <v>0</v>
      </c>
      <c r="AY52" s="25">
        <v>7476</v>
      </c>
      <c r="AZ52" s="25">
        <v>153949</v>
      </c>
      <c r="BA52" s="25">
        <v>45706</v>
      </c>
      <c r="BB52" s="25">
        <v>9637</v>
      </c>
      <c r="BC52" s="25">
        <v>0</v>
      </c>
      <c r="BD52" s="25">
        <v>101085</v>
      </c>
      <c r="BE52" s="25">
        <v>386129</v>
      </c>
      <c r="BF52" s="25">
        <v>157527</v>
      </c>
      <c r="BG52" s="25">
        <v>0</v>
      </c>
      <c r="BH52" s="25">
        <v>46415</v>
      </c>
      <c r="BI52" s="25">
        <v>0</v>
      </c>
      <c r="BJ52" s="25">
        <v>0</v>
      </c>
      <c r="BK52" s="25">
        <v>0</v>
      </c>
      <c r="BL52" s="25">
        <v>36565</v>
      </c>
      <c r="BM52" s="25">
        <v>0</v>
      </c>
      <c r="BN52" s="25">
        <v>65158</v>
      </c>
      <c r="BO52" s="25">
        <v>0</v>
      </c>
      <c r="BP52" s="25">
        <v>0</v>
      </c>
      <c r="BQ52" s="25">
        <v>0</v>
      </c>
      <c r="BR52" s="25">
        <v>0</v>
      </c>
      <c r="BS52" s="25">
        <v>17609</v>
      </c>
      <c r="BT52" s="25">
        <v>0</v>
      </c>
      <c r="BU52" s="25">
        <v>0</v>
      </c>
      <c r="BV52" s="25">
        <v>0</v>
      </c>
      <c r="BW52" s="25">
        <v>8326</v>
      </c>
      <c r="BX52" s="25">
        <v>5315</v>
      </c>
      <c r="BY52" s="25">
        <v>4783</v>
      </c>
      <c r="BZ52" s="25">
        <v>0</v>
      </c>
      <c r="CA52" s="25">
        <v>0</v>
      </c>
      <c r="CB52" s="25">
        <v>0</v>
      </c>
      <c r="CC52" s="25">
        <v>399629</v>
      </c>
      <c r="CD52" s="25" t="s">
        <v>1057</v>
      </c>
      <c r="CE52" s="25" t="s">
        <v>1057</v>
      </c>
      <c r="CF52" s="328">
        <v>0</v>
      </c>
    </row>
    <row r="53" spans="1:84" x14ac:dyDescent="0.25">
      <c r="A53" s="16" t="s">
        <v>232</v>
      </c>
      <c r="B53" s="25">
        <v>4515957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8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8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8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8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8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8">
        <v>0</v>
      </c>
    </row>
    <row r="59" spans="1:84" x14ac:dyDescent="0.25">
      <c r="A59" s="31" t="s">
        <v>260</v>
      </c>
      <c r="B59" s="25"/>
      <c r="C59" s="273">
        <v>670</v>
      </c>
      <c r="D59" s="273">
        <v>0</v>
      </c>
      <c r="E59" s="273">
        <v>2522</v>
      </c>
      <c r="F59" s="273">
        <v>0</v>
      </c>
      <c r="G59" s="273">
        <v>0</v>
      </c>
      <c r="H59" s="273">
        <v>0</v>
      </c>
      <c r="I59" s="273">
        <v>0</v>
      </c>
      <c r="J59" s="273">
        <v>719</v>
      </c>
      <c r="K59" s="273">
        <v>0</v>
      </c>
      <c r="L59" s="273">
        <v>0</v>
      </c>
      <c r="M59" s="273">
        <v>0</v>
      </c>
      <c r="N59" s="273">
        <v>0</v>
      </c>
      <c r="O59" s="273">
        <v>382</v>
      </c>
      <c r="P59" s="329">
        <v>302518</v>
      </c>
      <c r="Q59" s="329">
        <v>120901</v>
      </c>
      <c r="R59" s="329">
        <v>317288</v>
      </c>
      <c r="S59" s="330">
        <v>0</v>
      </c>
      <c r="T59" s="330">
        <v>0</v>
      </c>
      <c r="U59" s="331">
        <v>148145</v>
      </c>
      <c r="V59" s="329">
        <v>4416</v>
      </c>
      <c r="W59" s="329">
        <v>3643</v>
      </c>
      <c r="X59" s="329">
        <v>6126</v>
      </c>
      <c r="Y59" s="329">
        <v>25651</v>
      </c>
      <c r="Z59" s="329">
        <v>0</v>
      </c>
      <c r="AA59" s="329">
        <v>992</v>
      </c>
      <c r="AB59" s="330">
        <v>0</v>
      </c>
      <c r="AC59" s="329">
        <v>5889</v>
      </c>
      <c r="AD59" s="329">
        <v>0</v>
      </c>
      <c r="AE59" s="329">
        <v>36620</v>
      </c>
      <c r="AF59" s="329">
        <v>0</v>
      </c>
      <c r="AG59" s="329">
        <v>14005</v>
      </c>
      <c r="AH59" s="329">
        <v>0</v>
      </c>
      <c r="AI59" s="329">
        <v>0</v>
      </c>
      <c r="AJ59" s="329">
        <v>424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54033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16387</v>
      </c>
      <c r="AZ59" s="329">
        <v>85431</v>
      </c>
      <c r="BA59" s="330">
        <v>0</v>
      </c>
      <c r="BB59" s="330">
        <v>0</v>
      </c>
      <c r="BC59" s="330">
        <v>0</v>
      </c>
      <c r="BD59" s="330">
        <v>0</v>
      </c>
      <c r="BE59" s="329">
        <v>127457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  <c r="CF59" s="328">
        <v>0</v>
      </c>
    </row>
    <row r="60" spans="1:84" s="201" customFormat="1" ht="15.75" customHeight="1" x14ac:dyDescent="0.25">
      <c r="A60" s="207" t="s">
        <v>261</v>
      </c>
      <c r="B60" s="208"/>
      <c r="C60" s="277">
        <v>14.67</v>
      </c>
      <c r="D60" s="277">
        <v>0</v>
      </c>
      <c r="E60" s="277">
        <v>26.11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21.31</v>
      </c>
      <c r="P60" s="332">
        <v>54.230000000000004</v>
      </c>
      <c r="Q60" s="332">
        <v>0</v>
      </c>
      <c r="R60" s="332">
        <v>0</v>
      </c>
      <c r="S60" s="278">
        <v>1</v>
      </c>
      <c r="T60" s="278">
        <v>0</v>
      </c>
      <c r="U60" s="333">
        <v>18.649999999999999</v>
      </c>
      <c r="V60" s="332">
        <v>0</v>
      </c>
      <c r="W60" s="332">
        <v>6.2</v>
      </c>
      <c r="X60" s="332">
        <v>7.91</v>
      </c>
      <c r="Y60" s="332">
        <v>14.84</v>
      </c>
      <c r="Z60" s="332">
        <v>0</v>
      </c>
      <c r="AA60" s="332">
        <v>2.06</v>
      </c>
      <c r="AB60" s="278">
        <v>5.93</v>
      </c>
      <c r="AC60" s="332">
        <v>9.9500000000000011</v>
      </c>
      <c r="AD60" s="332">
        <v>0</v>
      </c>
      <c r="AE60" s="332">
        <v>43.300000000000004</v>
      </c>
      <c r="AF60" s="332">
        <v>0</v>
      </c>
      <c r="AG60" s="332">
        <v>36.270000000000003</v>
      </c>
      <c r="AH60" s="332">
        <v>0</v>
      </c>
      <c r="AI60" s="332">
        <v>0</v>
      </c>
      <c r="AJ60" s="332">
        <v>0.81</v>
      </c>
      <c r="AK60" s="332">
        <v>0</v>
      </c>
      <c r="AL60" s="332">
        <v>0</v>
      </c>
      <c r="AM60" s="332">
        <v>0</v>
      </c>
      <c r="AN60" s="332">
        <v>0</v>
      </c>
      <c r="AO60" s="332">
        <v>0</v>
      </c>
      <c r="AP60" s="332">
        <v>83.81</v>
      </c>
      <c r="AQ60" s="332">
        <v>0</v>
      </c>
      <c r="AR60" s="332">
        <v>0</v>
      </c>
      <c r="AS60" s="332">
        <v>0</v>
      </c>
      <c r="AT60" s="332">
        <v>0</v>
      </c>
      <c r="AU60" s="332">
        <v>0</v>
      </c>
      <c r="AV60" s="278">
        <v>0</v>
      </c>
      <c r="AW60" s="278">
        <v>0</v>
      </c>
      <c r="AX60" s="278">
        <v>0</v>
      </c>
      <c r="AY60" s="332">
        <v>3.3</v>
      </c>
      <c r="AZ60" s="332">
        <v>15.17</v>
      </c>
      <c r="BA60" s="278">
        <v>1</v>
      </c>
      <c r="BB60" s="278">
        <v>5.38</v>
      </c>
      <c r="BC60" s="278">
        <v>0</v>
      </c>
      <c r="BD60" s="278">
        <v>5.77</v>
      </c>
      <c r="BE60" s="332">
        <v>8.7200000000000006</v>
      </c>
      <c r="BF60" s="278">
        <v>13.54</v>
      </c>
      <c r="BG60" s="278">
        <v>0</v>
      </c>
      <c r="BH60" s="278">
        <v>8.39</v>
      </c>
      <c r="BI60" s="278">
        <v>2.0099999999999998</v>
      </c>
      <c r="BJ60" s="278">
        <v>5.56</v>
      </c>
      <c r="BK60" s="278">
        <v>15.77</v>
      </c>
      <c r="BL60" s="278">
        <v>18.100000000000001</v>
      </c>
      <c r="BM60" s="278">
        <v>2.82</v>
      </c>
      <c r="BN60" s="278">
        <v>3.18</v>
      </c>
      <c r="BO60" s="278">
        <v>1.51</v>
      </c>
      <c r="BP60" s="278">
        <v>3.98</v>
      </c>
      <c r="BQ60" s="278">
        <v>0</v>
      </c>
      <c r="BR60" s="278">
        <v>5.88</v>
      </c>
      <c r="BS60" s="278">
        <v>2.61</v>
      </c>
      <c r="BT60" s="278">
        <v>0</v>
      </c>
      <c r="BU60" s="278">
        <v>0</v>
      </c>
      <c r="BV60" s="278">
        <v>3.72</v>
      </c>
      <c r="BW60" s="278">
        <v>2.2599999999999998</v>
      </c>
      <c r="BX60" s="278">
        <v>0</v>
      </c>
      <c r="BY60" s="278">
        <v>5.95</v>
      </c>
      <c r="BZ60" s="278">
        <v>0</v>
      </c>
      <c r="CA60" s="278">
        <v>0</v>
      </c>
      <c r="CB60" s="278">
        <v>2</v>
      </c>
      <c r="CC60" s="278">
        <v>5.67</v>
      </c>
      <c r="CD60" s="209" t="s">
        <v>247</v>
      </c>
      <c r="CE60" s="227">
        <v>489.34000000000009</v>
      </c>
      <c r="CF60" s="334">
        <v>0</v>
      </c>
    </row>
    <row r="61" spans="1:84" x14ac:dyDescent="0.25">
      <c r="A61" s="31" t="s">
        <v>262</v>
      </c>
      <c r="B61" s="16"/>
      <c r="C61" s="273">
        <v>1483351</v>
      </c>
      <c r="D61" s="273">
        <v>0</v>
      </c>
      <c r="E61" s="273">
        <v>3510777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2254487</v>
      </c>
      <c r="P61" s="329">
        <v>5253631</v>
      </c>
      <c r="Q61" s="329">
        <v>0</v>
      </c>
      <c r="R61" s="329">
        <v>0</v>
      </c>
      <c r="S61" s="280">
        <v>103028</v>
      </c>
      <c r="T61" s="280">
        <v>0</v>
      </c>
      <c r="U61" s="331">
        <v>1354262</v>
      </c>
      <c r="V61" s="329">
        <v>0</v>
      </c>
      <c r="W61" s="329">
        <v>640960</v>
      </c>
      <c r="X61" s="329">
        <v>698142</v>
      </c>
      <c r="Y61" s="329">
        <v>1282885</v>
      </c>
      <c r="Z61" s="329">
        <v>0</v>
      </c>
      <c r="AA61" s="329">
        <v>258416</v>
      </c>
      <c r="AB61" s="329">
        <v>822317</v>
      </c>
      <c r="AC61" s="329">
        <v>923286</v>
      </c>
      <c r="AD61" s="329">
        <v>0</v>
      </c>
      <c r="AE61" s="329">
        <v>3717602</v>
      </c>
      <c r="AF61" s="329">
        <v>0</v>
      </c>
      <c r="AG61" s="329">
        <v>6344361</v>
      </c>
      <c r="AH61" s="329">
        <v>0</v>
      </c>
      <c r="AI61" s="329">
        <v>0</v>
      </c>
      <c r="AJ61" s="329">
        <v>82752</v>
      </c>
      <c r="AK61" s="329">
        <v>0</v>
      </c>
      <c r="AL61" s="329">
        <v>0</v>
      </c>
      <c r="AM61" s="329">
        <v>0</v>
      </c>
      <c r="AN61" s="329">
        <v>0</v>
      </c>
      <c r="AO61" s="329">
        <v>0</v>
      </c>
      <c r="AP61" s="329">
        <v>10945375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0</v>
      </c>
      <c r="AW61" s="280">
        <v>0</v>
      </c>
      <c r="AX61" s="280">
        <v>0</v>
      </c>
      <c r="AY61" s="329">
        <v>271990</v>
      </c>
      <c r="AZ61" s="329">
        <v>729809</v>
      </c>
      <c r="BA61" s="280">
        <v>44708</v>
      </c>
      <c r="BB61" s="280">
        <v>525177</v>
      </c>
      <c r="BC61" s="280">
        <v>0</v>
      </c>
      <c r="BD61" s="280">
        <v>423285</v>
      </c>
      <c r="BE61" s="329">
        <v>693623</v>
      </c>
      <c r="BF61" s="280">
        <v>651622</v>
      </c>
      <c r="BG61" s="280">
        <v>0</v>
      </c>
      <c r="BH61" s="280">
        <v>901651</v>
      </c>
      <c r="BI61" s="280">
        <v>236184</v>
      </c>
      <c r="BJ61" s="280">
        <v>459582</v>
      </c>
      <c r="BK61" s="280">
        <v>985380</v>
      </c>
      <c r="BL61" s="280">
        <v>900222</v>
      </c>
      <c r="BM61" s="280">
        <v>426885</v>
      </c>
      <c r="BN61" s="280">
        <v>489435.88</v>
      </c>
      <c r="BO61" s="280">
        <v>149034</v>
      </c>
      <c r="BP61" s="280">
        <v>332956</v>
      </c>
      <c r="BQ61" s="280">
        <v>0</v>
      </c>
      <c r="BR61" s="280">
        <v>634638</v>
      </c>
      <c r="BS61" s="280">
        <v>178094</v>
      </c>
      <c r="BT61" s="280">
        <v>0</v>
      </c>
      <c r="BU61" s="280">
        <v>0</v>
      </c>
      <c r="BV61" s="280">
        <v>283685</v>
      </c>
      <c r="BW61" s="280">
        <v>441283</v>
      </c>
      <c r="BX61" s="280">
        <v>215012</v>
      </c>
      <c r="BY61" s="280">
        <v>985830</v>
      </c>
      <c r="BZ61" s="280">
        <v>0</v>
      </c>
      <c r="CA61" s="280">
        <v>0</v>
      </c>
      <c r="CB61" s="280">
        <v>193773</v>
      </c>
      <c r="CC61" s="280">
        <v>409218</v>
      </c>
      <c r="CD61" s="24" t="s">
        <v>247</v>
      </c>
      <c r="CE61" s="25">
        <v>51238708.880000003</v>
      </c>
      <c r="CF61" s="328">
        <v>0</v>
      </c>
    </row>
    <row r="62" spans="1:84" x14ac:dyDescent="0.25">
      <c r="A62" s="31" t="s">
        <v>10</v>
      </c>
      <c r="B62" s="16"/>
      <c r="C62" s="25">
        <v>354810</v>
      </c>
      <c r="D62" s="25">
        <v>0</v>
      </c>
      <c r="E62" s="25">
        <v>839759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539261</v>
      </c>
      <c r="P62" s="25">
        <v>1256641</v>
      </c>
      <c r="Q62" s="25">
        <v>0</v>
      </c>
      <c r="R62" s="25">
        <v>0</v>
      </c>
      <c r="S62" s="25">
        <v>24644</v>
      </c>
      <c r="T62" s="25">
        <v>0</v>
      </c>
      <c r="U62" s="25">
        <v>323932</v>
      </c>
      <c r="V62" s="25">
        <v>0</v>
      </c>
      <c r="W62" s="25">
        <v>153314</v>
      </c>
      <c r="X62" s="25">
        <v>166992</v>
      </c>
      <c r="Y62" s="25">
        <v>306859</v>
      </c>
      <c r="Z62" s="25">
        <v>0</v>
      </c>
      <c r="AA62" s="25">
        <v>61812</v>
      </c>
      <c r="AB62" s="25">
        <v>196694</v>
      </c>
      <c r="AC62" s="25">
        <v>220845</v>
      </c>
      <c r="AD62" s="25">
        <v>0</v>
      </c>
      <c r="AE62" s="25">
        <v>889231</v>
      </c>
      <c r="AF62" s="25">
        <v>0</v>
      </c>
      <c r="AG62" s="25">
        <v>1517538</v>
      </c>
      <c r="AH62" s="25">
        <v>0</v>
      </c>
      <c r="AI62" s="25">
        <v>0</v>
      </c>
      <c r="AJ62" s="25">
        <v>19794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2618076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65059</v>
      </c>
      <c r="AZ62" s="25">
        <v>0</v>
      </c>
      <c r="BA62" s="25">
        <v>10694</v>
      </c>
      <c r="BB62" s="25">
        <v>125620</v>
      </c>
      <c r="BC62" s="25">
        <v>0</v>
      </c>
      <c r="BD62" s="25">
        <v>101248</v>
      </c>
      <c r="BE62" s="25">
        <v>165911</v>
      </c>
      <c r="BF62" s="25">
        <v>155865</v>
      </c>
      <c r="BG62" s="25">
        <v>0</v>
      </c>
      <c r="BH62" s="25">
        <v>215670</v>
      </c>
      <c r="BI62" s="25">
        <v>56494</v>
      </c>
      <c r="BJ62" s="25">
        <v>109930</v>
      </c>
      <c r="BK62" s="25">
        <v>235698</v>
      </c>
      <c r="BL62" s="25">
        <v>215328</v>
      </c>
      <c r="BM62" s="25">
        <v>102109</v>
      </c>
      <c r="BN62" s="25">
        <v>117070</v>
      </c>
      <c r="BO62" s="25">
        <v>35648</v>
      </c>
      <c r="BP62" s="25">
        <v>79641</v>
      </c>
      <c r="BQ62" s="25">
        <v>0</v>
      </c>
      <c r="BR62" s="25">
        <v>151802</v>
      </c>
      <c r="BS62" s="25">
        <v>42599</v>
      </c>
      <c r="BT62" s="25">
        <v>0</v>
      </c>
      <c r="BU62" s="25">
        <v>0</v>
      </c>
      <c r="BV62" s="25">
        <v>67856</v>
      </c>
      <c r="BW62" s="25">
        <v>105553</v>
      </c>
      <c r="BX62" s="25">
        <v>51430</v>
      </c>
      <c r="BY62" s="25">
        <v>235805</v>
      </c>
      <c r="BZ62" s="25">
        <v>0</v>
      </c>
      <c r="CA62" s="25">
        <v>0</v>
      </c>
      <c r="CB62" s="25">
        <v>46349</v>
      </c>
      <c r="CC62" s="25">
        <v>97883</v>
      </c>
      <c r="CD62" s="24" t="s">
        <v>247</v>
      </c>
      <c r="CE62" s="25">
        <v>12081464</v>
      </c>
      <c r="CF62" s="328">
        <v>0</v>
      </c>
    </row>
    <row r="63" spans="1:84" x14ac:dyDescent="0.25">
      <c r="A63" s="31" t="s">
        <v>263</v>
      </c>
      <c r="B63" s="16"/>
      <c r="C63" s="273">
        <v>97351</v>
      </c>
      <c r="D63" s="273">
        <v>0</v>
      </c>
      <c r="E63" s="273">
        <v>314265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117279</v>
      </c>
      <c r="P63" s="329">
        <v>786423</v>
      </c>
      <c r="Q63" s="329">
        <v>0</v>
      </c>
      <c r="R63" s="329">
        <v>3668718</v>
      </c>
      <c r="S63" s="280">
        <v>4100</v>
      </c>
      <c r="T63" s="280">
        <v>0</v>
      </c>
      <c r="U63" s="331">
        <v>770003</v>
      </c>
      <c r="V63" s="329">
        <v>0</v>
      </c>
      <c r="W63" s="329">
        <v>3360</v>
      </c>
      <c r="X63" s="329">
        <v>6690</v>
      </c>
      <c r="Y63" s="329">
        <v>673642</v>
      </c>
      <c r="Z63" s="329">
        <v>0</v>
      </c>
      <c r="AA63" s="329">
        <v>51535</v>
      </c>
      <c r="AB63" s="281">
        <v>93088</v>
      </c>
      <c r="AC63" s="329">
        <v>329720</v>
      </c>
      <c r="AD63" s="329">
        <v>0</v>
      </c>
      <c r="AE63" s="329">
        <v>17774</v>
      </c>
      <c r="AF63" s="329">
        <v>0</v>
      </c>
      <c r="AG63" s="329">
        <v>81599</v>
      </c>
      <c r="AH63" s="329">
        <v>0</v>
      </c>
      <c r="AI63" s="329">
        <v>0</v>
      </c>
      <c r="AJ63" s="329">
        <v>0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2298314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73896</v>
      </c>
      <c r="AZ63" s="329">
        <v>4508</v>
      </c>
      <c r="BA63" s="280">
        <v>0</v>
      </c>
      <c r="BB63" s="280">
        <v>36956</v>
      </c>
      <c r="BC63" s="280">
        <v>0</v>
      </c>
      <c r="BD63" s="280">
        <v>16</v>
      </c>
      <c r="BE63" s="329">
        <v>40581</v>
      </c>
      <c r="BF63" s="280">
        <v>0</v>
      </c>
      <c r="BG63" s="280">
        <v>0</v>
      </c>
      <c r="BH63" s="280">
        <v>24561</v>
      </c>
      <c r="BI63" s="280">
        <v>132605</v>
      </c>
      <c r="BJ63" s="280">
        <v>86157</v>
      </c>
      <c r="BK63" s="280">
        <v>2161924</v>
      </c>
      <c r="BL63" s="280">
        <v>0</v>
      </c>
      <c r="BM63" s="280">
        <v>134874</v>
      </c>
      <c r="BN63" s="280">
        <v>188714.54</v>
      </c>
      <c r="BO63" s="280">
        <v>0</v>
      </c>
      <c r="BP63" s="280">
        <v>596358</v>
      </c>
      <c r="BQ63" s="280">
        <v>0</v>
      </c>
      <c r="BR63" s="280">
        <v>147956</v>
      </c>
      <c r="BS63" s="280">
        <v>0</v>
      </c>
      <c r="BT63" s="280">
        <v>0</v>
      </c>
      <c r="BU63" s="280">
        <v>0</v>
      </c>
      <c r="BV63" s="280">
        <v>34451</v>
      </c>
      <c r="BW63" s="280">
        <v>848943</v>
      </c>
      <c r="BX63" s="280">
        <v>55714</v>
      </c>
      <c r="BY63" s="280">
        <v>0</v>
      </c>
      <c r="BZ63" s="280">
        <v>0</v>
      </c>
      <c r="CA63" s="280">
        <v>0</v>
      </c>
      <c r="CB63" s="280">
        <v>4123</v>
      </c>
      <c r="CC63" s="280">
        <v>82203</v>
      </c>
      <c r="CD63" s="24" t="s">
        <v>247</v>
      </c>
      <c r="CE63" s="25">
        <v>13968401.539999999</v>
      </c>
      <c r="CF63" s="328">
        <v>0</v>
      </c>
    </row>
    <row r="64" spans="1:84" x14ac:dyDescent="0.25">
      <c r="A64" s="31" t="s">
        <v>264</v>
      </c>
      <c r="B64" s="16"/>
      <c r="C64" s="273">
        <v>56767</v>
      </c>
      <c r="D64" s="273">
        <v>0</v>
      </c>
      <c r="E64" s="273">
        <v>132668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130679</v>
      </c>
      <c r="P64" s="329">
        <v>2897960</v>
      </c>
      <c r="Q64" s="329">
        <v>17067</v>
      </c>
      <c r="R64" s="329">
        <v>129754</v>
      </c>
      <c r="S64" s="280">
        <v>5228239</v>
      </c>
      <c r="T64" s="280">
        <v>0</v>
      </c>
      <c r="U64" s="331">
        <v>1251441</v>
      </c>
      <c r="V64" s="329">
        <v>0</v>
      </c>
      <c r="W64" s="329">
        <v>10307</v>
      </c>
      <c r="X64" s="329">
        <v>24295</v>
      </c>
      <c r="Y64" s="329">
        <v>105455</v>
      </c>
      <c r="Z64" s="329">
        <v>0</v>
      </c>
      <c r="AA64" s="329">
        <v>174553</v>
      </c>
      <c r="AB64" s="329">
        <v>4763755</v>
      </c>
      <c r="AC64" s="329">
        <v>45102</v>
      </c>
      <c r="AD64" s="329">
        <v>0</v>
      </c>
      <c r="AE64" s="329">
        <v>80919</v>
      </c>
      <c r="AF64" s="329">
        <v>0</v>
      </c>
      <c r="AG64" s="329">
        <v>232549</v>
      </c>
      <c r="AH64" s="329">
        <v>0</v>
      </c>
      <c r="AI64" s="329">
        <v>0</v>
      </c>
      <c r="AJ64" s="329">
        <v>0</v>
      </c>
      <c r="AK64" s="329">
        <v>0</v>
      </c>
      <c r="AL64" s="329">
        <v>0</v>
      </c>
      <c r="AM64" s="329">
        <v>0</v>
      </c>
      <c r="AN64" s="329">
        <v>0</v>
      </c>
      <c r="AO64" s="329">
        <v>0</v>
      </c>
      <c r="AP64" s="329">
        <v>809291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0</v>
      </c>
      <c r="AW64" s="280">
        <v>0</v>
      </c>
      <c r="AX64" s="280">
        <v>0</v>
      </c>
      <c r="AY64" s="329">
        <v>4519</v>
      </c>
      <c r="AZ64" s="329">
        <v>621103</v>
      </c>
      <c r="BA64" s="280">
        <v>0</v>
      </c>
      <c r="BB64" s="280">
        <v>4816</v>
      </c>
      <c r="BC64" s="280">
        <v>0</v>
      </c>
      <c r="BD64" s="280">
        <v>31378</v>
      </c>
      <c r="BE64" s="329">
        <v>55453</v>
      </c>
      <c r="BF64" s="280">
        <v>74093</v>
      </c>
      <c r="BG64" s="280">
        <v>0</v>
      </c>
      <c r="BH64" s="280">
        <v>52404</v>
      </c>
      <c r="BI64" s="280">
        <v>54236</v>
      </c>
      <c r="BJ64" s="280">
        <v>4679</v>
      </c>
      <c r="BK64" s="280">
        <v>20529</v>
      </c>
      <c r="BL64" s="280">
        <v>9100</v>
      </c>
      <c r="BM64" s="280">
        <v>12614</v>
      </c>
      <c r="BN64" s="280">
        <v>24000</v>
      </c>
      <c r="BO64" s="280">
        <v>7927</v>
      </c>
      <c r="BP64" s="280">
        <v>20988</v>
      </c>
      <c r="BQ64" s="280">
        <v>0</v>
      </c>
      <c r="BR64" s="280">
        <v>10725</v>
      </c>
      <c r="BS64" s="280">
        <v>2729</v>
      </c>
      <c r="BT64" s="280">
        <v>0</v>
      </c>
      <c r="BU64" s="280">
        <v>0</v>
      </c>
      <c r="BV64" s="280">
        <v>3938</v>
      </c>
      <c r="BW64" s="280">
        <v>13862</v>
      </c>
      <c r="BX64" s="280">
        <v>1347</v>
      </c>
      <c r="BY64" s="280">
        <v>4568</v>
      </c>
      <c r="BZ64" s="280">
        <v>0</v>
      </c>
      <c r="CA64" s="280">
        <v>0</v>
      </c>
      <c r="CB64" s="280">
        <v>6948</v>
      </c>
      <c r="CC64" s="280">
        <v>2762</v>
      </c>
      <c r="CD64" s="24" t="s">
        <v>247</v>
      </c>
      <c r="CE64" s="25">
        <v>17135519</v>
      </c>
      <c r="CF64" s="328">
        <v>0</v>
      </c>
    </row>
    <row r="65" spans="1:84" x14ac:dyDescent="0.25">
      <c r="A65" s="31" t="s">
        <v>265</v>
      </c>
      <c r="B65" s="16"/>
      <c r="C65" s="273">
        <v>526</v>
      </c>
      <c r="D65" s="273">
        <v>0</v>
      </c>
      <c r="E65" s="273">
        <v>1902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286</v>
      </c>
      <c r="P65" s="329">
        <v>1577</v>
      </c>
      <c r="Q65" s="329">
        <v>0</v>
      </c>
      <c r="R65" s="329">
        <v>0</v>
      </c>
      <c r="S65" s="280">
        <v>0</v>
      </c>
      <c r="T65" s="280">
        <v>0</v>
      </c>
      <c r="U65" s="331">
        <v>1051</v>
      </c>
      <c r="V65" s="329">
        <v>0</v>
      </c>
      <c r="W65" s="329">
        <v>0</v>
      </c>
      <c r="X65" s="329">
        <v>526</v>
      </c>
      <c r="Y65" s="329">
        <v>-43</v>
      </c>
      <c r="Z65" s="329">
        <v>0</v>
      </c>
      <c r="AA65" s="329">
        <v>0</v>
      </c>
      <c r="AB65" s="281">
        <v>0</v>
      </c>
      <c r="AC65" s="329">
        <v>526</v>
      </c>
      <c r="AD65" s="329">
        <v>0</v>
      </c>
      <c r="AE65" s="329">
        <v>41744</v>
      </c>
      <c r="AF65" s="329">
        <v>0</v>
      </c>
      <c r="AG65" s="329">
        <v>1859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95613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4188</v>
      </c>
      <c r="BC65" s="280">
        <v>0</v>
      </c>
      <c r="BD65" s="280">
        <v>1381</v>
      </c>
      <c r="BE65" s="329">
        <v>579556</v>
      </c>
      <c r="BF65" s="280">
        <v>142781</v>
      </c>
      <c r="BG65" s="280">
        <v>0</v>
      </c>
      <c r="BH65" s="280">
        <v>195054</v>
      </c>
      <c r="BI65" s="280">
        <v>4484</v>
      </c>
      <c r="BJ65" s="280">
        <v>526</v>
      </c>
      <c r="BK65" s="280">
        <v>5347</v>
      </c>
      <c r="BL65" s="280">
        <v>566</v>
      </c>
      <c r="BM65" s="280">
        <v>1551</v>
      </c>
      <c r="BN65" s="280">
        <v>11158.72</v>
      </c>
      <c r="BO65" s="280">
        <v>3033</v>
      </c>
      <c r="BP65" s="280">
        <v>0</v>
      </c>
      <c r="BQ65" s="280">
        <v>0</v>
      </c>
      <c r="BR65" s="280">
        <v>891</v>
      </c>
      <c r="BS65" s="280">
        <v>0</v>
      </c>
      <c r="BT65" s="280">
        <v>0</v>
      </c>
      <c r="BU65" s="280">
        <v>0</v>
      </c>
      <c r="BV65" s="280">
        <v>2833</v>
      </c>
      <c r="BW65" s="280">
        <v>800</v>
      </c>
      <c r="BX65" s="280">
        <v>846</v>
      </c>
      <c r="BY65" s="280">
        <v>1038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1101600.72</v>
      </c>
      <c r="CF65" s="328">
        <v>0</v>
      </c>
    </row>
    <row r="66" spans="1:84" x14ac:dyDescent="0.25">
      <c r="A66" s="31" t="s">
        <v>266</v>
      </c>
      <c r="B66" s="16"/>
      <c r="C66" s="273">
        <v>21012</v>
      </c>
      <c r="D66" s="273">
        <v>0</v>
      </c>
      <c r="E66" s="273">
        <v>13718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49772</v>
      </c>
      <c r="P66" s="329">
        <v>450090</v>
      </c>
      <c r="Q66" s="329">
        <v>0</v>
      </c>
      <c r="R66" s="329">
        <v>140</v>
      </c>
      <c r="S66" s="280">
        <v>800</v>
      </c>
      <c r="T66" s="280">
        <v>0</v>
      </c>
      <c r="U66" s="331">
        <v>194686</v>
      </c>
      <c r="V66" s="329">
        <v>13043</v>
      </c>
      <c r="W66" s="329">
        <v>180064</v>
      </c>
      <c r="X66" s="329">
        <v>176506</v>
      </c>
      <c r="Y66" s="329">
        <v>316806</v>
      </c>
      <c r="Z66" s="329">
        <v>0</v>
      </c>
      <c r="AA66" s="329">
        <v>468381</v>
      </c>
      <c r="AB66" s="281">
        <v>55462</v>
      </c>
      <c r="AC66" s="329">
        <v>20563</v>
      </c>
      <c r="AD66" s="329">
        <v>0</v>
      </c>
      <c r="AE66" s="329">
        <v>81240</v>
      </c>
      <c r="AF66" s="329">
        <v>0</v>
      </c>
      <c r="AG66" s="329">
        <v>95772</v>
      </c>
      <c r="AH66" s="329">
        <v>0</v>
      </c>
      <c r="AI66" s="329">
        <v>0</v>
      </c>
      <c r="AJ66" s="329">
        <v>1690</v>
      </c>
      <c r="AK66" s="329">
        <v>0</v>
      </c>
      <c r="AL66" s="329">
        <v>0</v>
      </c>
      <c r="AM66" s="329">
        <v>0</v>
      </c>
      <c r="AN66" s="329">
        <v>0</v>
      </c>
      <c r="AO66" s="329">
        <v>0</v>
      </c>
      <c r="AP66" s="329">
        <v>224509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0</v>
      </c>
      <c r="AW66" s="280">
        <v>0</v>
      </c>
      <c r="AX66" s="280">
        <v>0</v>
      </c>
      <c r="AY66" s="329">
        <v>3340</v>
      </c>
      <c r="AZ66" s="329">
        <v>35205</v>
      </c>
      <c r="BA66" s="280">
        <v>259873</v>
      </c>
      <c r="BB66" s="280">
        <v>18176</v>
      </c>
      <c r="BC66" s="280">
        <v>0</v>
      </c>
      <c r="BD66" s="280">
        <v>23714</v>
      </c>
      <c r="BE66" s="329">
        <v>373731</v>
      </c>
      <c r="BF66" s="280">
        <v>3946</v>
      </c>
      <c r="BG66" s="280">
        <v>0</v>
      </c>
      <c r="BH66" s="280">
        <v>2366787</v>
      </c>
      <c r="BI66" s="280">
        <v>127525</v>
      </c>
      <c r="BJ66" s="280">
        <v>17865</v>
      </c>
      <c r="BK66" s="280">
        <v>669542</v>
      </c>
      <c r="BL66" s="280">
        <v>0</v>
      </c>
      <c r="BM66" s="280">
        <v>247670</v>
      </c>
      <c r="BN66" s="280">
        <v>72127</v>
      </c>
      <c r="BO66" s="280">
        <v>15802</v>
      </c>
      <c r="BP66" s="280">
        <v>118834</v>
      </c>
      <c r="BQ66" s="280">
        <v>0</v>
      </c>
      <c r="BR66" s="280">
        <v>64737</v>
      </c>
      <c r="BS66" s="280">
        <v>3848</v>
      </c>
      <c r="BT66" s="280">
        <v>0</v>
      </c>
      <c r="BU66" s="280">
        <v>0</v>
      </c>
      <c r="BV66" s="280">
        <v>112779</v>
      </c>
      <c r="BW66" s="280">
        <v>77243</v>
      </c>
      <c r="BX66" s="280">
        <v>61450</v>
      </c>
      <c r="BY66" s="280">
        <v>31440</v>
      </c>
      <c r="BZ66" s="280">
        <v>0</v>
      </c>
      <c r="CA66" s="280">
        <v>0</v>
      </c>
      <c r="CB66" s="280">
        <v>7583</v>
      </c>
      <c r="CC66" s="280">
        <v>1216</v>
      </c>
      <c r="CD66" s="24" t="s">
        <v>247</v>
      </c>
      <c r="CE66" s="25">
        <v>7078687</v>
      </c>
      <c r="CF66" s="328">
        <v>0</v>
      </c>
    </row>
    <row r="67" spans="1:84" x14ac:dyDescent="0.25">
      <c r="A67" s="31" t="s">
        <v>15</v>
      </c>
      <c r="B67" s="16"/>
      <c r="C67" s="25">
        <v>145055</v>
      </c>
      <c r="D67" s="25">
        <v>0</v>
      </c>
      <c r="E67" s="25">
        <v>243129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290359</v>
      </c>
      <c r="P67" s="25">
        <v>560734</v>
      </c>
      <c r="Q67" s="25">
        <v>0</v>
      </c>
      <c r="R67" s="25">
        <v>0</v>
      </c>
      <c r="S67" s="25">
        <v>48328</v>
      </c>
      <c r="T67" s="25">
        <v>0</v>
      </c>
      <c r="U67" s="25">
        <v>72740</v>
      </c>
      <c r="V67" s="25">
        <v>13818</v>
      </c>
      <c r="W67" s="25">
        <v>22463</v>
      </c>
      <c r="X67" s="25">
        <v>18495</v>
      </c>
      <c r="Y67" s="25">
        <v>174818</v>
      </c>
      <c r="Z67" s="25">
        <v>0</v>
      </c>
      <c r="AA67" s="25">
        <v>12188</v>
      </c>
      <c r="AB67" s="25">
        <v>34723</v>
      </c>
      <c r="AC67" s="25">
        <v>46096</v>
      </c>
      <c r="AD67" s="25">
        <v>0</v>
      </c>
      <c r="AE67" s="25">
        <v>496321</v>
      </c>
      <c r="AF67" s="25">
        <v>0</v>
      </c>
      <c r="AG67" s="25">
        <v>211914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662599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16865</v>
      </c>
      <c r="AW67" s="25">
        <v>0</v>
      </c>
      <c r="AX67" s="25">
        <v>0</v>
      </c>
      <c r="AY67" s="25">
        <v>7476</v>
      </c>
      <c r="AZ67" s="25">
        <v>0</v>
      </c>
      <c r="BA67" s="25">
        <v>45706</v>
      </c>
      <c r="BB67" s="25">
        <v>9637</v>
      </c>
      <c r="BC67" s="25">
        <v>0</v>
      </c>
      <c r="BD67" s="25">
        <v>101085</v>
      </c>
      <c r="BE67" s="25">
        <v>386129</v>
      </c>
      <c r="BF67" s="25">
        <v>157527</v>
      </c>
      <c r="BG67" s="25">
        <v>0</v>
      </c>
      <c r="BH67" s="25">
        <v>46415</v>
      </c>
      <c r="BI67" s="25">
        <v>0</v>
      </c>
      <c r="BJ67" s="25">
        <v>0</v>
      </c>
      <c r="BK67" s="25">
        <v>0</v>
      </c>
      <c r="BL67" s="25">
        <v>36565</v>
      </c>
      <c r="BM67" s="25">
        <v>0</v>
      </c>
      <c r="BN67" s="25">
        <v>65158</v>
      </c>
      <c r="BO67" s="25">
        <v>0</v>
      </c>
      <c r="BP67" s="25">
        <v>0</v>
      </c>
      <c r="BQ67" s="25">
        <v>0</v>
      </c>
      <c r="BR67" s="25">
        <v>0</v>
      </c>
      <c r="BS67" s="25">
        <v>17609</v>
      </c>
      <c r="BT67" s="25">
        <v>0</v>
      </c>
      <c r="BU67" s="25">
        <v>0</v>
      </c>
      <c r="BV67" s="25">
        <v>0</v>
      </c>
      <c r="BW67" s="25">
        <v>8326</v>
      </c>
      <c r="BX67" s="25">
        <v>5315</v>
      </c>
      <c r="BY67" s="25">
        <v>4783</v>
      </c>
      <c r="BZ67" s="25">
        <v>0</v>
      </c>
      <c r="CA67" s="25">
        <v>0</v>
      </c>
      <c r="CB67" s="25">
        <v>0</v>
      </c>
      <c r="CC67" s="25">
        <v>399629</v>
      </c>
      <c r="CD67" s="24" t="s">
        <v>247</v>
      </c>
      <c r="CE67" s="25">
        <v>4362005</v>
      </c>
      <c r="CF67" s="328">
        <v>0</v>
      </c>
    </row>
    <row r="68" spans="1:84" x14ac:dyDescent="0.25">
      <c r="A68" s="31" t="s">
        <v>267</v>
      </c>
      <c r="B68" s="25"/>
      <c r="C68" s="273">
        <v>14136</v>
      </c>
      <c r="D68" s="273">
        <v>0</v>
      </c>
      <c r="E68" s="273">
        <v>48123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26835</v>
      </c>
      <c r="P68" s="329">
        <v>54206</v>
      </c>
      <c r="Q68" s="329">
        <v>0</v>
      </c>
      <c r="R68" s="329">
        <v>1</v>
      </c>
      <c r="S68" s="280">
        <v>71490</v>
      </c>
      <c r="T68" s="280">
        <v>0</v>
      </c>
      <c r="U68" s="331">
        <v>5841</v>
      </c>
      <c r="V68" s="329">
        <v>0</v>
      </c>
      <c r="W68" s="329">
        <v>0</v>
      </c>
      <c r="X68" s="329">
        <v>0</v>
      </c>
      <c r="Y68" s="329">
        <v>29829</v>
      </c>
      <c r="Z68" s="329">
        <v>0</v>
      </c>
      <c r="AA68" s="329">
        <v>0</v>
      </c>
      <c r="AB68" s="329">
        <v>0</v>
      </c>
      <c r="AC68" s="329">
        <v>4312</v>
      </c>
      <c r="AD68" s="329">
        <v>0</v>
      </c>
      <c r="AE68" s="329">
        <v>175036</v>
      </c>
      <c r="AF68" s="329">
        <v>0</v>
      </c>
      <c r="AG68" s="329">
        <v>29746</v>
      </c>
      <c r="AH68" s="329">
        <v>0</v>
      </c>
      <c r="AI68" s="329">
        <v>0</v>
      </c>
      <c r="AJ68" s="329">
        <v>0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413610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0</v>
      </c>
      <c r="AW68" s="280">
        <v>0</v>
      </c>
      <c r="AX68" s="280">
        <v>0</v>
      </c>
      <c r="AY68" s="329">
        <v>0</v>
      </c>
      <c r="AZ68" s="329">
        <v>3561</v>
      </c>
      <c r="BA68" s="280">
        <v>0</v>
      </c>
      <c r="BB68" s="280">
        <v>2097</v>
      </c>
      <c r="BC68" s="280">
        <v>0</v>
      </c>
      <c r="BD68" s="280">
        <v>10595</v>
      </c>
      <c r="BE68" s="329">
        <v>17198</v>
      </c>
      <c r="BF68" s="280">
        <v>0</v>
      </c>
      <c r="BG68" s="280">
        <v>0</v>
      </c>
      <c r="BH68" s="280">
        <v>2331</v>
      </c>
      <c r="BI68" s="280">
        <v>12841</v>
      </c>
      <c r="BJ68" s="280">
        <v>27484</v>
      </c>
      <c r="BK68" s="280">
        <v>58505</v>
      </c>
      <c r="BL68" s="280">
        <v>2220</v>
      </c>
      <c r="BM68" s="280">
        <v>11220</v>
      </c>
      <c r="BN68" s="280">
        <v>96151</v>
      </c>
      <c r="BO68" s="280">
        <v>0</v>
      </c>
      <c r="BP68" s="280">
        <v>39076</v>
      </c>
      <c r="BQ68" s="280">
        <v>0</v>
      </c>
      <c r="BR68" s="280">
        <v>28170</v>
      </c>
      <c r="BS68" s="280">
        <v>1406</v>
      </c>
      <c r="BT68" s="280">
        <v>0</v>
      </c>
      <c r="BU68" s="280">
        <v>0</v>
      </c>
      <c r="BV68" s="280">
        <v>43336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1229356</v>
      </c>
      <c r="CF68" s="328">
        <v>0</v>
      </c>
    </row>
    <row r="69" spans="1:84" x14ac:dyDescent="0.25">
      <c r="A69" s="31" t="s">
        <v>268</v>
      </c>
      <c r="B69" s="16"/>
      <c r="C69" s="25">
        <v>5280</v>
      </c>
      <c r="D69" s="25">
        <v>0</v>
      </c>
      <c r="E69" s="25">
        <v>2819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8495</v>
      </c>
      <c r="P69" s="25">
        <v>8155</v>
      </c>
      <c r="Q69" s="25">
        <v>0</v>
      </c>
      <c r="R69" s="25">
        <v>0</v>
      </c>
      <c r="S69" s="25">
        <v>122025</v>
      </c>
      <c r="T69" s="25">
        <v>0</v>
      </c>
      <c r="U69" s="25">
        <v>13883</v>
      </c>
      <c r="V69" s="25">
        <v>0</v>
      </c>
      <c r="W69" s="25">
        <v>510</v>
      </c>
      <c r="X69" s="25">
        <v>2161</v>
      </c>
      <c r="Y69" s="25">
        <v>29578</v>
      </c>
      <c r="Z69" s="25">
        <v>0</v>
      </c>
      <c r="AA69" s="25">
        <v>2866</v>
      </c>
      <c r="AB69" s="25">
        <v>18261</v>
      </c>
      <c r="AC69" s="25">
        <v>11321</v>
      </c>
      <c r="AD69" s="25">
        <v>0</v>
      </c>
      <c r="AE69" s="25">
        <v>31284</v>
      </c>
      <c r="AF69" s="25">
        <v>0</v>
      </c>
      <c r="AG69" s="25">
        <v>123191</v>
      </c>
      <c r="AH69" s="25">
        <v>0</v>
      </c>
      <c r="AI69" s="25">
        <v>0</v>
      </c>
      <c r="AJ69" s="25">
        <v>285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147858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4695</v>
      </c>
      <c r="AZ69" s="25">
        <v>2344</v>
      </c>
      <c r="BA69" s="25">
        <v>0</v>
      </c>
      <c r="BB69" s="25">
        <v>17308.440000000002</v>
      </c>
      <c r="BC69" s="25">
        <v>0</v>
      </c>
      <c r="BD69" s="25">
        <v>149454</v>
      </c>
      <c r="BE69" s="25">
        <v>0</v>
      </c>
      <c r="BF69" s="25">
        <v>6467</v>
      </c>
      <c r="BG69" s="25">
        <v>0</v>
      </c>
      <c r="BH69" s="25">
        <v>9845</v>
      </c>
      <c r="BI69" s="25">
        <v>87714</v>
      </c>
      <c r="BJ69" s="25">
        <v>4125</v>
      </c>
      <c r="BK69" s="25">
        <v>164463</v>
      </c>
      <c r="BL69" s="25">
        <v>1191</v>
      </c>
      <c r="BM69" s="25">
        <v>1484203</v>
      </c>
      <c r="BN69" s="25">
        <v>284883</v>
      </c>
      <c r="BO69" s="25">
        <v>1047</v>
      </c>
      <c r="BP69" s="25">
        <v>45918</v>
      </c>
      <c r="BQ69" s="25">
        <v>0</v>
      </c>
      <c r="BR69" s="25">
        <v>99048</v>
      </c>
      <c r="BS69" s="25">
        <v>3407</v>
      </c>
      <c r="BT69" s="25">
        <v>0</v>
      </c>
      <c r="BU69" s="25">
        <v>0</v>
      </c>
      <c r="BV69" s="25">
        <v>377</v>
      </c>
      <c r="BW69" s="25">
        <v>49196</v>
      </c>
      <c r="BX69" s="25">
        <v>0</v>
      </c>
      <c r="BY69" s="25">
        <v>5599</v>
      </c>
      <c r="BZ69" s="25">
        <v>0</v>
      </c>
      <c r="CA69" s="25">
        <v>0</v>
      </c>
      <c r="CB69" s="25">
        <v>16149</v>
      </c>
      <c r="CC69" s="25">
        <v>7762</v>
      </c>
      <c r="CD69" s="25">
        <v>0</v>
      </c>
      <c r="CE69" s="25">
        <v>2973167.44</v>
      </c>
      <c r="CF69" s="328">
        <v>0</v>
      </c>
    </row>
    <row r="70" spans="1:84" x14ac:dyDescent="0.25">
      <c r="A70" s="26" t="s">
        <v>269</v>
      </c>
      <c r="B70" s="335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8">
        <v>0</v>
      </c>
    </row>
    <row r="71" spans="1:84" x14ac:dyDescent="0.25">
      <c r="A71" s="26" t="s">
        <v>270</v>
      </c>
      <c r="B71" s="335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8">
        <v>0</v>
      </c>
    </row>
    <row r="72" spans="1:84" x14ac:dyDescent="0.25">
      <c r="A72" s="26" t="s">
        <v>271</v>
      </c>
      <c r="B72" s="335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8">
        <v>0</v>
      </c>
    </row>
    <row r="73" spans="1:84" x14ac:dyDescent="0.25">
      <c r="A73" s="26" t="s">
        <v>272</v>
      </c>
      <c r="B73" s="335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463944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463944</v>
      </c>
      <c r="CF73" s="328">
        <v>0</v>
      </c>
    </row>
    <row r="74" spans="1:84" x14ac:dyDescent="0.25">
      <c r="A74" s="26" t="s">
        <v>273</v>
      </c>
      <c r="B74" s="335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8">
        <v>0</v>
      </c>
    </row>
    <row r="75" spans="1:84" x14ac:dyDescent="0.25">
      <c r="A75" s="26" t="s">
        <v>274</v>
      </c>
      <c r="B75" s="335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8">
        <v>0</v>
      </c>
    </row>
    <row r="76" spans="1:84" x14ac:dyDescent="0.25">
      <c r="A76" s="26" t="s">
        <v>275</v>
      </c>
      <c r="B76" s="336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8">
        <v>0</v>
      </c>
    </row>
    <row r="77" spans="1:84" x14ac:dyDescent="0.25">
      <c r="A77" s="26" t="s">
        <v>276</v>
      </c>
      <c r="B77" s="335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8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8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  <c r="CF79" s="328">
        <v>0</v>
      </c>
    </row>
    <row r="80" spans="1:84" x14ac:dyDescent="0.25">
      <c r="A80" s="26" t="s">
        <v>279</v>
      </c>
      <c r="B80" s="16"/>
      <c r="C80" s="282">
        <v>3701</v>
      </c>
      <c r="D80" s="282">
        <v>0</v>
      </c>
      <c r="E80" s="282">
        <v>2819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4727</v>
      </c>
      <c r="P80" s="282">
        <v>2113</v>
      </c>
      <c r="Q80" s="282">
        <v>0</v>
      </c>
      <c r="R80" s="282">
        <v>0</v>
      </c>
      <c r="S80" s="282">
        <v>0</v>
      </c>
      <c r="T80" s="282">
        <v>0</v>
      </c>
      <c r="U80" s="282">
        <v>4976</v>
      </c>
      <c r="V80" s="282">
        <v>0</v>
      </c>
      <c r="W80" s="282">
        <v>0</v>
      </c>
      <c r="X80" s="282">
        <v>1203</v>
      </c>
      <c r="Y80" s="282">
        <v>3701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9530</v>
      </c>
      <c r="AF80" s="282">
        <v>0</v>
      </c>
      <c r="AG80" s="282">
        <v>14021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88302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3113</v>
      </c>
      <c r="AZ80" s="282">
        <v>0</v>
      </c>
      <c r="BA80" s="282">
        <v>0</v>
      </c>
      <c r="BB80" s="282">
        <v>12098</v>
      </c>
      <c r="BC80" s="282">
        <v>0</v>
      </c>
      <c r="BD80" s="282">
        <v>550</v>
      </c>
      <c r="BE80" s="282">
        <v>0</v>
      </c>
      <c r="BF80" s="282">
        <v>2437</v>
      </c>
      <c r="BG80" s="282">
        <v>0</v>
      </c>
      <c r="BH80" s="282">
        <v>0</v>
      </c>
      <c r="BI80" s="282">
        <v>14561</v>
      </c>
      <c r="BJ80" s="282">
        <v>583</v>
      </c>
      <c r="BK80" s="282">
        <v>5495</v>
      </c>
      <c r="BL80" s="282">
        <v>0</v>
      </c>
      <c r="BM80" s="282">
        <v>50001</v>
      </c>
      <c r="BN80" s="282">
        <v>103832</v>
      </c>
      <c r="BO80" s="282">
        <v>0</v>
      </c>
      <c r="BP80" s="282">
        <v>14903</v>
      </c>
      <c r="BQ80" s="282">
        <v>0</v>
      </c>
      <c r="BR80" s="282">
        <v>95000</v>
      </c>
      <c r="BS80" s="282">
        <v>0</v>
      </c>
      <c r="BT80" s="282">
        <v>0</v>
      </c>
      <c r="BU80" s="282">
        <v>0</v>
      </c>
      <c r="BV80" s="282">
        <v>0</v>
      </c>
      <c r="BW80" s="282">
        <v>13929</v>
      </c>
      <c r="BX80" s="282">
        <v>0</v>
      </c>
      <c r="BY80" s="282">
        <v>5457</v>
      </c>
      <c r="BZ80" s="282">
        <v>0</v>
      </c>
      <c r="CA80" s="282">
        <v>0</v>
      </c>
      <c r="CB80" s="282">
        <v>7386</v>
      </c>
      <c r="CC80" s="282">
        <v>7636</v>
      </c>
      <c r="CD80" s="282">
        <v>0</v>
      </c>
      <c r="CE80" s="25">
        <v>472074</v>
      </c>
      <c r="CF80" s="328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45</v>
      </c>
      <c r="Q81" s="282">
        <v>0</v>
      </c>
      <c r="R81" s="282">
        <v>0</v>
      </c>
      <c r="S81" s="282">
        <v>111018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11310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21</v>
      </c>
      <c r="AF81" s="282">
        <v>0</v>
      </c>
      <c r="AG81" s="282">
        <v>6942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25281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78.44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260</v>
      </c>
      <c r="BJ81" s="282">
        <v>0</v>
      </c>
      <c r="BK81" s="282">
        <v>3</v>
      </c>
      <c r="BL81" s="282">
        <v>0</v>
      </c>
      <c r="BM81" s="282">
        <v>970258</v>
      </c>
      <c r="BN81" s="282">
        <v>22473</v>
      </c>
      <c r="BO81" s="282">
        <v>0</v>
      </c>
      <c r="BP81" s="282">
        <v>0</v>
      </c>
      <c r="BQ81" s="282">
        <v>0</v>
      </c>
      <c r="BR81" s="282">
        <v>0</v>
      </c>
      <c r="BS81" s="282">
        <v>60</v>
      </c>
      <c r="BT81" s="282">
        <v>0</v>
      </c>
      <c r="BU81" s="282">
        <v>0</v>
      </c>
      <c r="BV81" s="282">
        <v>94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1147843.44</v>
      </c>
      <c r="CF81" s="328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8">
        <v>0</v>
      </c>
    </row>
    <row r="83" spans="1:84" x14ac:dyDescent="0.25">
      <c r="A83" s="26" t="s">
        <v>282</v>
      </c>
      <c r="B83" s="16"/>
      <c r="C83" s="273">
        <v>1579</v>
      </c>
      <c r="D83" s="273">
        <v>0</v>
      </c>
      <c r="E83" s="329">
        <v>0</v>
      </c>
      <c r="F83" s="329">
        <v>0</v>
      </c>
      <c r="G83" s="273">
        <v>0</v>
      </c>
      <c r="H83" s="273">
        <v>0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0</v>
      </c>
      <c r="O83" s="273">
        <v>3768</v>
      </c>
      <c r="P83" s="329">
        <v>5997</v>
      </c>
      <c r="Q83" s="329">
        <v>0</v>
      </c>
      <c r="R83" s="331">
        <v>0</v>
      </c>
      <c r="S83" s="329">
        <v>11007</v>
      </c>
      <c r="T83" s="273">
        <v>0</v>
      </c>
      <c r="U83" s="329">
        <v>8907</v>
      </c>
      <c r="V83" s="329">
        <v>0</v>
      </c>
      <c r="W83" s="273">
        <v>510</v>
      </c>
      <c r="X83" s="329">
        <v>958</v>
      </c>
      <c r="Y83" s="329">
        <v>14567</v>
      </c>
      <c r="Z83" s="329">
        <v>0</v>
      </c>
      <c r="AA83" s="329">
        <v>2866</v>
      </c>
      <c r="AB83" s="329">
        <v>18261</v>
      </c>
      <c r="AC83" s="329">
        <v>11321</v>
      </c>
      <c r="AD83" s="329">
        <v>0</v>
      </c>
      <c r="AE83" s="329">
        <v>21733</v>
      </c>
      <c r="AF83" s="329">
        <v>0</v>
      </c>
      <c r="AG83" s="329">
        <v>102228</v>
      </c>
      <c r="AH83" s="329">
        <v>0</v>
      </c>
      <c r="AI83" s="329">
        <v>0</v>
      </c>
      <c r="AJ83" s="329">
        <v>285</v>
      </c>
      <c r="AK83" s="329">
        <v>0</v>
      </c>
      <c r="AL83" s="329">
        <v>0</v>
      </c>
      <c r="AM83" s="329">
        <v>0</v>
      </c>
      <c r="AN83" s="329">
        <v>0</v>
      </c>
      <c r="AO83" s="273">
        <v>0</v>
      </c>
      <c r="AP83" s="329">
        <v>34275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0</v>
      </c>
      <c r="AW83" s="329">
        <v>0</v>
      </c>
      <c r="AX83" s="329">
        <v>0</v>
      </c>
      <c r="AY83" s="329">
        <v>1582</v>
      </c>
      <c r="AZ83" s="329">
        <v>2344</v>
      </c>
      <c r="BA83" s="329">
        <v>0</v>
      </c>
      <c r="BB83" s="329">
        <v>5132</v>
      </c>
      <c r="BC83" s="329">
        <v>0</v>
      </c>
      <c r="BD83" s="329">
        <v>148904</v>
      </c>
      <c r="BE83" s="329">
        <v>0</v>
      </c>
      <c r="BF83" s="329">
        <v>4030</v>
      </c>
      <c r="BG83" s="329">
        <v>0</v>
      </c>
      <c r="BH83" s="331">
        <v>9845</v>
      </c>
      <c r="BI83" s="329">
        <v>72893</v>
      </c>
      <c r="BJ83" s="329">
        <v>3542</v>
      </c>
      <c r="BK83" s="329">
        <v>158965</v>
      </c>
      <c r="BL83" s="329">
        <v>1191</v>
      </c>
      <c r="BM83" s="329">
        <v>0</v>
      </c>
      <c r="BN83" s="273">
        <v>158578</v>
      </c>
      <c r="BO83" s="329">
        <v>1047</v>
      </c>
      <c r="BP83" s="329">
        <v>31015</v>
      </c>
      <c r="BQ83" s="329">
        <v>0</v>
      </c>
      <c r="BR83" s="329">
        <v>4048</v>
      </c>
      <c r="BS83" s="329">
        <v>3347</v>
      </c>
      <c r="BT83" s="329">
        <v>0</v>
      </c>
      <c r="BU83" s="329">
        <v>0</v>
      </c>
      <c r="BV83" s="329">
        <v>283</v>
      </c>
      <c r="BW83" s="329">
        <v>35267</v>
      </c>
      <c r="BX83" s="329">
        <v>0</v>
      </c>
      <c r="BY83" s="329">
        <v>142</v>
      </c>
      <c r="BZ83" s="329">
        <v>0</v>
      </c>
      <c r="CA83" s="329">
        <v>0</v>
      </c>
      <c r="CB83" s="329">
        <v>8763</v>
      </c>
      <c r="CC83" s="329">
        <v>126</v>
      </c>
      <c r="CD83" s="282">
        <v>0</v>
      </c>
      <c r="CE83" s="25">
        <v>889306</v>
      </c>
      <c r="CF83" s="328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28475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4080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6044</v>
      </c>
      <c r="Y84" s="273">
        <v>1344</v>
      </c>
      <c r="Z84" s="273">
        <v>0</v>
      </c>
      <c r="AA84" s="273">
        <v>0</v>
      </c>
      <c r="AB84" s="273">
        <v>71081</v>
      </c>
      <c r="AC84" s="273">
        <v>0</v>
      </c>
      <c r="AD84" s="273">
        <v>0</v>
      </c>
      <c r="AE84" s="273">
        <v>75768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171982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1200</v>
      </c>
      <c r="AZ84" s="273">
        <v>524755</v>
      </c>
      <c r="BA84" s="273">
        <v>0</v>
      </c>
      <c r="BB84" s="273">
        <v>0</v>
      </c>
      <c r="BC84" s="273">
        <v>0</v>
      </c>
      <c r="BD84" s="273">
        <v>0</v>
      </c>
      <c r="BE84" s="273">
        <v>2715</v>
      </c>
      <c r="BF84" s="273">
        <v>0</v>
      </c>
      <c r="BG84" s="273">
        <v>0</v>
      </c>
      <c r="BH84" s="273">
        <v>0</v>
      </c>
      <c r="BI84" s="273">
        <v>0</v>
      </c>
      <c r="BJ84" s="273">
        <v>3121609</v>
      </c>
      <c r="BK84" s="273">
        <v>-14576</v>
      </c>
      <c r="BL84" s="273">
        <v>0</v>
      </c>
      <c r="BM84" s="273">
        <v>579393</v>
      </c>
      <c r="BN84" s="273">
        <v>0</v>
      </c>
      <c r="BO84" s="273">
        <v>0</v>
      </c>
      <c r="BP84" s="273">
        <v>0</v>
      </c>
      <c r="BQ84" s="273">
        <v>0</v>
      </c>
      <c r="BR84" s="273">
        <v>481655</v>
      </c>
      <c r="BS84" s="273">
        <v>0</v>
      </c>
      <c r="BT84" s="273">
        <v>0</v>
      </c>
      <c r="BU84" s="273">
        <v>0</v>
      </c>
      <c r="BV84" s="273">
        <v>10481</v>
      </c>
      <c r="BW84" s="273">
        <v>254347</v>
      </c>
      <c r="BX84" s="273">
        <v>6158</v>
      </c>
      <c r="BY84" s="273">
        <v>39291</v>
      </c>
      <c r="BZ84" s="273">
        <v>0</v>
      </c>
      <c r="CA84" s="273">
        <v>0</v>
      </c>
      <c r="CB84" s="273">
        <v>10235</v>
      </c>
      <c r="CC84" s="273">
        <v>0</v>
      </c>
      <c r="CD84" s="282">
        <v>0</v>
      </c>
      <c r="CE84" s="25">
        <v>5376037</v>
      </c>
      <c r="CF84" s="328">
        <v>0</v>
      </c>
    </row>
    <row r="85" spans="1:84" x14ac:dyDescent="0.25">
      <c r="A85" s="31" t="s">
        <v>284</v>
      </c>
      <c r="B85" s="25"/>
      <c r="C85" s="25">
        <v>2178288</v>
      </c>
      <c r="D85" s="25">
        <v>0</v>
      </c>
      <c r="E85" s="25">
        <v>5078685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3413373</v>
      </c>
      <c r="P85" s="25">
        <v>11269417</v>
      </c>
      <c r="Q85" s="25">
        <v>17067</v>
      </c>
      <c r="R85" s="25">
        <v>3798613</v>
      </c>
      <c r="S85" s="25">
        <v>5602654</v>
      </c>
      <c r="T85" s="25">
        <v>0</v>
      </c>
      <c r="U85" s="25">
        <v>3987839</v>
      </c>
      <c r="V85" s="25">
        <v>26861</v>
      </c>
      <c r="W85" s="25">
        <v>1010978</v>
      </c>
      <c r="X85" s="25">
        <v>1087763</v>
      </c>
      <c r="Y85" s="25">
        <v>2918485</v>
      </c>
      <c r="Z85" s="25">
        <v>0</v>
      </c>
      <c r="AA85" s="25">
        <v>1029751</v>
      </c>
      <c r="AB85" s="25">
        <v>5913219</v>
      </c>
      <c r="AC85" s="25">
        <v>1601771</v>
      </c>
      <c r="AD85" s="25">
        <v>0</v>
      </c>
      <c r="AE85" s="25">
        <v>5455383</v>
      </c>
      <c r="AF85" s="25">
        <v>0</v>
      </c>
      <c r="AG85" s="25">
        <v>8638529</v>
      </c>
      <c r="AH85" s="25">
        <v>0</v>
      </c>
      <c r="AI85" s="25">
        <v>0</v>
      </c>
      <c r="AJ85" s="25">
        <v>104521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18043263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16865</v>
      </c>
      <c r="AW85" s="25">
        <v>0</v>
      </c>
      <c r="AX85" s="25">
        <v>0</v>
      </c>
      <c r="AY85" s="25">
        <v>429775</v>
      </c>
      <c r="AZ85" s="25">
        <v>871775</v>
      </c>
      <c r="BA85" s="25">
        <v>360981</v>
      </c>
      <c r="BB85" s="25">
        <v>743975.44</v>
      </c>
      <c r="BC85" s="25">
        <v>0</v>
      </c>
      <c r="BD85" s="25">
        <v>842156</v>
      </c>
      <c r="BE85" s="25">
        <v>2309467</v>
      </c>
      <c r="BF85" s="25">
        <v>1192301</v>
      </c>
      <c r="BG85" s="25">
        <v>0</v>
      </c>
      <c r="BH85" s="25">
        <v>3814718</v>
      </c>
      <c r="BI85" s="25">
        <v>712083</v>
      </c>
      <c r="BJ85" s="25">
        <v>-2411261</v>
      </c>
      <c r="BK85" s="25">
        <v>4315964</v>
      </c>
      <c r="BL85" s="25">
        <v>1165192</v>
      </c>
      <c r="BM85" s="25">
        <v>1841733</v>
      </c>
      <c r="BN85" s="25">
        <v>1348698.1400000001</v>
      </c>
      <c r="BO85" s="25">
        <v>212491</v>
      </c>
      <c r="BP85" s="25">
        <v>1233771</v>
      </c>
      <c r="BQ85" s="25">
        <v>0</v>
      </c>
      <c r="BR85" s="25">
        <v>656312</v>
      </c>
      <c r="BS85" s="25">
        <v>249692</v>
      </c>
      <c r="BT85" s="25">
        <v>0</v>
      </c>
      <c r="BU85" s="25">
        <v>0</v>
      </c>
      <c r="BV85" s="25">
        <v>538774</v>
      </c>
      <c r="BW85" s="25">
        <v>1290859</v>
      </c>
      <c r="BX85" s="25">
        <v>384956</v>
      </c>
      <c r="BY85" s="25">
        <v>1229772</v>
      </c>
      <c r="BZ85" s="25">
        <v>0</v>
      </c>
      <c r="CA85" s="25">
        <v>0</v>
      </c>
      <c r="CB85" s="25">
        <v>264690</v>
      </c>
      <c r="CC85" s="25">
        <v>1000673</v>
      </c>
      <c r="CD85" s="25">
        <v>0</v>
      </c>
      <c r="CE85" s="25">
        <v>105792872.58</v>
      </c>
      <c r="CF85" s="328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7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675655</v>
      </c>
      <c r="CF86" s="328">
        <v>0</v>
      </c>
    </row>
    <row r="87" spans="1:84" x14ac:dyDescent="0.25">
      <c r="A87" s="21" t="s">
        <v>286</v>
      </c>
      <c r="B87" s="16"/>
      <c r="C87" s="273">
        <v>1493195</v>
      </c>
      <c r="D87" s="273">
        <v>0</v>
      </c>
      <c r="E87" s="273">
        <v>4022145</v>
      </c>
      <c r="F87" s="273">
        <v>0</v>
      </c>
      <c r="G87" s="273">
        <v>0</v>
      </c>
      <c r="H87" s="273">
        <v>0</v>
      </c>
      <c r="I87" s="273">
        <v>0</v>
      </c>
      <c r="J87" s="273">
        <v>656867</v>
      </c>
      <c r="K87" s="273">
        <v>0</v>
      </c>
      <c r="L87" s="273">
        <v>0</v>
      </c>
      <c r="M87" s="273">
        <v>0</v>
      </c>
      <c r="N87" s="273">
        <v>0</v>
      </c>
      <c r="O87" s="273">
        <v>3017766</v>
      </c>
      <c r="P87" s="273">
        <v>3705571</v>
      </c>
      <c r="Q87" s="273">
        <v>257307</v>
      </c>
      <c r="R87" s="273">
        <v>2394655</v>
      </c>
      <c r="S87" s="273">
        <v>2298867</v>
      </c>
      <c r="T87" s="273">
        <v>0</v>
      </c>
      <c r="U87" s="273">
        <v>1923058</v>
      </c>
      <c r="V87" s="273">
        <v>54833</v>
      </c>
      <c r="W87" s="273">
        <v>168109</v>
      </c>
      <c r="X87" s="273">
        <v>678808</v>
      </c>
      <c r="Y87" s="273">
        <v>478475</v>
      </c>
      <c r="Z87" s="273">
        <v>0</v>
      </c>
      <c r="AA87" s="273">
        <v>37790</v>
      </c>
      <c r="AB87" s="273">
        <v>3334394</v>
      </c>
      <c r="AC87" s="273">
        <v>2009102</v>
      </c>
      <c r="AD87" s="273">
        <v>0</v>
      </c>
      <c r="AE87" s="273">
        <v>408143</v>
      </c>
      <c r="AF87" s="273">
        <v>0</v>
      </c>
      <c r="AG87" s="273">
        <v>664554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1067821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28671460</v>
      </c>
      <c r="CF87" s="328">
        <v>0</v>
      </c>
    </row>
    <row r="88" spans="1:84" x14ac:dyDescent="0.25">
      <c r="A88" s="21" t="s">
        <v>287</v>
      </c>
      <c r="B88" s="16"/>
      <c r="C88" s="273">
        <v>595170</v>
      </c>
      <c r="D88" s="273">
        <v>0</v>
      </c>
      <c r="E88" s="273">
        <v>3857472</v>
      </c>
      <c r="F88" s="273">
        <v>0</v>
      </c>
      <c r="G88" s="273">
        <v>0</v>
      </c>
      <c r="H88" s="273">
        <v>0</v>
      </c>
      <c r="I88" s="273">
        <v>0</v>
      </c>
      <c r="J88" s="273">
        <v>10907</v>
      </c>
      <c r="K88" s="273">
        <v>0</v>
      </c>
      <c r="L88" s="273">
        <v>0</v>
      </c>
      <c r="M88" s="273">
        <v>0</v>
      </c>
      <c r="N88" s="273">
        <v>0</v>
      </c>
      <c r="O88" s="273">
        <v>728265</v>
      </c>
      <c r="P88" s="273">
        <v>27109308</v>
      </c>
      <c r="Q88" s="273">
        <v>1622833</v>
      </c>
      <c r="R88" s="273">
        <v>10757172</v>
      </c>
      <c r="S88" s="273">
        <v>19518399</v>
      </c>
      <c r="T88" s="273">
        <v>0</v>
      </c>
      <c r="U88" s="273">
        <v>13001186</v>
      </c>
      <c r="V88" s="273">
        <v>771327</v>
      </c>
      <c r="W88" s="273">
        <v>10386155</v>
      </c>
      <c r="X88" s="273">
        <v>13899202</v>
      </c>
      <c r="Y88" s="273">
        <v>14375753</v>
      </c>
      <c r="Z88" s="273">
        <v>0</v>
      </c>
      <c r="AA88" s="273">
        <v>3820112</v>
      </c>
      <c r="AB88" s="273">
        <v>19096516</v>
      </c>
      <c r="AC88" s="273">
        <v>2819166</v>
      </c>
      <c r="AD88" s="273">
        <v>0</v>
      </c>
      <c r="AE88" s="273">
        <v>7122050</v>
      </c>
      <c r="AF88" s="273">
        <v>0</v>
      </c>
      <c r="AG88" s="273">
        <v>31317748</v>
      </c>
      <c r="AH88" s="273">
        <v>0</v>
      </c>
      <c r="AI88" s="273">
        <v>0</v>
      </c>
      <c r="AJ88" s="273">
        <v>204860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22816271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203829872</v>
      </c>
      <c r="CF88" s="328">
        <v>0</v>
      </c>
    </row>
    <row r="89" spans="1:84" x14ac:dyDescent="0.25">
      <c r="A89" s="21" t="s">
        <v>288</v>
      </c>
      <c r="B89" s="16"/>
      <c r="C89" s="25">
        <v>2088365</v>
      </c>
      <c r="D89" s="25">
        <v>0</v>
      </c>
      <c r="E89" s="25">
        <v>7879617</v>
      </c>
      <c r="F89" s="25">
        <v>0</v>
      </c>
      <c r="G89" s="25">
        <v>0</v>
      </c>
      <c r="H89" s="25">
        <v>0</v>
      </c>
      <c r="I89" s="25">
        <v>0</v>
      </c>
      <c r="J89" s="25">
        <v>667774</v>
      </c>
      <c r="K89" s="25">
        <v>0</v>
      </c>
      <c r="L89" s="25">
        <v>0</v>
      </c>
      <c r="M89" s="25">
        <v>0</v>
      </c>
      <c r="N89" s="25">
        <v>0</v>
      </c>
      <c r="O89" s="25">
        <v>3746031</v>
      </c>
      <c r="P89" s="25">
        <v>30814879</v>
      </c>
      <c r="Q89" s="25">
        <v>1880140</v>
      </c>
      <c r="R89" s="25">
        <v>13151827</v>
      </c>
      <c r="S89" s="25">
        <v>21817266</v>
      </c>
      <c r="T89" s="25">
        <v>0</v>
      </c>
      <c r="U89" s="25">
        <v>14924244</v>
      </c>
      <c r="V89" s="25">
        <v>826160</v>
      </c>
      <c r="W89" s="25">
        <v>10554264</v>
      </c>
      <c r="X89" s="25">
        <v>14578010</v>
      </c>
      <c r="Y89" s="25">
        <v>14854228</v>
      </c>
      <c r="Z89" s="25">
        <v>0</v>
      </c>
      <c r="AA89" s="25">
        <v>3857902</v>
      </c>
      <c r="AB89" s="25">
        <v>22430910</v>
      </c>
      <c r="AC89" s="25">
        <v>4828268</v>
      </c>
      <c r="AD89" s="25">
        <v>0</v>
      </c>
      <c r="AE89" s="25">
        <v>7530193</v>
      </c>
      <c r="AF89" s="25">
        <v>0</v>
      </c>
      <c r="AG89" s="25">
        <v>31982302</v>
      </c>
      <c r="AH89" s="25">
        <v>0</v>
      </c>
      <c r="AI89" s="25">
        <v>0</v>
      </c>
      <c r="AJ89" s="25">
        <v>204860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23884092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232501332</v>
      </c>
      <c r="CF89" s="328">
        <v>0</v>
      </c>
    </row>
    <row r="90" spans="1:84" x14ac:dyDescent="0.25">
      <c r="A90" s="31" t="s">
        <v>289</v>
      </c>
      <c r="B90" s="25"/>
      <c r="C90" s="338">
        <v>4094</v>
      </c>
      <c r="D90" s="338">
        <v>0</v>
      </c>
      <c r="E90" s="338">
        <v>6862</v>
      </c>
      <c r="F90" s="338">
        <v>0</v>
      </c>
      <c r="G90" s="338">
        <v>0</v>
      </c>
      <c r="H90" s="338">
        <v>0</v>
      </c>
      <c r="I90" s="338">
        <v>0</v>
      </c>
      <c r="J90" s="338">
        <v>0</v>
      </c>
      <c r="K90" s="338">
        <v>0</v>
      </c>
      <c r="L90" s="338">
        <v>0</v>
      </c>
      <c r="M90" s="338">
        <v>0</v>
      </c>
      <c r="N90" s="338">
        <v>0</v>
      </c>
      <c r="O90" s="338">
        <v>8195</v>
      </c>
      <c r="P90" s="338">
        <v>15826</v>
      </c>
      <c r="Q90" s="338">
        <v>0</v>
      </c>
      <c r="R90" s="338">
        <v>0</v>
      </c>
      <c r="S90" s="338">
        <v>1364</v>
      </c>
      <c r="T90" s="338">
        <v>0</v>
      </c>
      <c r="U90" s="338">
        <v>2053</v>
      </c>
      <c r="V90" s="338">
        <v>390</v>
      </c>
      <c r="W90" s="338">
        <v>634</v>
      </c>
      <c r="X90" s="338">
        <v>522</v>
      </c>
      <c r="Y90" s="338">
        <v>4934</v>
      </c>
      <c r="Z90" s="338">
        <v>0</v>
      </c>
      <c r="AA90" s="338">
        <v>344</v>
      </c>
      <c r="AB90" s="338">
        <v>980</v>
      </c>
      <c r="AC90" s="338">
        <v>1301</v>
      </c>
      <c r="AD90" s="338">
        <v>0</v>
      </c>
      <c r="AE90" s="338">
        <v>14008</v>
      </c>
      <c r="AF90" s="338">
        <v>0</v>
      </c>
      <c r="AG90" s="338">
        <v>5981</v>
      </c>
      <c r="AH90" s="338">
        <v>0</v>
      </c>
      <c r="AI90" s="338">
        <v>0</v>
      </c>
      <c r="AJ90" s="338">
        <v>0</v>
      </c>
      <c r="AK90" s="338">
        <v>0</v>
      </c>
      <c r="AL90" s="338">
        <v>0</v>
      </c>
      <c r="AM90" s="338">
        <v>0</v>
      </c>
      <c r="AN90" s="338">
        <v>0</v>
      </c>
      <c r="AO90" s="338">
        <v>0</v>
      </c>
      <c r="AP90" s="338">
        <v>18701</v>
      </c>
      <c r="AQ90" s="338">
        <v>0</v>
      </c>
      <c r="AR90" s="338">
        <v>0</v>
      </c>
      <c r="AS90" s="338">
        <v>0</v>
      </c>
      <c r="AT90" s="338">
        <v>0</v>
      </c>
      <c r="AU90" s="338">
        <v>0</v>
      </c>
      <c r="AV90" s="338">
        <v>476</v>
      </c>
      <c r="AW90" s="338">
        <v>0</v>
      </c>
      <c r="AX90" s="338">
        <v>0</v>
      </c>
      <c r="AY90" s="338">
        <v>211</v>
      </c>
      <c r="AZ90" s="338">
        <v>4345</v>
      </c>
      <c r="BA90" s="338">
        <v>1290</v>
      </c>
      <c r="BB90" s="338">
        <v>272</v>
      </c>
      <c r="BC90" s="338">
        <v>0</v>
      </c>
      <c r="BD90" s="338">
        <v>2853</v>
      </c>
      <c r="BE90" s="338">
        <v>10898</v>
      </c>
      <c r="BF90" s="338">
        <v>4446</v>
      </c>
      <c r="BG90" s="338">
        <v>0</v>
      </c>
      <c r="BH90" s="338">
        <v>1310</v>
      </c>
      <c r="BI90" s="338">
        <v>0</v>
      </c>
      <c r="BJ90" s="338">
        <v>0</v>
      </c>
      <c r="BK90" s="338">
        <v>0</v>
      </c>
      <c r="BL90" s="338">
        <v>1032</v>
      </c>
      <c r="BM90" s="338">
        <v>0</v>
      </c>
      <c r="BN90" s="338">
        <v>1839</v>
      </c>
      <c r="BO90" s="338">
        <v>0</v>
      </c>
      <c r="BP90" s="338">
        <v>0</v>
      </c>
      <c r="BQ90" s="338">
        <v>0</v>
      </c>
      <c r="BR90" s="338">
        <v>0</v>
      </c>
      <c r="BS90" s="338">
        <v>497</v>
      </c>
      <c r="BT90" s="338">
        <v>0</v>
      </c>
      <c r="BU90" s="338">
        <v>0</v>
      </c>
      <c r="BV90" s="338">
        <v>0</v>
      </c>
      <c r="BW90" s="338">
        <v>235</v>
      </c>
      <c r="BX90" s="338">
        <v>150</v>
      </c>
      <c r="BY90" s="338">
        <v>135</v>
      </c>
      <c r="BZ90" s="338">
        <v>0</v>
      </c>
      <c r="CA90" s="338">
        <v>0</v>
      </c>
      <c r="CB90" s="338">
        <v>0</v>
      </c>
      <c r="CC90" s="338">
        <v>11279</v>
      </c>
      <c r="CD90" s="224" t="s">
        <v>247</v>
      </c>
      <c r="CE90" s="25">
        <v>127457</v>
      </c>
      <c r="CF90" s="25">
        <v>0</v>
      </c>
    </row>
    <row r="91" spans="1:84" x14ac:dyDescent="0.25">
      <c r="A91" s="21" t="s">
        <v>290</v>
      </c>
      <c r="B91" s="16"/>
      <c r="C91" s="273">
        <v>3015</v>
      </c>
      <c r="D91" s="273">
        <v>0</v>
      </c>
      <c r="E91" s="273">
        <v>7377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3305</v>
      </c>
      <c r="P91" s="273">
        <v>1362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1328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73">
        <v>0</v>
      </c>
      <c r="AY91" s="273">
        <v>0</v>
      </c>
      <c r="AZ91" s="273">
        <v>0</v>
      </c>
      <c r="BA91" s="273">
        <v>0</v>
      </c>
      <c r="BB91" s="273">
        <v>0</v>
      </c>
      <c r="BC91" s="273">
        <v>0</v>
      </c>
      <c r="BD91" s="273">
        <v>0</v>
      </c>
      <c r="BE91" s="273">
        <v>0</v>
      </c>
      <c r="BF91" s="273">
        <v>0</v>
      </c>
      <c r="BG91" s="273">
        <v>0</v>
      </c>
      <c r="BH91" s="273">
        <v>0</v>
      </c>
      <c r="BI91" s="273">
        <v>0</v>
      </c>
      <c r="BJ91" s="273">
        <v>0</v>
      </c>
      <c r="BK91" s="273">
        <v>0</v>
      </c>
      <c r="BL91" s="273">
        <v>0</v>
      </c>
      <c r="BM91" s="273">
        <v>0</v>
      </c>
      <c r="BN91" s="273">
        <v>0</v>
      </c>
      <c r="BO91" s="273">
        <v>0</v>
      </c>
      <c r="BP91" s="273">
        <v>0</v>
      </c>
      <c r="BQ91" s="273">
        <v>0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73">
        <v>0</v>
      </c>
      <c r="CD91" s="24" t="s">
        <v>247</v>
      </c>
      <c r="CE91" s="25">
        <v>16387</v>
      </c>
      <c r="CF91" s="25">
        <v>0</v>
      </c>
    </row>
    <row r="92" spans="1:84" x14ac:dyDescent="0.25">
      <c r="A92" s="21" t="s">
        <v>291</v>
      </c>
      <c r="B92" s="16"/>
      <c r="C92" s="273">
        <v>2546</v>
      </c>
      <c r="D92" s="273">
        <v>0</v>
      </c>
      <c r="E92" s="273">
        <v>3819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3819</v>
      </c>
      <c r="P92" s="273">
        <v>3182</v>
      </c>
      <c r="Q92" s="273">
        <v>0</v>
      </c>
      <c r="R92" s="273">
        <v>0</v>
      </c>
      <c r="S92" s="273">
        <v>0</v>
      </c>
      <c r="T92" s="273">
        <v>0</v>
      </c>
      <c r="U92" s="273">
        <v>1273</v>
      </c>
      <c r="V92" s="273">
        <v>0</v>
      </c>
      <c r="W92" s="273">
        <v>159</v>
      </c>
      <c r="X92" s="273">
        <v>159</v>
      </c>
      <c r="Y92" s="273">
        <v>3182</v>
      </c>
      <c r="Z92" s="273">
        <v>0</v>
      </c>
      <c r="AA92" s="273">
        <v>159</v>
      </c>
      <c r="AB92" s="273">
        <v>318</v>
      </c>
      <c r="AC92" s="273">
        <v>795</v>
      </c>
      <c r="AD92" s="273">
        <v>0</v>
      </c>
      <c r="AE92" s="273">
        <v>2068</v>
      </c>
      <c r="AF92" s="273">
        <v>0</v>
      </c>
      <c r="AG92" s="273">
        <v>2546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159</v>
      </c>
      <c r="BB92" s="273">
        <v>159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159</v>
      </c>
      <c r="BI92" s="273">
        <v>0</v>
      </c>
      <c r="BJ92" s="24" t="s">
        <v>247</v>
      </c>
      <c r="BK92" s="273">
        <v>0</v>
      </c>
      <c r="BL92" s="273">
        <v>159</v>
      </c>
      <c r="BM92" s="273">
        <v>159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159</v>
      </c>
      <c r="BW92" s="273">
        <v>159</v>
      </c>
      <c r="BX92" s="273">
        <v>159</v>
      </c>
      <c r="BY92" s="273">
        <v>159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25456</v>
      </c>
      <c r="CF92" s="16"/>
    </row>
    <row r="93" spans="1:84" x14ac:dyDescent="0.25">
      <c r="A93" s="21" t="s">
        <v>292</v>
      </c>
      <c r="B93" s="16"/>
      <c r="C93" s="273">
        <v>24767</v>
      </c>
      <c r="D93" s="273">
        <v>0</v>
      </c>
      <c r="E93" s="273">
        <v>74301</v>
      </c>
      <c r="F93" s="273">
        <v>0</v>
      </c>
      <c r="G93" s="273">
        <v>0</v>
      </c>
      <c r="H93" s="273">
        <v>0</v>
      </c>
      <c r="I93" s="273">
        <v>0</v>
      </c>
      <c r="J93" s="273">
        <v>28895</v>
      </c>
      <c r="K93" s="273">
        <v>0</v>
      </c>
      <c r="L93" s="273">
        <v>0</v>
      </c>
      <c r="M93" s="273">
        <v>0</v>
      </c>
      <c r="N93" s="273">
        <v>0</v>
      </c>
      <c r="O93" s="273">
        <v>57790</v>
      </c>
      <c r="P93" s="273">
        <v>74301</v>
      </c>
      <c r="Q93" s="273">
        <v>0</v>
      </c>
      <c r="R93" s="273">
        <v>0</v>
      </c>
      <c r="S93" s="273">
        <v>0</v>
      </c>
      <c r="T93" s="273">
        <v>0</v>
      </c>
      <c r="U93" s="273">
        <v>12383</v>
      </c>
      <c r="V93" s="273">
        <v>0</v>
      </c>
      <c r="W93" s="273">
        <v>0</v>
      </c>
      <c r="X93" s="273">
        <v>0</v>
      </c>
      <c r="Y93" s="273">
        <v>16511</v>
      </c>
      <c r="Z93" s="273">
        <v>0</v>
      </c>
      <c r="AA93" s="273">
        <v>0</v>
      </c>
      <c r="AB93" s="273">
        <v>0</v>
      </c>
      <c r="AC93" s="273">
        <v>20639</v>
      </c>
      <c r="AD93" s="273">
        <v>0</v>
      </c>
      <c r="AE93" s="273">
        <v>40938</v>
      </c>
      <c r="AF93" s="273">
        <v>0</v>
      </c>
      <c r="AG93" s="273">
        <v>74301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19760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444586</v>
      </c>
      <c r="CF93" s="25">
        <v>0</v>
      </c>
    </row>
    <row r="94" spans="1:84" x14ac:dyDescent="0.25">
      <c r="A94" s="21" t="s">
        <v>293</v>
      </c>
      <c r="B94" s="16"/>
      <c r="C94" s="277">
        <v>11.6</v>
      </c>
      <c r="D94" s="277">
        <v>0</v>
      </c>
      <c r="E94" s="277">
        <v>16.55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16.55</v>
      </c>
      <c r="P94" s="332">
        <v>32.31</v>
      </c>
      <c r="Q94" s="332">
        <v>0</v>
      </c>
      <c r="R94" s="332">
        <v>0</v>
      </c>
      <c r="S94" s="278">
        <v>0</v>
      </c>
      <c r="T94" s="278">
        <v>0</v>
      </c>
      <c r="U94" s="333">
        <v>0</v>
      </c>
      <c r="V94" s="332">
        <v>0</v>
      </c>
      <c r="W94" s="332">
        <v>0</v>
      </c>
      <c r="X94" s="332">
        <v>0</v>
      </c>
      <c r="Y94" s="332">
        <v>0</v>
      </c>
      <c r="Z94" s="332">
        <v>0</v>
      </c>
      <c r="AA94" s="332">
        <v>0</v>
      </c>
      <c r="AB94" s="278">
        <v>0</v>
      </c>
      <c r="AC94" s="332">
        <v>0</v>
      </c>
      <c r="AD94" s="332">
        <v>0</v>
      </c>
      <c r="AE94" s="332">
        <v>0</v>
      </c>
      <c r="AF94" s="332">
        <v>0</v>
      </c>
      <c r="AG94" s="332">
        <v>13.98</v>
      </c>
      <c r="AH94" s="332">
        <v>0</v>
      </c>
      <c r="AI94" s="332">
        <v>0</v>
      </c>
      <c r="AJ94" s="332">
        <v>0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90.990000000000009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90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90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90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90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90" t="s">
        <v>310</v>
      </c>
      <c r="D102" s="284" t="s">
        <v>297</v>
      </c>
      <c r="E102" s="285" t="s">
        <v>297</v>
      </c>
      <c r="F102" s="12"/>
    </row>
    <row r="103" spans="1:6" x14ac:dyDescent="0.25">
      <c r="A103" s="25" t="s">
        <v>311</v>
      </c>
      <c r="B103" s="32" t="s">
        <v>299</v>
      </c>
      <c r="C103" s="290" t="s">
        <v>312</v>
      </c>
      <c r="D103" s="284" t="s">
        <v>297</v>
      </c>
      <c r="E103" s="285" t="s">
        <v>297</v>
      </c>
      <c r="F103" s="12"/>
    </row>
    <row r="104" spans="1:6" x14ac:dyDescent="0.25">
      <c r="A104" s="25" t="s">
        <v>313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314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315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316</v>
      </c>
      <c r="B107" s="32" t="s">
        <v>299</v>
      </c>
      <c r="C107" s="287" t="s">
        <v>317</v>
      </c>
      <c r="D107" s="284" t="s">
        <v>297</v>
      </c>
      <c r="E107" s="285" t="s">
        <v>297</v>
      </c>
      <c r="F107" s="12"/>
    </row>
    <row r="108" spans="1:6" x14ac:dyDescent="0.25">
      <c r="A108" s="25" t="s">
        <v>318</v>
      </c>
      <c r="B108" s="32" t="s">
        <v>299</v>
      </c>
      <c r="C108" s="287" t="s">
        <v>319</v>
      </c>
      <c r="D108" s="284" t="s">
        <v>297</v>
      </c>
      <c r="E108" s="285" t="s">
        <v>297</v>
      </c>
      <c r="F108" s="12"/>
    </row>
    <row r="109" spans="1:6" x14ac:dyDescent="0.25">
      <c r="A109" s="33" t="s">
        <v>320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321</v>
      </c>
      <c r="B110" s="32" t="s">
        <v>299</v>
      </c>
      <c r="C110" s="339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322</v>
      </c>
      <c r="B111" s="30"/>
      <c r="C111" s="30"/>
      <c r="D111" s="30"/>
      <c r="E111" s="30"/>
    </row>
    <row r="112" spans="1:6" x14ac:dyDescent="0.25">
      <c r="A112" s="34" t="s">
        <v>323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311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324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325</v>
      </c>
      <c r="B116" s="34"/>
      <c r="C116" s="34"/>
      <c r="D116" s="34"/>
      <c r="E116" s="34"/>
    </row>
    <row r="117" spans="1:5" x14ac:dyDescent="0.25">
      <c r="A117" s="16" t="s">
        <v>326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327</v>
      </c>
      <c r="B119" s="34"/>
      <c r="C119" s="34"/>
      <c r="D119" s="34"/>
      <c r="E119" s="34"/>
    </row>
    <row r="120" spans="1:5" x14ac:dyDescent="0.25">
      <c r="A120" s="16" t="s">
        <v>328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329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330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331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332</v>
      </c>
      <c r="B126" s="16"/>
      <c r="C126" s="17" t="s">
        <v>333</v>
      </c>
      <c r="D126" s="18" t="s">
        <v>241</v>
      </c>
      <c r="E126" s="16"/>
    </row>
    <row r="127" spans="1:5" x14ac:dyDescent="0.25">
      <c r="A127" s="16" t="s">
        <v>334</v>
      </c>
      <c r="B127" s="35" t="s">
        <v>299</v>
      </c>
      <c r="C127" s="292">
        <v>1122</v>
      </c>
      <c r="D127" s="295">
        <v>3192</v>
      </c>
      <c r="E127" s="16"/>
    </row>
    <row r="128" spans="1:5" x14ac:dyDescent="0.25">
      <c r="A128" s="16" t="s">
        <v>335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336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337</v>
      </c>
      <c r="B130" s="35" t="s">
        <v>299</v>
      </c>
      <c r="C130" s="292">
        <v>383</v>
      </c>
      <c r="D130" s="295">
        <v>719</v>
      </c>
      <c r="E130" s="16"/>
    </row>
    <row r="131" spans="1:5" x14ac:dyDescent="0.25">
      <c r="A131" s="21" t="s">
        <v>338</v>
      </c>
      <c r="B131" s="16"/>
      <c r="C131" s="17" t="s">
        <v>193</v>
      </c>
      <c r="D131" s="16"/>
      <c r="E131" s="16"/>
    </row>
    <row r="132" spans="1:5" x14ac:dyDescent="0.25">
      <c r="A132" s="16" t="s">
        <v>339</v>
      </c>
      <c r="B132" s="35" t="s">
        <v>299</v>
      </c>
      <c r="C132" s="340">
        <v>2</v>
      </c>
      <c r="D132" s="16"/>
      <c r="E132" s="16"/>
    </row>
    <row r="133" spans="1:5" x14ac:dyDescent="0.25">
      <c r="A133" s="16" t="s">
        <v>340</v>
      </c>
      <c r="B133" s="35" t="s">
        <v>299</v>
      </c>
      <c r="C133" s="340">
        <v>0</v>
      </c>
      <c r="D133" s="16"/>
      <c r="E133" s="16"/>
    </row>
    <row r="134" spans="1:5" x14ac:dyDescent="0.25">
      <c r="A134" s="16" t="s">
        <v>341</v>
      </c>
      <c r="B134" s="35" t="s">
        <v>299</v>
      </c>
      <c r="C134" s="340">
        <v>13</v>
      </c>
      <c r="D134" s="16"/>
      <c r="E134" s="16"/>
    </row>
    <row r="135" spans="1:5" x14ac:dyDescent="0.25">
      <c r="A135" s="16" t="s">
        <v>342</v>
      </c>
      <c r="B135" s="35" t="s">
        <v>299</v>
      </c>
      <c r="C135" s="340">
        <v>0</v>
      </c>
      <c r="D135" s="16"/>
      <c r="E135" s="16"/>
    </row>
    <row r="136" spans="1:5" x14ac:dyDescent="0.25">
      <c r="A136" s="16" t="s">
        <v>343</v>
      </c>
      <c r="B136" s="35" t="s">
        <v>299</v>
      </c>
      <c r="C136" s="340">
        <v>8</v>
      </c>
      <c r="D136" s="16"/>
      <c r="E136" s="16"/>
    </row>
    <row r="137" spans="1:5" x14ac:dyDescent="0.25">
      <c r="A137" s="16" t="s">
        <v>344</v>
      </c>
      <c r="B137" s="35" t="s">
        <v>299</v>
      </c>
      <c r="C137" s="340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340">
        <v>0</v>
      </c>
      <c r="D138" s="16"/>
      <c r="E138" s="16"/>
    </row>
    <row r="139" spans="1:5" x14ac:dyDescent="0.25">
      <c r="A139" s="16" t="s">
        <v>345</v>
      </c>
      <c r="B139" s="35" t="s">
        <v>299</v>
      </c>
      <c r="C139" s="340">
        <v>0</v>
      </c>
      <c r="D139" s="16"/>
      <c r="E139" s="16"/>
    </row>
    <row r="140" spans="1:5" x14ac:dyDescent="0.25">
      <c r="A140" s="16" t="s">
        <v>346</v>
      </c>
      <c r="B140" s="35"/>
      <c r="C140" s="340">
        <v>2</v>
      </c>
      <c r="D140" s="16"/>
      <c r="E140" s="16"/>
    </row>
    <row r="141" spans="1:5" x14ac:dyDescent="0.25">
      <c r="A141" s="16" t="s">
        <v>336</v>
      </c>
      <c r="B141" s="35" t="s">
        <v>299</v>
      </c>
      <c r="C141" s="340">
        <v>0</v>
      </c>
      <c r="D141" s="16"/>
      <c r="E141" s="16"/>
    </row>
    <row r="142" spans="1:5" x14ac:dyDescent="0.25">
      <c r="A142" s="16" t="s">
        <v>347</v>
      </c>
      <c r="B142" s="35" t="s">
        <v>299</v>
      </c>
      <c r="C142" s="340">
        <v>0</v>
      </c>
      <c r="D142" s="16"/>
      <c r="E142" s="16"/>
    </row>
    <row r="143" spans="1:5" x14ac:dyDescent="0.25">
      <c r="A143" s="16" t="s">
        <v>348</v>
      </c>
      <c r="B143" s="16"/>
      <c r="C143" s="22"/>
      <c r="D143" s="16"/>
      <c r="E143" s="25">
        <v>25</v>
      </c>
    </row>
    <row r="144" spans="1:5" x14ac:dyDescent="0.25">
      <c r="A144" s="16" t="s">
        <v>349</v>
      </c>
      <c r="B144" s="35" t="s">
        <v>299</v>
      </c>
      <c r="C144" s="292">
        <v>42</v>
      </c>
      <c r="D144" s="16"/>
      <c r="E144" s="16"/>
    </row>
    <row r="145" spans="1:6" x14ac:dyDescent="0.25">
      <c r="A145" s="16" t="s">
        <v>350</v>
      </c>
      <c r="B145" s="35" t="s">
        <v>299</v>
      </c>
      <c r="C145" s="292">
        <v>8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351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352</v>
      </c>
      <c r="B152" s="37"/>
      <c r="C152" s="37"/>
      <c r="D152" s="37"/>
      <c r="E152" s="37"/>
    </row>
    <row r="153" spans="1:6" x14ac:dyDescent="0.25">
      <c r="A153" s="38" t="s">
        <v>353</v>
      </c>
      <c r="B153" s="39" t="s">
        <v>354</v>
      </c>
      <c r="C153" s="40" t="s">
        <v>355</v>
      </c>
      <c r="D153" s="39" t="s">
        <v>158</v>
      </c>
      <c r="E153" s="39" t="s">
        <v>229</v>
      </c>
    </row>
    <row r="154" spans="1:6" x14ac:dyDescent="0.25">
      <c r="A154" s="16" t="s">
        <v>333</v>
      </c>
      <c r="B154" s="272">
        <v>478</v>
      </c>
      <c r="C154" s="272">
        <v>155</v>
      </c>
      <c r="D154" s="272">
        <v>489</v>
      </c>
      <c r="E154" s="25">
        <v>1122</v>
      </c>
    </row>
    <row r="155" spans="1:6" x14ac:dyDescent="0.25">
      <c r="A155" s="16" t="s">
        <v>241</v>
      </c>
      <c r="B155" s="272">
        <v>1472</v>
      </c>
      <c r="C155" s="272">
        <v>402</v>
      </c>
      <c r="D155" s="272">
        <v>1318</v>
      </c>
      <c r="E155" s="25">
        <v>3192</v>
      </c>
    </row>
    <row r="156" spans="1:6" x14ac:dyDescent="0.25">
      <c r="A156" s="16" t="s">
        <v>356</v>
      </c>
      <c r="B156" s="272">
        <v>31184</v>
      </c>
      <c r="C156" s="272">
        <v>19495</v>
      </c>
      <c r="D156" s="272">
        <v>73772</v>
      </c>
      <c r="E156" s="25">
        <v>124451</v>
      </c>
    </row>
    <row r="157" spans="1:6" x14ac:dyDescent="0.25">
      <c r="A157" s="16" t="s">
        <v>286</v>
      </c>
      <c r="B157" s="295">
        <v>11746678</v>
      </c>
      <c r="C157" s="295">
        <v>3227840</v>
      </c>
      <c r="D157" s="295">
        <v>13696942</v>
      </c>
      <c r="E157" s="25">
        <v>28671460</v>
      </c>
      <c r="F157" s="14"/>
    </row>
    <row r="158" spans="1:6" x14ac:dyDescent="0.25">
      <c r="A158" s="16" t="s">
        <v>287</v>
      </c>
      <c r="B158" s="295">
        <v>68205147</v>
      </c>
      <c r="C158" s="295">
        <v>25688059</v>
      </c>
      <c r="D158" s="295">
        <v>109936666</v>
      </c>
      <c r="E158" s="25">
        <v>203829872</v>
      </c>
      <c r="F158" s="14"/>
    </row>
    <row r="159" spans="1:6" x14ac:dyDescent="0.25">
      <c r="A159" s="38" t="s">
        <v>357</v>
      </c>
      <c r="B159" s="39" t="s">
        <v>354</v>
      </c>
      <c r="C159" s="40" t="s">
        <v>355</v>
      </c>
      <c r="D159" s="39" t="s">
        <v>158</v>
      </c>
      <c r="E159" s="39" t="s">
        <v>229</v>
      </c>
    </row>
    <row r="160" spans="1:6" x14ac:dyDescent="0.25">
      <c r="A160" s="16" t="s">
        <v>333</v>
      </c>
      <c r="B160" s="272">
        <v>0</v>
      </c>
      <c r="C160" s="272">
        <v>0</v>
      </c>
      <c r="D160" s="272">
        <v>0</v>
      </c>
      <c r="E160" s="25">
        <v>0</v>
      </c>
    </row>
    <row r="161" spans="1:7" x14ac:dyDescent="0.25">
      <c r="A161" s="16" t="s">
        <v>241</v>
      </c>
      <c r="B161" s="272">
        <v>0</v>
      </c>
      <c r="C161" s="272">
        <v>0</v>
      </c>
      <c r="D161" s="272">
        <v>0</v>
      </c>
      <c r="E161" s="25">
        <v>0</v>
      </c>
    </row>
    <row r="162" spans="1:7" x14ac:dyDescent="0.25">
      <c r="A162" s="16" t="s">
        <v>356</v>
      </c>
      <c r="B162" s="272">
        <v>0</v>
      </c>
      <c r="C162" s="272">
        <v>0</v>
      </c>
      <c r="D162" s="272">
        <v>0</v>
      </c>
      <c r="E162" s="25">
        <v>0</v>
      </c>
    </row>
    <row r="163" spans="1:7" x14ac:dyDescent="0.25">
      <c r="A163" s="16" t="s">
        <v>286</v>
      </c>
      <c r="B163" s="272">
        <v>0</v>
      </c>
      <c r="C163" s="272">
        <v>0</v>
      </c>
      <c r="D163" s="272">
        <v>0</v>
      </c>
      <c r="E163" s="25">
        <v>0</v>
      </c>
    </row>
    <row r="164" spans="1:7" x14ac:dyDescent="0.25">
      <c r="A164" s="16" t="s">
        <v>287</v>
      </c>
      <c r="B164" s="272">
        <v>0</v>
      </c>
      <c r="C164" s="272">
        <v>0</v>
      </c>
      <c r="D164" s="272">
        <v>0</v>
      </c>
      <c r="E164" s="25">
        <v>0</v>
      </c>
    </row>
    <row r="165" spans="1:7" x14ac:dyDescent="0.25">
      <c r="A165" s="38" t="s">
        <v>358</v>
      </c>
      <c r="B165" s="39" t="s">
        <v>354</v>
      </c>
      <c r="C165" s="40" t="s">
        <v>355</v>
      </c>
      <c r="D165" s="39" t="s">
        <v>158</v>
      </c>
      <c r="E165" s="39" t="s">
        <v>229</v>
      </c>
    </row>
    <row r="166" spans="1:7" x14ac:dyDescent="0.25">
      <c r="A166" s="16" t="s">
        <v>333</v>
      </c>
      <c r="B166" s="295">
        <v>0</v>
      </c>
      <c r="C166" s="295">
        <v>0</v>
      </c>
      <c r="D166" s="295">
        <v>0</v>
      </c>
      <c r="E166" s="25">
        <v>0</v>
      </c>
      <c r="G166" s="341"/>
    </row>
    <row r="167" spans="1:7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7" x14ac:dyDescent="0.25">
      <c r="A168" s="16" t="s">
        <v>356</v>
      </c>
      <c r="B168" s="295">
        <v>0</v>
      </c>
      <c r="C168" s="295">
        <v>0</v>
      </c>
      <c r="D168" s="295">
        <v>0</v>
      </c>
      <c r="E168" s="25">
        <v>0</v>
      </c>
    </row>
    <row r="169" spans="1:7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  <c r="G169" s="342"/>
    </row>
    <row r="170" spans="1:7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7" x14ac:dyDescent="0.25">
      <c r="A171" s="20"/>
      <c r="B171" s="20"/>
      <c r="C171" s="41"/>
      <c r="D171" s="42"/>
      <c r="E171" s="16"/>
    </row>
    <row r="172" spans="1:7" x14ac:dyDescent="0.25">
      <c r="A172" s="38" t="s">
        <v>359</v>
      </c>
      <c r="B172" s="39" t="s">
        <v>360</v>
      </c>
      <c r="C172" s="40" t="s">
        <v>361</v>
      </c>
      <c r="D172" s="16"/>
      <c r="E172" s="16"/>
    </row>
    <row r="173" spans="1:7" x14ac:dyDescent="0.25">
      <c r="A173" s="20" t="s">
        <v>362</v>
      </c>
      <c r="B173" s="295">
        <v>8831533</v>
      </c>
      <c r="C173" s="295">
        <v>7458436</v>
      </c>
      <c r="D173" s="16"/>
      <c r="E173" s="16"/>
    </row>
    <row r="174" spans="1:7" x14ac:dyDescent="0.25">
      <c r="A174" s="20"/>
      <c r="B174" s="42"/>
      <c r="C174" s="41"/>
      <c r="D174" s="16"/>
      <c r="E174" s="16"/>
    </row>
    <row r="175" spans="1:7" x14ac:dyDescent="0.25">
      <c r="A175" s="20"/>
      <c r="B175" s="20"/>
      <c r="C175" s="41"/>
      <c r="D175" s="42"/>
      <c r="E175" s="16"/>
    </row>
    <row r="176" spans="1:7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363</v>
      </c>
      <c r="B179" s="30"/>
      <c r="C179" s="30"/>
      <c r="D179" s="30"/>
      <c r="E179" s="30"/>
    </row>
    <row r="180" spans="1:5" x14ac:dyDescent="0.25">
      <c r="A180" s="34" t="s">
        <v>364</v>
      </c>
      <c r="B180" s="34"/>
      <c r="C180" s="34"/>
      <c r="D180" s="34"/>
      <c r="E180" s="34"/>
    </row>
    <row r="181" spans="1:5" x14ac:dyDescent="0.25">
      <c r="A181" s="16" t="s">
        <v>365</v>
      </c>
      <c r="B181" s="35" t="s">
        <v>299</v>
      </c>
      <c r="C181" s="292">
        <v>3652889</v>
      </c>
      <c r="D181" s="16"/>
      <c r="E181" s="16"/>
    </row>
    <row r="182" spans="1:5" x14ac:dyDescent="0.25">
      <c r="A182" s="16" t="s">
        <v>366</v>
      </c>
      <c r="B182" s="35" t="s">
        <v>299</v>
      </c>
      <c r="C182" s="292">
        <v>26549</v>
      </c>
      <c r="D182" s="16"/>
      <c r="E182" s="16"/>
    </row>
    <row r="183" spans="1:5" x14ac:dyDescent="0.25">
      <c r="A183" s="20" t="s">
        <v>367</v>
      </c>
      <c r="B183" s="35" t="s">
        <v>299</v>
      </c>
      <c r="C183" s="292">
        <v>338316</v>
      </c>
      <c r="D183" s="16"/>
      <c r="E183" s="16"/>
    </row>
    <row r="184" spans="1:5" x14ac:dyDescent="0.25">
      <c r="A184" s="16" t="s">
        <v>368</v>
      </c>
      <c r="B184" s="35" t="s">
        <v>299</v>
      </c>
      <c r="C184" s="292">
        <v>5525379</v>
      </c>
      <c r="D184" s="16"/>
      <c r="E184" s="16"/>
    </row>
    <row r="185" spans="1:5" x14ac:dyDescent="0.25">
      <c r="A185" s="16" t="s">
        <v>369</v>
      </c>
      <c r="B185" s="35" t="s">
        <v>299</v>
      </c>
      <c r="C185" s="292">
        <v>16339</v>
      </c>
      <c r="D185" s="16"/>
      <c r="E185" s="16"/>
    </row>
    <row r="186" spans="1:5" x14ac:dyDescent="0.25">
      <c r="A186" s="16" t="s">
        <v>370</v>
      </c>
      <c r="B186" s="35" t="s">
        <v>299</v>
      </c>
      <c r="C186" s="292">
        <v>1178965</v>
      </c>
      <c r="D186" s="16"/>
      <c r="E186" s="16"/>
    </row>
    <row r="187" spans="1:5" x14ac:dyDescent="0.25">
      <c r="A187" s="16" t="s">
        <v>371</v>
      </c>
      <c r="B187" s="35" t="s">
        <v>299</v>
      </c>
      <c r="C187" s="292">
        <v>83891</v>
      </c>
      <c r="D187" s="16"/>
      <c r="E187" s="16"/>
    </row>
    <row r="188" spans="1:5" x14ac:dyDescent="0.25">
      <c r="A188" s="16" t="s">
        <v>371</v>
      </c>
      <c r="B188" s="35" t="s">
        <v>299</v>
      </c>
      <c r="C188" s="292">
        <v>1433700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12256028</v>
      </c>
      <c r="E189" s="16"/>
    </row>
    <row r="190" spans="1:5" x14ac:dyDescent="0.25">
      <c r="A190" s="34" t="s">
        <v>372</v>
      </c>
      <c r="B190" s="34"/>
      <c r="C190" s="34"/>
      <c r="D190" s="34"/>
      <c r="E190" s="34"/>
    </row>
    <row r="191" spans="1:5" x14ac:dyDescent="0.25">
      <c r="A191" s="16" t="s">
        <v>373</v>
      </c>
      <c r="B191" s="35" t="s">
        <v>299</v>
      </c>
      <c r="C191" s="292">
        <v>781543</v>
      </c>
      <c r="D191" s="16"/>
      <c r="E191" s="16"/>
    </row>
    <row r="192" spans="1:5" x14ac:dyDescent="0.25">
      <c r="A192" s="16" t="s">
        <v>374</v>
      </c>
      <c r="B192" s="35" t="s">
        <v>299</v>
      </c>
      <c r="C192" s="292">
        <v>447813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1229356</v>
      </c>
      <c r="E193" s="16"/>
    </row>
    <row r="194" spans="1:5" x14ac:dyDescent="0.25">
      <c r="A194" s="34" t="s">
        <v>375</v>
      </c>
      <c r="B194" s="34"/>
      <c r="C194" s="34"/>
      <c r="D194" s="34"/>
      <c r="E194" s="34"/>
    </row>
    <row r="195" spans="1:5" x14ac:dyDescent="0.25">
      <c r="A195" s="16" t="s">
        <v>376</v>
      </c>
      <c r="B195" s="35" t="s">
        <v>299</v>
      </c>
      <c r="C195" s="292">
        <v>41499</v>
      </c>
      <c r="D195" s="16"/>
      <c r="E195" s="16"/>
    </row>
    <row r="196" spans="1:5" x14ac:dyDescent="0.25">
      <c r="A196" s="16" t="s">
        <v>377</v>
      </c>
      <c r="B196" s="35" t="s">
        <v>299</v>
      </c>
      <c r="C196" s="292">
        <v>126345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167844</v>
      </c>
      <c r="E197" s="16"/>
    </row>
    <row r="198" spans="1:5" x14ac:dyDescent="0.25">
      <c r="A198" s="34" t="s">
        <v>378</v>
      </c>
      <c r="B198" s="34"/>
      <c r="C198" s="34"/>
      <c r="D198" s="34"/>
      <c r="E198" s="34"/>
    </row>
    <row r="199" spans="1:5" x14ac:dyDescent="0.25">
      <c r="A199" s="16" t="s">
        <v>379</v>
      </c>
      <c r="B199" s="35" t="s">
        <v>299</v>
      </c>
      <c r="C199" s="292">
        <v>47990</v>
      </c>
      <c r="D199" s="16"/>
      <c r="E199" s="16"/>
    </row>
    <row r="200" spans="1:5" x14ac:dyDescent="0.25">
      <c r="A200" s="16" t="s">
        <v>380</v>
      </c>
      <c r="B200" s="35" t="s">
        <v>299</v>
      </c>
      <c r="C200" s="292">
        <v>1129292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1177282</v>
      </c>
      <c r="E202" s="16"/>
    </row>
    <row r="203" spans="1:5" x14ac:dyDescent="0.25">
      <c r="A203" s="34" t="s">
        <v>381</v>
      </c>
      <c r="B203" s="34"/>
      <c r="C203" s="34"/>
      <c r="D203" s="34"/>
      <c r="E203" s="34"/>
    </row>
    <row r="204" spans="1:5" x14ac:dyDescent="0.25">
      <c r="A204" s="16" t="s">
        <v>382</v>
      </c>
      <c r="B204" s="35" t="s">
        <v>299</v>
      </c>
      <c r="C204" s="292">
        <v>813094</v>
      </c>
      <c r="D204" s="16"/>
      <c r="E204" s="16"/>
    </row>
    <row r="205" spans="1:5" x14ac:dyDescent="0.25">
      <c r="A205" s="16" t="s">
        <v>383</v>
      </c>
      <c r="B205" s="35" t="s">
        <v>299</v>
      </c>
      <c r="C205" s="292">
        <v>42187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855281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384</v>
      </c>
      <c r="B208" s="30"/>
      <c r="C208" s="30"/>
      <c r="D208" s="30"/>
      <c r="E208" s="30"/>
    </row>
    <row r="209" spans="1:5" x14ac:dyDescent="0.25">
      <c r="A209" s="37" t="s">
        <v>385</v>
      </c>
      <c r="B209" s="30"/>
      <c r="C209" s="30"/>
      <c r="D209" s="30"/>
      <c r="E209" s="30"/>
    </row>
    <row r="210" spans="1:5" x14ac:dyDescent="0.25">
      <c r="A210" s="21"/>
      <c r="B210" s="18" t="s">
        <v>386</v>
      </c>
      <c r="C210" s="17" t="s">
        <v>387</v>
      </c>
      <c r="D210" s="18" t="s">
        <v>388</v>
      </c>
      <c r="E210" s="18" t="s">
        <v>389</v>
      </c>
    </row>
    <row r="211" spans="1:5" x14ac:dyDescent="0.25">
      <c r="A211" s="16" t="s">
        <v>390</v>
      </c>
      <c r="B211" s="272">
        <v>1813305</v>
      </c>
      <c r="C211" s="294">
        <v>0</v>
      </c>
      <c r="D211" s="272">
        <v>0</v>
      </c>
      <c r="E211" s="25">
        <v>1813305</v>
      </c>
    </row>
    <row r="212" spans="1:5" x14ac:dyDescent="0.25">
      <c r="A212" s="16" t="s">
        <v>391</v>
      </c>
      <c r="B212" s="272">
        <v>2670216</v>
      </c>
      <c r="C212" s="294">
        <v>0</v>
      </c>
      <c r="D212" s="272">
        <v>0</v>
      </c>
      <c r="E212" s="25">
        <v>2670216</v>
      </c>
    </row>
    <row r="213" spans="1:5" x14ac:dyDescent="0.25">
      <c r="A213" s="16" t="s">
        <v>392</v>
      </c>
      <c r="B213" s="272">
        <v>19122003.370000001</v>
      </c>
      <c r="C213" s="294">
        <v>2850487</v>
      </c>
      <c r="D213" s="272">
        <v>0</v>
      </c>
      <c r="E213" s="25">
        <v>21972490.370000001</v>
      </c>
    </row>
    <row r="214" spans="1:5" x14ac:dyDescent="0.25">
      <c r="A214" s="16" t="s">
        <v>393</v>
      </c>
      <c r="B214" s="272">
        <v>10013466.35</v>
      </c>
      <c r="C214" s="294">
        <v>155345</v>
      </c>
      <c r="D214" s="272">
        <v>0</v>
      </c>
      <c r="E214" s="25">
        <v>10168811.35</v>
      </c>
    </row>
    <row r="215" spans="1:5" x14ac:dyDescent="0.25">
      <c r="A215" s="16" t="s">
        <v>394</v>
      </c>
      <c r="B215" s="272">
        <v>524151</v>
      </c>
      <c r="C215" s="294">
        <v>0</v>
      </c>
      <c r="D215" s="272">
        <v>0</v>
      </c>
      <c r="E215" s="25">
        <v>524151</v>
      </c>
    </row>
    <row r="216" spans="1:5" x14ac:dyDescent="0.25">
      <c r="A216" s="16" t="s">
        <v>395</v>
      </c>
      <c r="B216" s="272">
        <v>18137009.579999998</v>
      </c>
      <c r="C216" s="294">
        <v>8260183</v>
      </c>
      <c r="D216" s="272">
        <v>161477</v>
      </c>
      <c r="E216" s="25">
        <v>26235715.579999998</v>
      </c>
    </row>
    <row r="217" spans="1:5" x14ac:dyDescent="0.25">
      <c r="A217" s="16" t="s">
        <v>396</v>
      </c>
      <c r="B217" s="272">
        <v>0</v>
      </c>
      <c r="C217" s="294">
        <v>0</v>
      </c>
      <c r="D217" s="272">
        <v>0</v>
      </c>
      <c r="E217" s="25">
        <v>0</v>
      </c>
    </row>
    <row r="218" spans="1:5" x14ac:dyDescent="0.25">
      <c r="A218" s="16" t="s">
        <v>397</v>
      </c>
      <c r="B218" s="272">
        <v>110880</v>
      </c>
      <c r="C218" s="294">
        <v>328921</v>
      </c>
      <c r="D218" s="272">
        <v>0</v>
      </c>
      <c r="E218" s="25">
        <v>439801</v>
      </c>
    </row>
    <row r="219" spans="1:5" x14ac:dyDescent="0.25">
      <c r="A219" s="16" t="s">
        <v>398</v>
      </c>
      <c r="B219" s="295">
        <v>5710016</v>
      </c>
      <c r="C219" s="292">
        <v>3745294</v>
      </c>
      <c r="D219" s="295">
        <v>8919653</v>
      </c>
      <c r="E219" s="25">
        <v>535657</v>
      </c>
    </row>
    <row r="220" spans="1:5" x14ac:dyDescent="0.25">
      <c r="A220" s="16" t="s">
        <v>229</v>
      </c>
      <c r="B220" s="25">
        <v>58101047.299999997</v>
      </c>
      <c r="C220" s="225">
        <v>15340230</v>
      </c>
      <c r="D220" s="25">
        <v>9081130</v>
      </c>
      <c r="E220" s="25">
        <v>64360147.299999997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386</v>
      </c>
      <c r="C223" s="17" t="s">
        <v>387</v>
      </c>
      <c r="D223" s="18" t="s">
        <v>388</v>
      </c>
      <c r="E223" s="18" t="s">
        <v>389</v>
      </c>
    </row>
    <row r="224" spans="1:5" x14ac:dyDescent="0.25">
      <c r="A224" s="16" t="s">
        <v>390</v>
      </c>
      <c r="B224" s="42"/>
      <c r="C224" s="41"/>
      <c r="D224" s="42"/>
      <c r="E224" s="16"/>
    </row>
    <row r="225" spans="1:5" x14ac:dyDescent="0.25">
      <c r="A225" s="16" t="s">
        <v>391</v>
      </c>
      <c r="B225" s="295">
        <v>978573.23</v>
      </c>
      <c r="C225" s="292">
        <v>89839</v>
      </c>
      <c r="D225" s="295">
        <v>0</v>
      </c>
      <c r="E225" s="25">
        <v>1068412.23</v>
      </c>
    </row>
    <row r="226" spans="1:5" x14ac:dyDescent="0.25">
      <c r="A226" s="16" t="s">
        <v>392</v>
      </c>
      <c r="B226" s="295">
        <v>5989672.040000001</v>
      </c>
      <c r="C226" s="292">
        <v>886201</v>
      </c>
      <c r="D226" s="295">
        <v>70560</v>
      </c>
      <c r="E226" s="25">
        <v>6805313.040000001</v>
      </c>
    </row>
    <row r="227" spans="1:5" x14ac:dyDescent="0.25">
      <c r="A227" s="16" t="s">
        <v>393</v>
      </c>
      <c r="B227" s="295">
        <v>6874078.5099999998</v>
      </c>
      <c r="C227" s="292">
        <v>536743</v>
      </c>
      <c r="D227" s="295">
        <v>0</v>
      </c>
      <c r="E227" s="25">
        <v>7410821.5099999998</v>
      </c>
    </row>
    <row r="228" spans="1:5" x14ac:dyDescent="0.25">
      <c r="A228" s="16" t="s">
        <v>394</v>
      </c>
      <c r="B228" s="295">
        <v>95758.739999999991</v>
      </c>
      <c r="C228" s="292">
        <v>35534</v>
      </c>
      <c r="D228" s="295">
        <v>0</v>
      </c>
      <c r="E228" s="25">
        <v>131292.74</v>
      </c>
    </row>
    <row r="229" spans="1:5" x14ac:dyDescent="0.25">
      <c r="A229" s="16" t="s">
        <v>395</v>
      </c>
      <c r="B229" s="295">
        <v>11182712.390000001</v>
      </c>
      <c r="C229" s="292">
        <v>3145105</v>
      </c>
      <c r="D229" s="295">
        <v>194791.1</v>
      </c>
      <c r="E229" s="25">
        <v>14133026.290000001</v>
      </c>
    </row>
    <row r="230" spans="1:5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397</v>
      </c>
      <c r="B231" s="295">
        <v>30201</v>
      </c>
      <c r="C231" s="292">
        <v>115644</v>
      </c>
      <c r="D231" s="295">
        <v>0</v>
      </c>
      <c r="E231" s="25">
        <v>145845</v>
      </c>
    </row>
    <row r="232" spans="1:5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25150995.910000004</v>
      </c>
      <c r="C233" s="225">
        <v>4809066</v>
      </c>
      <c r="D233" s="25">
        <v>265351.09999999998</v>
      </c>
      <c r="E233" s="25">
        <v>29694710.810000002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400</v>
      </c>
      <c r="B235" s="30"/>
      <c r="C235" s="30"/>
      <c r="D235" s="30"/>
      <c r="E235" s="30"/>
    </row>
    <row r="236" spans="1:5" x14ac:dyDescent="0.25">
      <c r="A236" s="30"/>
      <c r="B236" s="347" t="s">
        <v>401</v>
      </c>
      <c r="C236" s="347"/>
      <c r="D236" s="30"/>
      <c r="E236" s="30"/>
    </row>
    <row r="237" spans="1:5" x14ac:dyDescent="0.25">
      <c r="A237" s="43" t="s">
        <v>401</v>
      </c>
      <c r="B237" s="30"/>
      <c r="C237" s="292">
        <v>3515122</v>
      </c>
      <c r="D237" s="32">
        <v>3515122</v>
      </c>
      <c r="E237" s="30"/>
    </row>
    <row r="238" spans="1:5" x14ac:dyDescent="0.25">
      <c r="A238" s="34" t="s">
        <v>402</v>
      </c>
      <c r="B238" s="34"/>
      <c r="C238" s="34"/>
      <c r="D238" s="34"/>
      <c r="E238" s="34"/>
    </row>
    <row r="239" spans="1:5" x14ac:dyDescent="0.25">
      <c r="A239" s="16" t="s">
        <v>403</v>
      </c>
      <c r="B239" s="35" t="s">
        <v>299</v>
      </c>
      <c r="C239" s="292">
        <v>45908221</v>
      </c>
      <c r="D239" s="16"/>
      <c r="E239" s="16"/>
    </row>
    <row r="240" spans="1:5" x14ac:dyDescent="0.25">
      <c r="A240" s="16" t="s">
        <v>404</v>
      </c>
      <c r="B240" s="35" t="s">
        <v>299</v>
      </c>
      <c r="C240" s="292">
        <v>13294844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4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4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4">
        <v>33672033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4">
        <v>30820695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123695793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1113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23534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847043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870577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4"/>
      <c r="D254" s="16"/>
      <c r="E254" s="16"/>
    </row>
    <row r="255" spans="1:5" x14ac:dyDescent="0.25">
      <c r="A255" s="16" t="s">
        <v>415</v>
      </c>
      <c r="B255" s="35" t="s">
        <v>299</v>
      </c>
      <c r="C255" s="294"/>
      <c r="D255" s="16"/>
      <c r="E255" s="16"/>
    </row>
    <row r="256" spans="1:5" x14ac:dyDescent="0.25">
      <c r="A256" s="16" t="s">
        <v>417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128081492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42960961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47672737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24991019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10617561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2692645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2763395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81716280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390</v>
      </c>
      <c r="B283" s="35" t="s">
        <v>299</v>
      </c>
      <c r="C283" s="292">
        <v>1813305</v>
      </c>
      <c r="D283" s="16"/>
      <c r="E283" s="16"/>
    </row>
    <row r="284" spans="1:5" x14ac:dyDescent="0.25">
      <c r="A284" s="16" t="s">
        <v>391</v>
      </c>
      <c r="B284" s="35" t="s">
        <v>299</v>
      </c>
      <c r="C284" s="292">
        <v>2670216</v>
      </c>
      <c r="D284" s="16"/>
      <c r="E284" s="16"/>
    </row>
    <row r="285" spans="1:5" x14ac:dyDescent="0.25">
      <c r="A285" s="16" t="s">
        <v>392</v>
      </c>
      <c r="B285" s="35" t="s">
        <v>299</v>
      </c>
      <c r="C285" s="292">
        <v>21972490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10168811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524151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26235716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439801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535657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64360147</v>
      </c>
      <c r="E291" s="16"/>
    </row>
    <row r="292" spans="1:5" x14ac:dyDescent="0.25">
      <c r="A292" s="16" t="s">
        <v>440</v>
      </c>
      <c r="B292" s="35" t="s">
        <v>299</v>
      </c>
      <c r="C292" s="292">
        <v>29694712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34665435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6077660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2258178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806880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4626362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452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453</v>
      </c>
      <c r="B308" s="16"/>
      <c r="C308" s="22"/>
      <c r="D308" s="25">
        <v>121008077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454</v>
      </c>
      <c r="B312" s="30"/>
      <c r="C312" s="30"/>
      <c r="D312" s="30"/>
      <c r="E312" s="30"/>
    </row>
    <row r="313" spans="1:5" x14ac:dyDescent="0.25">
      <c r="A313" s="34" t="s">
        <v>455</v>
      </c>
      <c r="B313" s="34"/>
      <c r="C313" s="34"/>
      <c r="D313" s="34"/>
      <c r="E313" s="34"/>
    </row>
    <row r="314" spans="1:5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457</v>
      </c>
      <c r="B315" s="35" t="s">
        <v>299</v>
      </c>
      <c r="C315" s="292">
        <v>6752239</v>
      </c>
      <c r="D315" s="16"/>
      <c r="E315" s="16"/>
    </row>
    <row r="316" spans="1:5" x14ac:dyDescent="0.25">
      <c r="A316" s="16" t="s">
        <v>458</v>
      </c>
      <c r="B316" s="35" t="s">
        <v>299</v>
      </c>
      <c r="C316" s="292">
        <v>5503219</v>
      </c>
      <c r="D316" s="16"/>
      <c r="E316" s="16"/>
    </row>
    <row r="317" spans="1:5" x14ac:dyDescent="0.25">
      <c r="A317" s="16" t="s">
        <v>459</v>
      </c>
      <c r="B317" s="35" t="s">
        <v>299</v>
      </c>
      <c r="C317" s="292">
        <v>393637</v>
      </c>
      <c r="D317" s="16"/>
      <c r="E317" s="16"/>
    </row>
    <row r="318" spans="1:5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461</v>
      </c>
      <c r="B319" s="35" t="s">
        <v>299</v>
      </c>
      <c r="C319" s="292">
        <v>10315</v>
      </c>
      <c r="D319" s="16"/>
      <c r="E319" s="16"/>
    </row>
    <row r="320" spans="1:5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3819481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16478891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224785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224785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2918800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38008832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40927632</v>
      </c>
      <c r="E339" s="16"/>
    </row>
    <row r="340" spans="1:5" x14ac:dyDescent="0.25">
      <c r="A340" s="16" t="s">
        <v>481</v>
      </c>
      <c r="B340" s="16"/>
      <c r="C340" s="22"/>
      <c r="D340" s="25">
        <v>0</v>
      </c>
      <c r="E340" s="16"/>
    </row>
    <row r="341" spans="1:5" x14ac:dyDescent="0.25">
      <c r="A341" s="16" t="s">
        <v>482</v>
      </c>
      <c r="B341" s="16"/>
      <c r="C341" s="22"/>
      <c r="D341" s="25">
        <v>40927632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63376769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121008077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121008077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3">
        <v>28671460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3">
        <v>203829872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232501332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3515122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114600681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870577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4709414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123695794</v>
      </c>
      <c r="E366" s="16"/>
    </row>
    <row r="367" spans="1:5" x14ac:dyDescent="0.25">
      <c r="A367" s="16" t="s">
        <v>500</v>
      </c>
      <c r="B367" s="16"/>
      <c r="C367" s="22"/>
      <c r="D367" s="25">
        <v>108805538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38000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3540670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666636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63427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506996.19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688931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5504660.1900000004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675655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6180315.1900000004</v>
      </c>
      <c r="E383" s="16"/>
    </row>
    <row r="384" spans="1:6" x14ac:dyDescent="0.25">
      <c r="A384" s="16" t="s">
        <v>517</v>
      </c>
      <c r="B384" s="16"/>
      <c r="C384" s="22"/>
      <c r="D384" s="25">
        <v>114985853.19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51238710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12256028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13968402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17135519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1122589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7078687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4515957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1229356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2">
        <v>167844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2">
        <v>29439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2">
        <v>855281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463944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472074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1147843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952641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3036502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112634314</v>
      </c>
      <c r="E416" s="25"/>
    </row>
    <row r="417" spans="1:13" x14ac:dyDescent="0.25">
      <c r="A417" s="25" t="s">
        <v>531</v>
      </c>
      <c r="B417" s="16"/>
      <c r="C417" s="22"/>
      <c r="D417" s="25">
        <v>2351539.1899999976</v>
      </c>
      <c r="E417" s="25"/>
    </row>
    <row r="418" spans="1:13" x14ac:dyDescent="0.25">
      <c r="A418" s="25" t="s">
        <v>532</v>
      </c>
      <c r="B418" s="16"/>
      <c r="C418" s="294">
        <v>-258725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-258725</v>
      </c>
      <c r="E420" s="25"/>
    </row>
    <row r="421" spans="1:13" x14ac:dyDescent="0.25">
      <c r="A421" s="25" t="s">
        <v>535</v>
      </c>
      <c r="B421" s="16"/>
      <c r="C421" s="22"/>
      <c r="D421" s="25">
        <v>2092814.1899999976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2092814.1899999976</v>
      </c>
      <c r="E424" s="16"/>
    </row>
    <row r="426" spans="1:13" ht="29.1" customHeight="1" x14ac:dyDescent="0.25">
      <c r="A426" s="349" t="s">
        <v>539</v>
      </c>
      <c r="B426" s="349"/>
      <c r="C426" s="349"/>
      <c r="D426" s="349"/>
      <c r="E426" s="349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116559</v>
      </c>
      <c r="E612" s="219">
        <f>SUM(C624:D647)+SUM(C668:D713)</f>
        <v>104096385.10487357</v>
      </c>
      <c r="F612" s="219">
        <f>CE64-(AX64+BD64+BE64+BG64+BJ64+BN64+BP64+BQ64+CB64+CC64+CD64)</f>
        <v>16989311</v>
      </c>
      <c r="G612" s="217">
        <f>CE91-(AX91+AY91+BD91+BE91+BG91+BJ91+BN91+BP91+BQ91+CB91+CC91+CD91)</f>
        <v>16387</v>
      </c>
      <c r="H612" s="222">
        <f>CE60-(AX60+AY60+AZ60+BD60+BE60+BG60+BJ60+BN60+BO60+BP60+BQ60+BR60+CB60+CC60+CD60)</f>
        <v>428.60000000000008</v>
      </c>
      <c r="I612" s="217">
        <f>CE92-(AX92+AY92+AZ92+BD92+BE92+BF92+BG92+BJ92+BN92+BO92+BP92+BQ92+BR92+CB92+CC92+CD92)</f>
        <v>25456</v>
      </c>
      <c r="J612" s="217">
        <f>CE93-(AX93+AY93+AZ93+BA93+BD93+BE93+BF93+BG93+BJ93+BN93+BO93+BP93+BQ93+BR93+CB93+CC93+CD93)</f>
        <v>444586</v>
      </c>
      <c r="K612" s="217">
        <f>CE89-(AW89+AX89+AY89+AZ89+BA89+BB89+BC89+BD89+BE89+BF89+BG89+BH89+BI89+BJ89+BK89+BL89+BM89+BN89+BO89+BP89+BQ89+BR89+BS89+BT89+BU89+BV89+BW89+BX89+CB89+CC89+CD89)</f>
        <v>232501332</v>
      </c>
      <c r="L612" s="223">
        <f>CE94-(AW94+AX94+AY94+AZ94+BA94+BB94+BC94+BD94+BE94+BF94+BG94+BH94+BI94+BJ94+BK94+BL94+BM94+BN94+BO94+BP94+BQ94+BR94+BS94+BT94+BU94+BV94+BW94+BX94+BY94+BZ94+CA94+CB94+CC94+CD94)</f>
        <v>90.990000000000009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2309467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2309467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-2411261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1348698.1400000001</v>
      </c>
      <c r="D619" s="217">
        <f>(D615/D612)*BN90</f>
        <v>36437.424935011455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1000673</v>
      </c>
      <c r="D620" s="217">
        <f>(D615/D612)*CC90</f>
        <v>223478.91019140522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1233771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264690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1696487.4751264169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842156</v>
      </c>
      <c r="D624" s="217">
        <f>(D615/D612)*BD90</f>
        <v>56528.533626746968</v>
      </c>
      <c r="E624" s="219">
        <f>(E623/E612)*SUM(C624:D624)</f>
        <v>14646.10950564337</v>
      </c>
      <c r="F624" s="219">
        <f>SUM(C624:E624)</f>
        <v>913330.64313239034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429775</v>
      </c>
      <c r="D625" s="217">
        <f>(D615/D612)*AY90</f>
        <v>4180.6942149469369</v>
      </c>
      <c r="E625" s="219">
        <f>(E623/E612)*SUM(C625:D625)</f>
        <v>7072.2955389252947</v>
      </c>
      <c r="F625" s="219">
        <f>(F624/F612)*AY64</f>
        <v>242.93752561921269</v>
      </c>
      <c r="G625" s="217">
        <f>SUM(C625:F625)</f>
        <v>441270.92727949144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656312</v>
      </c>
      <c r="D626" s="217">
        <f>(D615/D612)*BR90</f>
        <v>0</v>
      </c>
      <c r="E626" s="219">
        <f>(E623/E612)*SUM(C626:D626)</f>
        <v>10696.097531661941</v>
      </c>
      <c r="F626" s="219">
        <f>(F624/F612)*BR64</f>
        <v>576.56670995044385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212491</v>
      </c>
      <c r="D627" s="217">
        <f>(D615/D612)*BO90</f>
        <v>0</v>
      </c>
      <c r="E627" s="219">
        <f>(E623/E612)*SUM(C627:D627)</f>
        <v>3463.0243856586158</v>
      </c>
      <c r="F627" s="219">
        <f>(F624/F612)*BO64</f>
        <v>426.14865359227679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871775</v>
      </c>
      <c r="D628" s="217">
        <f>(D615/D612)*AZ90</f>
        <v>86090.598881253274</v>
      </c>
      <c r="E628" s="219">
        <f>(E623/E612)*SUM(C628:D628)</f>
        <v>15610.599635322316</v>
      </c>
      <c r="F628" s="219">
        <f>(F624/F612)*AZ64</f>
        <v>33389.959277421964</v>
      </c>
      <c r="G628" s="217">
        <f>(G625/G612)*AZ91</f>
        <v>0</v>
      </c>
      <c r="H628" s="219">
        <f>SUM(C626:G628)</f>
        <v>1890830.995074861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1192301</v>
      </c>
      <c r="D629" s="217">
        <f>(D615/D612)*BF90</f>
        <v>88091.784263763417</v>
      </c>
      <c r="E629" s="219">
        <f>(E623/E612)*SUM(C629:D629)</f>
        <v>20866.914058133021</v>
      </c>
      <c r="F629" s="219">
        <f>(F624/F612)*BF64</f>
        <v>3983.1755002665027</v>
      </c>
      <c r="G629" s="217">
        <f>(G625/G612)*BF91</f>
        <v>0</v>
      </c>
      <c r="H629" s="219">
        <f>(H628/H612)*BF60</f>
        <v>59733.671659621119</v>
      </c>
      <c r="I629" s="217">
        <f>SUM(C629:H629)</f>
        <v>1364976.545481784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360981</v>
      </c>
      <c r="D630" s="217">
        <f>(D615/D612)*BA90</f>
        <v>25559.69448948601</v>
      </c>
      <c r="E630" s="219">
        <f>(E623/E612)*SUM(C630:D630)</f>
        <v>6299.5602216870684</v>
      </c>
      <c r="F630" s="219">
        <f>(F624/F612)*BA64</f>
        <v>0</v>
      </c>
      <c r="G630" s="217">
        <f>(G625/G612)*BA91</f>
        <v>0</v>
      </c>
      <c r="H630" s="219">
        <f>(H628/H612)*BA60</f>
        <v>4411.6448788494181</v>
      </c>
      <c r="I630" s="217">
        <f>(I629/I612)*BA92</f>
        <v>8525.7413078096979</v>
      </c>
      <c r="J630" s="217">
        <f>SUM(C630:I630)</f>
        <v>405777.64089783223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743975.44</v>
      </c>
      <c r="D632" s="217">
        <f>(D615/D612)*BB90</f>
        <v>5389.3309311164303</v>
      </c>
      <c r="E632" s="219">
        <f>(E623/E612)*SUM(C632:D632)</f>
        <v>12212.604183179235</v>
      </c>
      <c r="F632" s="219">
        <f>(F624/F612)*BB64</f>
        <v>258.90398835630191</v>
      </c>
      <c r="G632" s="217">
        <f>(G625/G612)*BB91</f>
        <v>0</v>
      </c>
      <c r="H632" s="219">
        <f>(H628/H612)*BB60</f>
        <v>23734.649448209868</v>
      </c>
      <c r="I632" s="217">
        <f>(I629/I612)*BB92</f>
        <v>8525.7413078096979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712083</v>
      </c>
      <c r="D634" s="217">
        <f>(D615/D612)*BI90</f>
        <v>0</v>
      </c>
      <c r="E634" s="219">
        <f>(E623/E612)*SUM(C634:D634)</f>
        <v>11605.012888136176</v>
      </c>
      <c r="F634" s="219">
        <f>(F624/F612)*BI64</f>
        <v>2915.6803805009113</v>
      </c>
      <c r="G634" s="217">
        <f>(G625/G612)*BI91</f>
        <v>0</v>
      </c>
      <c r="H634" s="219">
        <f>(H628/H612)*BI60</f>
        <v>8867.4062064873287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4315964</v>
      </c>
      <c r="D635" s="217">
        <f>(D615/D612)*BK90</f>
        <v>0</v>
      </c>
      <c r="E635" s="219">
        <f>(E623/E612)*SUM(C635:D635)</f>
        <v>70338.454709256868</v>
      </c>
      <c r="F635" s="219">
        <f>(F624/F612)*BK64</f>
        <v>1103.6212576757728</v>
      </c>
      <c r="G635" s="217">
        <f>(G625/G612)*BK91</f>
        <v>0</v>
      </c>
      <c r="H635" s="219">
        <f>(H628/H612)*BK60</f>
        <v>69571.639739455321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3814718</v>
      </c>
      <c r="D636" s="217">
        <f>(D615/D612)*BH90</f>
        <v>25955.968822656338</v>
      </c>
      <c r="E636" s="219">
        <f>(E623/E612)*SUM(C636:D636)</f>
        <v>62592.522089863181</v>
      </c>
      <c r="F636" s="219">
        <f>(F624/F612)*BH64</f>
        <v>2817.1936473886303</v>
      </c>
      <c r="G636" s="217">
        <f>(G625/G612)*BH91</f>
        <v>0</v>
      </c>
      <c r="H636" s="219">
        <f>(H628/H612)*BH60</f>
        <v>37013.700533546624</v>
      </c>
      <c r="I636" s="217">
        <f>(I629/I612)*BH92</f>
        <v>8525.7413078096979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1165192</v>
      </c>
      <c r="D637" s="217">
        <f>(D615/D612)*BL90</f>
        <v>20447.755591588808</v>
      </c>
      <c r="E637" s="219">
        <f>(E623/E612)*SUM(C637:D637)</f>
        <v>19322.697837649564</v>
      </c>
      <c r="F637" s="219">
        <f>(F624/F612)*BL64</f>
        <v>489.20811753370998</v>
      </c>
      <c r="G637" s="217">
        <f>(G625/G612)*BL91</f>
        <v>0</v>
      </c>
      <c r="H637" s="219">
        <f>(H628/H612)*BL60</f>
        <v>79850.772307174469</v>
      </c>
      <c r="I637" s="217">
        <f>(I629/I612)*BL92</f>
        <v>8525.7413078096979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1841733</v>
      </c>
      <c r="D638" s="217">
        <f>(D615/D612)*BM90</f>
        <v>0</v>
      </c>
      <c r="E638" s="219">
        <f>(E623/E612)*SUM(C638:D638)</f>
        <v>30015.230249150314</v>
      </c>
      <c r="F638" s="219">
        <f>(F624/F612)*BM64</f>
        <v>678.11771368903487</v>
      </c>
      <c r="G638" s="217">
        <f>(G625/G612)*BM91</f>
        <v>0</v>
      </c>
      <c r="H638" s="219">
        <f>(H628/H612)*BM60</f>
        <v>12440.838558355359</v>
      </c>
      <c r="I638" s="217">
        <f>(I629/I612)*BM92</f>
        <v>8525.7413078096979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249692</v>
      </c>
      <c r="D639" s="217">
        <f>(D615/D612)*BS90</f>
        <v>9847.4171792825946</v>
      </c>
      <c r="E639" s="219">
        <f>(E623/E612)*SUM(C639:D639)</f>
        <v>4229.7854061182843</v>
      </c>
      <c r="F639" s="219">
        <f>(F624/F612)*BS64</f>
        <v>146.70867612631807</v>
      </c>
      <c r="G639" s="217">
        <f>(G625/G612)*BS91</f>
        <v>0</v>
      </c>
      <c r="H639" s="219">
        <f>(H628/H612)*BS60</f>
        <v>11514.393133796981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538774</v>
      </c>
      <c r="D642" s="217">
        <f>(D615/D612)*BV90</f>
        <v>0</v>
      </c>
      <c r="E642" s="219">
        <f>(E623/E612)*SUM(C642:D642)</f>
        <v>8780.5483543248192</v>
      </c>
      <c r="F642" s="219">
        <f>(F624/F612)*BV64</f>
        <v>211.70346888436811</v>
      </c>
      <c r="G642" s="217">
        <f>(G625/G612)*BV91</f>
        <v>0</v>
      </c>
      <c r="H642" s="219">
        <f>(H628/H612)*BV60</f>
        <v>16411.318949319837</v>
      </c>
      <c r="I642" s="217">
        <f>(I629/I612)*BV92</f>
        <v>8525.7413078096979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1290859</v>
      </c>
      <c r="D643" s="217">
        <f>(D615/D612)*BW90</f>
        <v>4656.2234147513273</v>
      </c>
      <c r="E643" s="219">
        <f>(E623/E612)*SUM(C643:D643)</f>
        <v>21113.368616446125</v>
      </c>
      <c r="F643" s="219">
        <f>(F624/F612)*BW64</f>
        <v>745.20911266508654</v>
      </c>
      <c r="G643" s="217">
        <f>(G625/G612)*BW91</f>
        <v>0</v>
      </c>
      <c r="H643" s="219">
        <f>(H628/H612)*BW60</f>
        <v>9970.3174261996846</v>
      </c>
      <c r="I643" s="217">
        <f>(I629/I612)*BW92</f>
        <v>8525.7413078096979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384956</v>
      </c>
      <c r="D644" s="217">
        <f>(D615/D612)*BX90</f>
        <v>2972.057498777443</v>
      </c>
      <c r="E644" s="219">
        <f>(E623/E612)*SUM(C644:D644)</f>
        <v>6322.170458981529</v>
      </c>
      <c r="F644" s="219">
        <f>(F624/F612)*BX64</f>
        <v>72.41355322174806</v>
      </c>
      <c r="G644" s="217">
        <f>(G625/G612)*BX91</f>
        <v>0</v>
      </c>
      <c r="H644" s="219">
        <f>(H628/H612)*BX60</f>
        <v>0</v>
      </c>
      <c r="I644" s="217">
        <f>(I629/I612)*BX92</f>
        <v>8525.7413078096979</v>
      </c>
      <c r="J644" s="217">
        <f>(J630/J612)*BX93</f>
        <v>0</v>
      </c>
      <c r="K644" s="219">
        <f>SUM(C631:J644)</f>
        <v>15712241.573604532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1229772</v>
      </c>
      <c r="D645" s="217">
        <f>(D615/D612)*BY90</f>
        <v>2674.851748899699</v>
      </c>
      <c r="E645" s="219">
        <f>(E623/E612)*SUM(C645:D645)</f>
        <v>20085.525982910473</v>
      </c>
      <c r="F645" s="219">
        <f>(F624/F612)*BY64</f>
        <v>245.57172317516341</v>
      </c>
      <c r="G645" s="217">
        <f>(G625/G612)*BY91</f>
        <v>0</v>
      </c>
      <c r="H645" s="219">
        <f>(H628/H612)*BY60</f>
        <v>26249.287029154038</v>
      </c>
      <c r="I645" s="217">
        <f>(I629/I612)*BY92</f>
        <v>8525.7413078096979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1287552.9777919494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24599547.579999998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339</v>
      </c>
      <c r="C668" s="217">
        <f>C85</f>
        <v>2178288</v>
      </c>
      <c r="D668" s="217">
        <f>(D615/D612)*C90</f>
        <v>81117.355999965686</v>
      </c>
      <c r="E668" s="219">
        <f>(E623/E612)*SUM(C668:D668)</f>
        <v>36822.151737793916</v>
      </c>
      <c r="F668" s="219">
        <f>(F624/F612)*C64</f>
        <v>3051.7447481358367</v>
      </c>
      <c r="G668" s="217">
        <f>(G625/G612)*C91</f>
        <v>81188.249572689732</v>
      </c>
      <c r="H668" s="219">
        <f>(H628/H612)*C60</f>
        <v>64718.830372720964</v>
      </c>
      <c r="I668" s="217">
        <f>(I629/I612)*C92</f>
        <v>136519.10295398423</v>
      </c>
      <c r="J668" s="217">
        <f>(J630/J612)*C93</f>
        <v>22605.063659486827</v>
      </c>
      <c r="K668" s="217">
        <f>(K644/K612)*C89</f>
        <v>141129.92425290978</v>
      </c>
      <c r="L668" s="217">
        <f>(L647/L612)*C94</f>
        <v>164145.67031966822</v>
      </c>
      <c r="M668" s="202">
        <f t="shared" ref="M668:M713" si="0">ROUND(SUM(D668:L668),0)</f>
        <v>731298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340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5078685</v>
      </c>
      <c r="D670" s="217">
        <f>(D615/D612)*E90</f>
        <v>135961.72371073876</v>
      </c>
      <c r="E670" s="219">
        <f>(E623/E612)*SUM(C670:D670)</f>
        <v>84984.534718200288</v>
      </c>
      <c r="F670" s="219">
        <f>(F624/F612)*E64</f>
        <v>7132.1167623035426</v>
      </c>
      <c r="G670" s="217">
        <f>(G625/G612)*E91</f>
        <v>198648.66238730753</v>
      </c>
      <c r="H670" s="219">
        <f>(H628/H612)*E60</f>
        <v>115188.04778675831</v>
      </c>
      <c r="I670" s="217">
        <f>(I629/I612)*E92</f>
        <v>204778.65443097631</v>
      </c>
      <c r="J670" s="217">
        <f>(J630/J612)*E93</f>
        <v>67815.19097846048</v>
      </c>
      <c r="K670" s="217">
        <f>(K644/K612)*E89</f>
        <v>532497.79150289355</v>
      </c>
      <c r="L670" s="217">
        <f>(L647/L612)*E94</f>
        <v>234190.58998194046</v>
      </c>
      <c r="M670" s="202">
        <f t="shared" si="0"/>
        <v>1581197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26372.726387567</v>
      </c>
      <c r="K675" s="217">
        <f>(K644/K612)*J89</f>
        <v>45127.596966077566</v>
      </c>
      <c r="L675" s="217">
        <f>(L647/L612)*J94</f>
        <v>0</v>
      </c>
      <c r="M675" s="202">
        <f t="shared" si="0"/>
        <v>71500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345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346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3413373</v>
      </c>
      <c r="D680" s="217">
        <f>(D615/D612)*O90</f>
        <v>162373.40801654098</v>
      </c>
      <c r="E680" s="219">
        <f>(E623/E612)*SUM(C680:D680)</f>
        <v>58274.924622183928</v>
      </c>
      <c r="F680" s="219">
        <f>(F624/F612)*O64</f>
        <v>7025.1898451854604</v>
      </c>
      <c r="G680" s="217">
        <f>(G625/G612)*O91</f>
        <v>88997.401272882111</v>
      </c>
      <c r="H680" s="219">
        <f>(H628/H612)*O60</f>
        <v>94012.152368281095</v>
      </c>
      <c r="I680" s="217">
        <f>(I629/I612)*O92</f>
        <v>204778.65443097631</v>
      </c>
      <c r="J680" s="217">
        <f>(J630/J612)*O93</f>
        <v>52745.452775133999</v>
      </c>
      <c r="K680" s="217">
        <f>(K644/K612)*O89</f>
        <v>253153.57769310052</v>
      </c>
      <c r="L680" s="217">
        <f>(L647/L612)*O94</f>
        <v>234190.58998194046</v>
      </c>
      <c r="M680" s="202">
        <f t="shared" si="0"/>
        <v>1155551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11269417</v>
      </c>
      <c r="D681" s="217">
        <f>(D615/D612)*P90</f>
        <v>313571.8798376788</v>
      </c>
      <c r="E681" s="219">
        <f>(E623/E612)*SUM(C681:D681)</f>
        <v>188771.16183598578</v>
      </c>
      <c r="F681" s="219">
        <f>(F624/F612)*P64</f>
        <v>155791.81937230661</v>
      </c>
      <c r="G681" s="217">
        <f>(G625/G612)*P91</f>
        <v>36676.084881593175</v>
      </c>
      <c r="H681" s="219">
        <f>(H628/H612)*P60</f>
        <v>239243.50178000395</v>
      </c>
      <c r="I681" s="217">
        <f>(I629/I612)*P92</f>
        <v>170622.068185223</v>
      </c>
      <c r="J681" s="217">
        <f>(J630/J612)*P93</f>
        <v>67815.19097846048</v>
      </c>
      <c r="K681" s="217">
        <f>(K644/K612)*P89</f>
        <v>2082443.2219140718</v>
      </c>
      <c r="L681" s="217">
        <f>(L647/L612)*P94</f>
        <v>457202.29379555868</v>
      </c>
      <c r="M681" s="202">
        <f t="shared" si="0"/>
        <v>3712137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17067</v>
      </c>
      <c r="D682" s="217">
        <f>(D615/D612)*Q90</f>
        <v>0</v>
      </c>
      <c r="E682" s="219">
        <f>(E623/E612)*SUM(C682:D682)</f>
        <v>278.14560235509077</v>
      </c>
      <c r="F682" s="219">
        <f>(F624/F612)*Q64</f>
        <v>917.50713647778332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127058.25647569548</v>
      </c>
      <c r="L682" s="217">
        <f>(L647/L612)*Q94</f>
        <v>0</v>
      </c>
      <c r="M682" s="202">
        <f t="shared" si="0"/>
        <v>128254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3798613</v>
      </c>
      <c r="D683" s="217">
        <f>(D615/D612)*R90</f>
        <v>0</v>
      </c>
      <c r="E683" s="219">
        <f>(E623/E612)*SUM(C683:D683)</f>
        <v>61907.042889721597</v>
      </c>
      <c r="F683" s="219">
        <f>(F624/F612)*R64</f>
        <v>6975.4626464251651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888789.24340207467</v>
      </c>
      <c r="L683" s="217">
        <f>(L647/L612)*R94</f>
        <v>0</v>
      </c>
      <c r="M683" s="202">
        <f t="shared" si="0"/>
        <v>957672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5602654</v>
      </c>
      <c r="D684" s="217">
        <f>(D615/D612)*S90</f>
        <v>27025.909522216218</v>
      </c>
      <c r="E684" s="219">
        <f>(E623/E612)*SUM(C684:D684)</f>
        <v>91748.444922974726</v>
      </c>
      <c r="F684" s="219">
        <f>(F624/F612)*S64</f>
        <v>281065.59991278313</v>
      </c>
      <c r="G684" s="217">
        <f>(G625/G612)*S91</f>
        <v>0</v>
      </c>
      <c r="H684" s="219">
        <f>(H628/H612)*S60</f>
        <v>4411.6448788494181</v>
      </c>
      <c r="I684" s="217">
        <f>(I629/I612)*S92</f>
        <v>0</v>
      </c>
      <c r="J684" s="217">
        <f>(J630/J612)*S93</f>
        <v>0</v>
      </c>
      <c r="K684" s="217">
        <f>(K644/K612)*S89</f>
        <v>1474392.2149555197</v>
      </c>
      <c r="L684" s="217">
        <f>(L647/L612)*S94</f>
        <v>0</v>
      </c>
      <c r="M684" s="202">
        <f t="shared" si="0"/>
        <v>1878644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3987839</v>
      </c>
      <c r="D686" s="217">
        <f>(D615/D612)*U90</f>
        <v>40677.560299933939</v>
      </c>
      <c r="E686" s="219">
        <f>(E623/E612)*SUM(C686:D686)</f>
        <v>65653.844569173467</v>
      </c>
      <c r="F686" s="219">
        <f>(F624/F612)*U64</f>
        <v>67276.384155439955</v>
      </c>
      <c r="G686" s="217">
        <f>(G625/G612)*U91</f>
        <v>0</v>
      </c>
      <c r="H686" s="219">
        <f>(H628/H612)*U60</f>
        <v>82277.176990541644</v>
      </c>
      <c r="I686" s="217">
        <f>(I629/I612)*U92</f>
        <v>68259.551476992114</v>
      </c>
      <c r="J686" s="217">
        <f>(J630/J612)*U93</f>
        <v>11302.075475246311</v>
      </c>
      <c r="K686" s="217">
        <f>(K644/K612)*U89</f>
        <v>1008567.6714807724</v>
      </c>
      <c r="L686" s="217">
        <f>(L647/L612)*U94</f>
        <v>0</v>
      </c>
      <c r="M686" s="202">
        <f t="shared" si="0"/>
        <v>1344014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26861</v>
      </c>
      <c r="D687" s="217">
        <f>(D615/D612)*V90</f>
        <v>7727.3494968213527</v>
      </c>
      <c r="E687" s="219">
        <f>(E623/E612)*SUM(C687:D687)</f>
        <v>563.69586367034481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55831.187661536154</v>
      </c>
      <c r="L687" s="217">
        <f>(L647/L612)*V94</f>
        <v>0</v>
      </c>
      <c r="M687" s="202">
        <f t="shared" si="0"/>
        <v>64122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1010978</v>
      </c>
      <c r="D688" s="217">
        <f>(D615/D612)*W90</f>
        <v>12561.896361499326</v>
      </c>
      <c r="E688" s="219">
        <f>(E623/E612)*SUM(C688:D688)</f>
        <v>16680.911760000963</v>
      </c>
      <c r="F688" s="219">
        <f>(F624/F612)*W64</f>
        <v>554.09539202417022</v>
      </c>
      <c r="G688" s="217">
        <f>(G625/G612)*W91</f>
        <v>0</v>
      </c>
      <c r="H688" s="219">
        <f>(H628/H612)*W60</f>
        <v>27352.198248866393</v>
      </c>
      <c r="I688" s="217">
        <f>(I629/I612)*W92</f>
        <v>8525.7413078096979</v>
      </c>
      <c r="J688" s="217">
        <f>(J630/J612)*W93</f>
        <v>0</v>
      </c>
      <c r="K688" s="217">
        <f>(K644/K612)*W89</f>
        <v>713248.15291637846</v>
      </c>
      <c r="L688" s="217">
        <f>(L647/L612)*W94</f>
        <v>0</v>
      </c>
      <c r="M688" s="202">
        <f t="shared" si="0"/>
        <v>778923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1087763</v>
      </c>
      <c r="D689" s="217">
        <f>(D615/D612)*X90</f>
        <v>10342.760095745502</v>
      </c>
      <c r="E689" s="219">
        <f>(E623/E612)*SUM(C689:D689)</f>
        <v>17896.132190275148</v>
      </c>
      <c r="F689" s="219">
        <f>(F624/F612)*X64</f>
        <v>1306.0781555474159</v>
      </c>
      <c r="G689" s="217">
        <f>(G625/G612)*X91</f>
        <v>0</v>
      </c>
      <c r="H689" s="219">
        <f>(H628/H612)*X60</f>
        <v>34896.110991698901</v>
      </c>
      <c r="I689" s="217">
        <f>(I629/I612)*X92</f>
        <v>8525.7413078096979</v>
      </c>
      <c r="J689" s="217">
        <f>(J630/J612)*X93</f>
        <v>0</v>
      </c>
      <c r="K689" s="217">
        <f>(K644/K612)*X89</f>
        <v>985169.47327606112</v>
      </c>
      <c r="L689" s="217">
        <f>(L647/L612)*X94</f>
        <v>0</v>
      </c>
      <c r="M689" s="202">
        <f t="shared" si="0"/>
        <v>1058136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2918485</v>
      </c>
      <c r="D690" s="217">
        <f>(D615/D612)*Y90</f>
        <v>97760.877993119371</v>
      </c>
      <c r="E690" s="219">
        <f>(E623/E612)*SUM(C690:D690)</f>
        <v>49156.590296212329</v>
      </c>
      <c r="F690" s="219">
        <f>(F624/F612)*Y64</f>
        <v>5669.1694543425701</v>
      </c>
      <c r="G690" s="217">
        <f>(G625/G612)*Y91</f>
        <v>0</v>
      </c>
      <c r="H690" s="219">
        <f>(H628/H612)*Y60</f>
        <v>65468.810002125363</v>
      </c>
      <c r="I690" s="217">
        <f>(I629/I612)*Y92</f>
        <v>170622.068185223</v>
      </c>
      <c r="J690" s="217">
        <f>(J630/J612)*Y93</f>
        <v>15069.738203326482</v>
      </c>
      <c r="K690" s="217">
        <f>(K644/K612)*Y89</f>
        <v>1003836.0499603525</v>
      </c>
      <c r="L690" s="217">
        <f>(L647/L612)*Y94</f>
        <v>0</v>
      </c>
      <c r="M690" s="202">
        <f t="shared" si="0"/>
        <v>1407583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1029751</v>
      </c>
      <c r="D692" s="217">
        <f>(D615/D612)*AA90</f>
        <v>6815.9185305296032</v>
      </c>
      <c r="E692" s="219">
        <f>(E623/E612)*SUM(C692:D692)</f>
        <v>16893.216730300257</v>
      </c>
      <c r="F692" s="219">
        <f>(F624/F612)*AA64</f>
        <v>9383.8180813034814</v>
      </c>
      <c r="G692" s="217">
        <f>(G625/G612)*AA91</f>
        <v>0</v>
      </c>
      <c r="H692" s="219">
        <f>(H628/H612)*AA60</f>
        <v>9087.9884504298007</v>
      </c>
      <c r="I692" s="217">
        <f>(I629/I612)*AA92</f>
        <v>8525.7413078096979</v>
      </c>
      <c r="J692" s="217">
        <f>(J630/J612)*AA93</f>
        <v>0</v>
      </c>
      <c r="K692" s="217">
        <f>(K644/K612)*AA89</f>
        <v>260713.72438972554</v>
      </c>
      <c r="L692" s="217">
        <f>(L647/L612)*AA94</f>
        <v>0</v>
      </c>
      <c r="M692" s="202">
        <f t="shared" si="0"/>
        <v>311420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5913219</v>
      </c>
      <c r="D693" s="217">
        <f>(D615/D612)*AB90</f>
        <v>19417.442325345961</v>
      </c>
      <c r="E693" s="219">
        <f>(E623/E612)*SUM(C693:D693)</f>
        <v>96685.811027383039</v>
      </c>
      <c r="F693" s="219">
        <f>(F624/F612)*AB64</f>
        <v>256095.34241118666</v>
      </c>
      <c r="G693" s="217">
        <f>(G625/G612)*AB91</f>
        <v>0</v>
      </c>
      <c r="H693" s="219">
        <f>(H628/H612)*AB60</f>
        <v>26161.05413157705</v>
      </c>
      <c r="I693" s="217">
        <f>(I629/I612)*AB92</f>
        <v>17051.482615619396</v>
      </c>
      <c r="J693" s="217">
        <f>(J630/J612)*AB93</f>
        <v>0</v>
      </c>
      <c r="K693" s="217">
        <f>(K644/K612)*AB89</f>
        <v>1515861.7527222668</v>
      </c>
      <c r="L693" s="217">
        <f>(L647/L612)*AB94</f>
        <v>0</v>
      </c>
      <c r="M693" s="202">
        <f t="shared" si="0"/>
        <v>1931273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1601771</v>
      </c>
      <c r="D694" s="217">
        <f>(D615/D612)*AC90</f>
        <v>25777.64537272969</v>
      </c>
      <c r="E694" s="219">
        <f>(E623/E612)*SUM(C694:D694)</f>
        <v>26524.608796473309</v>
      </c>
      <c r="F694" s="219">
        <f>(F624/F612)*AC64</f>
        <v>2424.6444524181743</v>
      </c>
      <c r="G694" s="217">
        <f>(G625/G612)*AC91</f>
        <v>0</v>
      </c>
      <c r="H694" s="219">
        <f>(H628/H612)*AC60</f>
        <v>43895.866544551718</v>
      </c>
      <c r="I694" s="217">
        <f>(I629/I612)*AC92</f>
        <v>42628.706539048486</v>
      </c>
      <c r="J694" s="217">
        <f>(J630/J612)*AC93</f>
        <v>18837.400931406653</v>
      </c>
      <c r="K694" s="217">
        <f>(K644/K612)*AC89</f>
        <v>326290.2304495374</v>
      </c>
      <c r="L694" s="217">
        <f>(L647/L612)*AC94</f>
        <v>0</v>
      </c>
      <c r="M694" s="202">
        <f t="shared" si="0"/>
        <v>486379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5455383</v>
      </c>
      <c r="D696" s="217">
        <f>(D615/D612)*AE90</f>
        <v>277550.54295249615</v>
      </c>
      <c r="E696" s="219">
        <f>(E623/E612)*SUM(C696:D696)</f>
        <v>93431.197841813264</v>
      </c>
      <c r="F696" s="219">
        <f>(F624/F612)*AE64</f>
        <v>4350.1353475505803</v>
      </c>
      <c r="G696" s="217">
        <f>(G625/G612)*AE91</f>
        <v>0</v>
      </c>
      <c r="H696" s="219">
        <f>(H628/H612)*AE60</f>
        <v>191024.22325417981</v>
      </c>
      <c r="I696" s="217">
        <f>(I629/I612)*AE92</f>
        <v>110888.25801604059</v>
      </c>
      <c r="J696" s="217">
        <f>(J630/J612)*AE93</f>
        <v>37364.480804783452</v>
      </c>
      <c r="K696" s="217">
        <f>(K644/K612)*AE89</f>
        <v>508884.01582088927</v>
      </c>
      <c r="L696" s="217">
        <f>(L647/L612)*AE94</f>
        <v>0</v>
      </c>
      <c r="M696" s="202">
        <f t="shared" si="0"/>
        <v>1223493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8638529</v>
      </c>
      <c r="D698" s="217">
        <f>(D615/D612)*AG90</f>
        <v>118505.83933458592</v>
      </c>
      <c r="E698" s="219">
        <f>(E623/E612)*SUM(C698:D698)</f>
        <v>142715.81005632124</v>
      </c>
      <c r="F698" s="219">
        <f>(F624/F612)*AG64</f>
        <v>12501.632804873267</v>
      </c>
      <c r="G698" s="217">
        <f>(G625/G612)*AG91</f>
        <v>35760.529165018896</v>
      </c>
      <c r="H698" s="219">
        <f>(H628/H612)*AG60</f>
        <v>160010.35975586841</v>
      </c>
      <c r="I698" s="217">
        <f>(I629/I612)*AG92</f>
        <v>136519.10295398423</v>
      </c>
      <c r="J698" s="217">
        <f>(J630/J612)*AG93</f>
        <v>67815.19097846048</v>
      </c>
      <c r="K698" s="217">
        <f>(K644/K612)*AG89</f>
        <v>2161336.6718431334</v>
      </c>
      <c r="L698" s="217">
        <f>(L647/L612)*AG94</f>
        <v>197823.83371284153</v>
      </c>
      <c r="M698" s="202">
        <f t="shared" si="0"/>
        <v>3032989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104521</v>
      </c>
      <c r="D701" s="217">
        <f>(D615/D612)*AJ90</f>
        <v>0</v>
      </c>
      <c r="E701" s="219">
        <f>(E623/E612)*SUM(C701:D701)</f>
        <v>1703.4075410884423</v>
      </c>
      <c r="F701" s="219">
        <f>(F624/F612)*AJ64</f>
        <v>0</v>
      </c>
      <c r="G701" s="217">
        <f>(G625/G612)*AJ91</f>
        <v>0</v>
      </c>
      <c r="H701" s="219">
        <f>(H628/H612)*AJ60</f>
        <v>3573.4323518680289</v>
      </c>
      <c r="I701" s="217">
        <f>(I629/I612)*AJ92</f>
        <v>0</v>
      </c>
      <c r="J701" s="217">
        <f>(J630/J612)*AJ93</f>
        <v>0</v>
      </c>
      <c r="K701" s="217">
        <f>(K644/K612)*AJ89</f>
        <v>13844.263949286211</v>
      </c>
      <c r="L701" s="217">
        <f>(L647/L612)*AJ94</f>
        <v>0</v>
      </c>
      <c r="M701" s="202">
        <f t="shared" si="0"/>
        <v>19121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18043263</v>
      </c>
      <c r="D707" s="217">
        <f>(D615/D612)*AP90</f>
        <v>370536.31523091311</v>
      </c>
      <c r="E707" s="219">
        <f>(E623/E612)*SUM(C707:D707)</f>
        <v>300094.76194882876</v>
      </c>
      <c r="F707" s="219">
        <f>(F624/F612)*AP64</f>
        <v>43506.783148019087</v>
      </c>
      <c r="G707" s="217">
        <f>(G625/G612)*AP91</f>
        <v>0</v>
      </c>
      <c r="H707" s="219">
        <f>(H628/H612)*AP60</f>
        <v>369739.95729636971</v>
      </c>
      <c r="I707" s="217">
        <f>(I629/I612)*AP92</f>
        <v>0</v>
      </c>
      <c r="J707" s="217">
        <f>(J630/J612)*AP93</f>
        <v>18035.12972550005</v>
      </c>
      <c r="K707" s="217">
        <f>(K644/K612)*AP89</f>
        <v>1614066.5519722502</v>
      </c>
      <c r="L707" s="217">
        <f>(L647/L612)*AP94</f>
        <v>0</v>
      </c>
      <c r="M707" s="202">
        <f t="shared" si="0"/>
        <v>2715979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16865</v>
      </c>
      <c r="D713" s="217">
        <f>(D615/D612)*AV90</f>
        <v>9431.3291294537539</v>
      </c>
      <c r="E713" s="219">
        <f>(E623/E612)*SUM(C713:D713)</f>
        <v>428.55852261320882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9860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105792872.58</v>
      </c>
      <c r="D715" s="202">
        <f>SUM(D616:D647)+SUM(D668:D713)</f>
        <v>2309467</v>
      </c>
      <c r="E715" s="202">
        <f>SUM(E624:E647)+SUM(E668:E713)</f>
        <v>1696487.4751264176</v>
      </c>
      <c r="F715" s="202">
        <f>SUM(F625:F648)+SUM(F668:F713)</f>
        <v>913330.64313239045</v>
      </c>
      <c r="G715" s="202">
        <f>SUM(G626:G647)+SUM(G668:G713)</f>
        <v>441270.92727949144</v>
      </c>
      <c r="H715" s="202">
        <f>SUM(H629:H647)+SUM(H668:H713)</f>
        <v>1890830.9950748608</v>
      </c>
      <c r="I715" s="202">
        <f>SUM(I630:I647)+SUM(I668:I713)</f>
        <v>1364976.545481784</v>
      </c>
      <c r="J715" s="202">
        <f>SUM(J631:J647)+SUM(J668:J713)</f>
        <v>405777.64089783223</v>
      </c>
      <c r="K715" s="202">
        <f>SUM(K668:K713)</f>
        <v>15712241.573604532</v>
      </c>
      <c r="L715" s="202">
        <f>SUM(L668:L713)</f>
        <v>1287552.9777919494</v>
      </c>
      <c r="M715" s="202">
        <f>SUM(M668:M713)</f>
        <v>24599545</v>
      </c>
      <c r="N715" s="211" t="s">
        <v>694</v>
      </c>
    </row>
    <row r="716" spans="1:14" s="202" customFormat="1" ht="12.6" customHeight="1" x14ac:dyDescent="0.2">
      <c r="C716" s="214">
        <f>CE85</f>
        <v>105792872.58</v>
      </c>
      <c r="D716" s="202">
        <f>D615</f>
        <v>2309467</v>
      </c>
      <c r="E716" s="202">
        <f>E623</f>
        <v>1696487.4751264169</v>
      </c>
      <c r="F716" s="202">
        <f>F624</f>
        <v>913330.64313239034</v>
      </c>
      <c r="G716" s="202">
        <f>G625</f>
        <v>441270.92727949144</v>
      </c>
      <c r="H716" s="202">
        <f>H628</f>
        <v>1890830.995074861</v>
      </c>
      <c r="I716" s="202">
        <f>I629</f>
        <v>1364976.545481784</v>
      </c>
      <c r="J716" s="202">
        <f>J630</f>
        <v>405777.64089783223</v>
      </c>
      <c r="K716" s="202">
        <f>K644</f>
        <v>15712241.573604532</v>
      </c>
      <c r="L716" s="202">
        <f>L647</f>
        <v>1287552.9777919494</v>
      </c>
      <c r="M716" s="202">
        <f>C648</f>
        <v>24599547.579999998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172</v>
      </c>
      <c r="C2" s="11" t="str">
        <f>SUBSTITUTE(LEFT(data!C98,49),",","")</f>
        <v>Public Hospital District #1-A of Whitman County</v>
      </c>
      <c r="D2" s="11" t="str">
        <f>LEFT(data!C99, 49)</f>
        <v>835 SE Bishop Blvd</v>
      </c>
      <c r="E2" s="11" t="str">
        <f>LEFT(data!C100, 100)</f>
        <v>Pullman</v>
      </c>
      <c r="F2" s="11" t="str">
        <f>LEFT(data!C101, 2)</f>
        <v>Wa</v>
      </c>
      <c r="G2" s="11" t="str">
        <f>LEFT(data!C102, 100)</f>
        <v>99163</v>
      </c>
      <c r="H2" s="11" t="str">
        <f>LEFT(data!C103, 100)</f>
        <v>Whitman</v>
      </c>
      <c r="I2" s="11" t="str">
        <f>LEFT(data!C104, 49)</f>
        <v>Matt Forge</v>
      </c>
      <c r="J2" s="11" t="str">
        <f>LEFT(data!C105, 49)</f>
        <v>Steven D. Febus</v>
      </c>
      <c r="K2" s="11" t="str">
        <f>LEFT(data!C107, 49)</f>
        <v>509-332-2541</v>
      </c>
      <c r="L2" s="11" t="str">
        <f>LEFT(data!C108, 49)</f>
        <v>509-332-4242</v>
      </c>
      <c r="M2" s="11" t="str">
        <f>LEFT(data!C109, 49)</f>
        <v>Shauna Patrick</v>
      </c>
      <c r="N2" s="11" t="str">
        <f>LEFT(data!C110, 49)</f>
        <v>shauna.patrick@pullmanregional.org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172</v>
      </c>
      <c r="B2" s="200" t="str">
        <f>RIGHT(data!C96,4)</f>
        <v>2024</v>
      </c>
      <c r="C2" s="12" t="s">
        <v>1162</v>
      </c>
      <c r="D2" s="199">
        <f>ROUND(N(data!C181),0)</f>
        <v>3742211</v>
      </c>
      <c r="E2" s="199">
        <f>ROUND(N(data!C182),0)</f>
        <v>12034</v>
      </c>
      <c r="F2" s="199">
        <f>ROUND(N(data!C183),0)</f>
        <v>416066</v>
      </c>
      <c r="G2" s="199">
        <f>ROUND(N(data!C184),0)</f>
        <v>6638962</v>
      </c>
      <c r="H2" s="199">
        <f>ROUND(N(data!C185),0)</f>
        <v>18128</v>
      </c>
      <c r="I2" s="199">
        <f>ROUND(N(data!C186),0)</f>
        <v>1294268</v>
      </c>
      <c r="J2" s="199">
        <f>ROUND(N(data!C187)+N(data!C188),0)</f>
        <v>3415019</v>
      </c>
      <c r="K2" s="199">
        <f>ROUND(N(data!C191),0)</f>
        <v>911726</v>
      </c>
      <c r="L2" s="199">
        <f>ROUND(N(data!C192),0)</f>
        <v>576480</v>
      </c>
      <c r="M2" s="199">
        <f>ROUND(N(data!C195),0)</f>
        <v>439649</v>
      </c>
      <c r="N2" s="199">
        <f>ROUND(N(data!C196),0)</f>
        <v>278352</v>
      </c>
      <c r="O2" s="199">
        <f>ROUND(N(data!C199),0)</f>
        <v>77392</v>
      </c>
      <c r="P2" s="199">
        <f>ROUND(N(data!C200),0)</f>
        <v>892817</v>
      </c>
      <c r="Q2" s="199">
        <f>ROUND(N(data!C201),0)</f>
        <v>0</v>
      </c>
      <c r="R2" s="199">
        <f>ROUND(N(data!C204),0)</f>
        <v>1977347</v>
      </c>
      <c r="S2" s="199">
        <f>ROUND(N(data!C205),0)</f>
        <v>78139</v>
      </c>
      <c r="T2" s="199">
        <f>ROUND(N(data!B211),0)</f>
        <v>1813305</v>
      </c>
      <c r="U2" s="199">
        <f>ROUND(N(data!C211),0)</f>
        <v>1512735</v>
      </c>
      <c r="V2" s="199">
        <f>ROUND(N(data!D211),0)</f>
        <v>0</v>
      </c>
      <c r="W2" s="199">
        <f>ROUND(N(data!B212),0)</f>
        <v>2670216</v>
      </c>
      <c r="X2" s="199">
        <f>ROUND(N(data!C212),0)</f>
        <v>0</v>
      </c>
      <c r="Y2" s="199">
        <f>ROUND(N(data!D212),0)</f>
        <v>60468</v>
      </c>
      <c r="Z2" s="199">
        <f>ROUND(N(data!B213),0)</f>
        <v>21972490</v>
      </c>
      <c r="AA2" s="199">
        <f>ROUND(N(data!C213),0)</f>
        <v>96746</v>
      </c>
      <c r="AB2" s="199">
        <f>ROUND(N(data!D213),0)</f>
        <v>1374644</v>
      </c>
      <c r="AC2" s="199">
        <f>ROUND(N(data!B214),0)</f>
        <v>10168811</v>
      </c>
      <c r="AD2" s="199">
        <f>ROUND(N(data!C214),0)</f>
        <v>194967</v>
      </c>
      <c r="AE2" s="199">
        <f>ROUND(N(data!D214),0)</f>
        <v>404169</v>
      </c>
      <c r="AF2" s="199">
        <f>ROUND(N(data!B215),0)</f>
        <v>524151</v>
      </c>
      <c r="AG2" s="199">
        <f>ROUND(N(data!C215),0)</f>
        <v>51843</v>
      </c>
      <c r="AH2" s="199">
        <f>ROUND(N(data!D215),0)</f>
        <v>0</v>
      </c>
      <c r="AI2" s="199">
        <f>ROUND(N(data!B216),0)</f>
        <v>26235716</v>
      </c>
      <c r="AJ2" s="199">
        <f>ROUND(N(data!C216),0)</f>
        <v>2538396</v>
      </c>
      <c r="AK2" s="199">
        <f>ROUND(N(data!D216),0)</f>
        <v>1461376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439801</v>
      </c>
      <c r="AP2" s="199">
        <f>ROUND(N(data!C218),0)</f>
        <v>0</v>
      </c>
      <c r="AQ2" s="199">
        <f>ROUND(N(data!D218),0)</f>
        <v>0</v>
      </c>
      <c r="AR2" s="199">
        <f>ROUND(N(data!B219),0)</f>
        <v>535657</v>
      </c>
      <c r="AS2" s="199">
        <f>ROUND(N(data!C219),0)</f>
        <v>4711975</v>
      </c>
      <c r="AT2" s="199">
        <f>ROUND(N(data!D219),0)</f>
        <v>2039204</v>
      </c>
      <c r="AU2" s="199">
        <v>0</v>
      </c>
      <c r="AV2" s="199">
        <v>0</v>
      </c>
      <c r="AW2" s="199">
        <v>0</v>
      </c>
      <c r="AX2" s="199">
        <f>ROUND(N(data!B225),0)</f>
        <v>1068412</v>
      </c>
      <c r="AY2" s="199">
        <f>ROUND(N(data!C225),0)</f>
        <v>88761</v>
      </c>
      <c r="AZ2" s="199">
        <f>ROUND(N(data!D225),0)</f>
        <v>60467</v>
      </c>
      <c r="BA2" s="199">
        <f>ROUND(N(data!B226),0)</f>
        <v>6805313</v>
      </c>
      <c r="BB2" s="199">
        <f>ROUND(N(data!C226),0)</f>
        <v>902383</v>
      </c>
      <c r="BC2" s="199">
        <f>ROUND(N(data!D226),0)</f>
        <v>1445204</v>
      </c>
      <c r="BD2" s="199">
        <f>ROUND(N(data!B227),0)</f>
        <v>7410822</v>
      </c>
      <c r="BE2" s="199">
        <f>ROUND(N(data!C227),0)</f>
        <v>515565</v>
      </c>
      <c r="BF2" s="199">
        <f>ROUND(N(data!D227),0)</f>
        <v>404169</v>
      </c>
      <c r="BG2" s="199">
        <f>ROUND(N(data!B228),0)</f>
        <v>131293</v>
      </c>
      <c r="BH2" s="199">
        <f>ROUND(N(data!C228),0)</f>
        <v>36408</v>
      </c>
      <c r="BI2" s="199">
        <f>ROUND(N(data!D228),0)</f>
        <v>0</v>
      </c>
      <c r="BJ2" s="199">
        <f>ROUND(N(data!B229),0)</f>
        <v>14133026</v>
      </c>
      <c r="BK2" s="199">
        <f>ROUND(N(data!C229),0)</f>
        <v>4217658</v>
      </c>
      <c r="BL2" s="199">
        <f>ROUND(N(data!D229),0)</f>
        <v>2311630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145845</v>
      </c>
      <c r="BQ2" s="199">
        <f>ROUND(N(data!C231),0)</f>
        <v>79495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55121209</v>
      </c>
      <c r="BW2" s="199">
        <f>ROUND(N(data!C240),0)</f>
        <v>20985366</v>
      </c>
      <c r="BX2" s="199">
        <f>ROUND(N(data!C241),0)</f>
        <v>0</v>
      </c>
      <c r="BY2" s="199">
        <f>ROUND(N(data!C242),0)</f>
        <v>0</v>
      </c>
      <c r="BZ2" s="199">
        <f>ROUND(N(data!C243),0)</f>
        <v>45542768</v>
      </c>
      <c r="CA2" s="199">
        <f>ROUND(N(data!C244),0)</f>
        <v>11909</v>
      </c>
      <c r="CB2" s="199">
        <f>ROUND(N(data!C247),0)</f>
        <v>797</v>
      </c>
      <c r="CC2" s="199">
        <f>ROUND(N(data!C249),0)</f>
        <v>177391</v>
      </c>
      <c r="CD2" s="199">
        <f>ROUND(N(data!C250),0)</f>
        <v>937327</v>
      </c>
      <c r="CE2" s="199">
        <f>ROUND(N(data!C254)+N(data!C255),0)</f>
        <v>18673753</v>
      </c>
      <c r="CF2" s="199">
        <f>ROUND(N(data!D237),0)</f>
        <v>4781518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172</v>
      </c>
      <c r="B2" s="12" t="str">
        <f>RIGHT(data!C96,4)</f>
        <v>2024</v>
      </c>
      <c r="C2" s="12" t="s">
        <v>1162</v>
      </c>
      <c r="D2" s="198">
        <f>ROUND(N(data!C127),0)</f>
        <v>1444</v>
      </c>
      <c r="E2" s="198">
        <f>ROUND(N(data!C128),0)</f>
        <v>0</v>
      </c>
      <c r="F2" s="198">
        <f>ROUND(N(data!C129),0)</f>
        <v>0</v>
      </c>
      <c r="G2" s="198">
        <f>ROUND(N(data!C130),0)</f>
        <v>383</v>
      </c>
      <c r="H2" s="198">
        <f>ROUND(N(data!D127),0)</f>
        <v>2900</v>
      </c>
      <c r="I2" s="198">
        <f>ROUND(N(data!D128),0)</f>
        <v>0</v>
      </c>
      <c r="J2" s="198">
        <f>ROUND(N(data!D129),0)</f>
        <v>0</v>
      </c>
      <c r="K2" s="198">
        <f>ROUND(N(data!D130),0)</f>
        <v>735</v>
      </c>
      <c r="L2" s="198">
        <f>ROUND(N(data!C132),0)</f>
        <v>2</v>
      </c>
      <c r="M2" s="198">
        <f>ROUND(N(data!C133),0)</f>
        <v>0</v>
      </c>
      <c r="N2" s="198">
        <f>ROUND(N(data!C134),0)</f>
        <v>13</v>
      </c>
      <c r="O2" s="198">
        <f>ROUND(N(data!C135),0)</f>
        <v>0</v>
      </c>
      <c r="P2" s="198">
        <f>ROUND(N(data!C136),0)</f>
        <v>8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2</v>
      </c>
      <c r="U2" s="198">
        <f>ROUND(N(data!C141),0)</f>
        <v>0</v>
      </c>
      <c r="V2" s="198">
        <f>ROUND(N(data!C142),0)</f>
        <v>0</v>
      </c>
      <c r="W2" s="198">
        <f>ROUND(N(data!C144),0)</f>
        <v>42</v>
      </c>
      <c r="X2" s="198">
        <f>ROUND(N(data!C145),0)</f>
        <v>8</v>
      </c>
      <c r="Y2" s="198">
        <f>ROUND(N(data!B154),0)</f>
        <v>564</v>
      </c>
      <c r="Z2" s="198">
        <f>ROUND(N(data!B155),0)</f>
        <v>1273</v>
      </c>
      <c r="AA2" s="198">
        <f>ROUND(N(data!B156),0)</f>
        <v>57691</v>
      </c>
      <c r="AB2" s="198">
        <f>ROUND(N(data!B157),0)</f>
        <v>11242784</v>
      </c>
      <c r="AC2" s="198">
        <f>ROUND(N(data!B158),0)</f>
        <v>86406321</v>
      </c>
      <c r="AD2" s="198">
        <f>ROUND(N(data!C154),0)</f>
        <v>234</v>
      </c>
      <c r="AE2" s="198">
        <f>ROUND(N(data!C155),0)</f>
        <v>509</v>
      </c>
      <c r="AF2" s="198">
        <f>ROUND(N(data!C156),0)</f>
        <v>22197</v>
      </c>
      <c r="AG2" s="198">
        <f>ROUND(N(data!C157),0)</f>
        <v>4433380</v>
      </c>
      <c r="AH2" s="198">
        <f>ROUND(N(data!C158),0)</f>
        <v>33244892</v>
      </c>
      <c r="AI2" s="198">
        <f>ROUND(N(data!D154),0)</f>
        <v>646</v>
      </c>
      <c r="AJ2" s="198">
        <f>ROUND(N(data!D155),0)</f>
        <v>1118</v>
      </c>
      <c r="AK2" s="198">
        <f>ROUND(N(data!D156),0)</f>
        <v>80873</v>
      </c>
      <c r="AL2" s="198">
        <f>ROUND(N(data!D157),0)</f>
        <v>11284575</v>
      </c>
      <c r="AM2" s="198">
        <f>ROUND(N(data!D158),0)</f>
        <v>121128696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9568696</v>
      </c>
      <c r="BS2" s="198">
        <f>ROUND(N(data!C173),0)</f>
        <v>6413702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172</v>
      </c>
      <c r="B2" s="200" t="str">
        <f>RIGHT(data!C96,4)</f>
        <v>2024</v>
      </c>
      <c r="C2" s="12" t="s">
        <v>1162</v>
      </c>
      <c r="D2" s="198">
        <f>ROUND(N(data!C266),0)</f>
        <v>19306283</v>
      </c>
      <c r="E2" s="198">
        <f>ROUND(N(data!C267),0)</f>
        <v>0</v>
      </c>
      <c r="F2" s="198">
        <f>ROUND(N(data!C268),0)</f>
        <v>48858520</v>
      </c>
      <c r="G2" s="198">
        <f>ROUND(N(data!C269),0)</f>
        <v>27950625</v>
      </c>
      <c r="H2" s="198">
        <f>ROUND(N(data!C270),0)</f>
        <v>0</v>
      </c>
      <c r="I2" s="198">
        <f>ROUND(N(data!C271),0)</f>
        <v>2305999</v>
      </c>
      <c r="J2" s="198">
        <f>ROUND(N(data!C272),0)</f>
        <v>0</v>
      </c>
      <c r="K2" s="198">
        <f>ROUND(N(data!C273),0)</f>
        <v>3072533</v>
      </c>
      <c r="L2" s="198">
        <f>ROUND(N(data!C274),0)</f>
        <v>2677225</v>
      </c>
      <c r="M2" s="198">
        <f>ROUND(N(data!C275),0)</f>
        <v>0</v>
      </c>
      <c r="N2" s="198">
        <f>ROUND(N(data!C278),0)</f>
        <v>23113546</v>
      </c>
      <c r="O2" s="198">
        <f>ROUND(N(data!C279),0)</f>
        <v>0</v>
      </c>
      <c r="P2" s="198">
        <f>ROUND(N(data!C280),0)</f>
        <v>0</v>
      </c>
      <c r="Q2" s="198">
        <f>ROUND(N(data!C283),0)</f>
        <v>3326040</v>
      </c>
      <c r="R2" s="198">
        <f>ROUND(N(data!C284),0)</f>
        <v>2609748</v>
      </c>
      <c r="S2" s="198">
        <f>ROUND(N(data!C285),0)</f>
        <v>20694592</v>
      </c>
      <c r="T2" s="198">
        <f>ROUND(N(data!C286),0)</f>
        <v>9959609</v>
      </c>
      <c r="U2" s="198">
        <f>ROUND(N(data!C287),0)</f>
        <v>575994</v>
      </c>
      <c r="V2" s="198">
        <f>ROUND(N(data!C288),0)</f>
        <v>27312736</v>
      </c>
      <c r="W2" s="198">
        <f>ROUND(N(data!C289),0)</f>
        <v>439801</v>
      </c>
      <c r="X2" s="198">
        <f>ROUND(N(data!C290),0)</f>
        <v>3208428</v>
      </c>
      <c r="Y2" s="198">
        <f>ROUND(N(data!C291),0)</f>
        <v>0</v>
      </c>
      <c r="Z2" s="198">
        <f>ROUND(N(data!C292),0)</f>
        <v>31313511</v>
      </c>
      <c r="AA2" s="198">
        <f>ROUND(N(data!C295),0)</f>
        <v>8149864</v>
      </c>
      <c r="AB2" s="198">
        <f>ROUND(N(data!C296),0)</f>
        <v>3870560</v>
      </c>
      <c r="AC2" s="198">
        <f>ROUND(N(data!C297),0)</f>
        <v>0</v>
      </c>
      <c r="AD2" s="198">
        <f>ROUND(N(data!C298),0)</f>
        <v>636196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4952149</v>
      </c>
      <c r="AK2" s="198">
        <f>ROUND(N(data!C316),0)</f>
        <v>8287560</v>
      </c>
      <c r="AL2" s="198">
        <f>ROUND(N(data!C317),0)</f>
        <v>292546</v>
      </c>
      <c r="AM2" s="198">
        <f>ROUND(N(data!C318),0)</f>
        <v>0</v>
      </c>
      <c r="AN2" s="198">
        <f>ROUND(N(data!C319),0)</f>
        <v>675372</v>
      </c>
      <c r="AO2" s="198">
        <f>ROUND(N(data!C320),0)</f>
        <v>0</v>
      </c>
      <c r="AP2" s="198">
        <f>ROUND(N(data!C321),0)</f>
        <v>0</v>
      </c>
      <c r="AQ2" s="198">
        <f>ROUND(N(data!C322),0)</f>
        <v>103837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106374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7726919</v>
      </c>
      <c r="AZ2" s="198">
        <f>ROUND(N(data!C335),0)</f>
        <v>37316202</v>
      </c>
      <c r="BA2" s="198">
        <f>ROUND(N(data!C336),0)</f>
        <v>0</v>
      </c>
      <c r="BB2" s="198">
        <f>ROUND(N(data!C337),0)</f>
        <v>0</v>
      </c>
      <c r="BC2" s="198">
        <f>ROUND(N(data!C338),0)</f>
        <v>1296207</v>
      </c>
      <c r="BD2" s="198">
        <f>ROUND(N(data!C339),0)</f>
        <v>0</v>
      </c>
      <c r="BE2" s="198">
        <f>ROUND(N(data!C343),0)</f>
        <v>52355252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517.36</v>
      </c>
      <c r="BL2" s="198">
        <f>ROUND(N(data!C358),0)</f>
        <v>26960739</v>
      </c>
      <c r="BM2" s="198">
        <f>ROUND(N(data!C359),0)</f>
        <v>240779909</v>
      </c>
      <c r="BN2" s="198">
        <f>ROUND(N(data!C363),0)</f>
        <v>121661252</v>
      </c>
      <c r="BO2" s="198">
        <f>ROUND(N(data!C364),0)</f>
        <v>1114718</v>
      </c>
      <c r="BP2" s="198">
        <f>ROUND(N(data!C365),0)</f>
        <v>18673753</v>
      </c>
      <c r="BQ2" s="198">
        <f>ROUND(N(data!D381),0)</f>
        <v>-2772630</v>
      </c>
      <c r="BR2" s="198">
        <f>ROUND(N(data!C370),0)</f>
        <v>49933</v>
      </c>
      <c r="BS2" s="198">
        <f>ROUND(N(data!C371),0)</f>
        <v>-6121034</v>
      </c>
      <c r="BT2" s="198">
        <f>ROUND(N(data!C372),0)</f>
        <v>480768</v>
      </c>
      <c r="BU2" s="198">
        <f>ROUND(N(data!C373),0)</f>
        <v>0</v>
      </c>
      <c r="BV2" s="198">
        <f>ROUND(N(data!C374),0)</f>
        <v>413550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575625</v>
      </c>
      <c r="CB2" s="198">
        <f>ROUND(N(data!C380),0)</f>
        <v>1828528</v>
      </c>
      <c r="CC2" s="198">
        <f>ROUND(N(data!C382),0)</f>
        <v>2597777</v>
      </c>
      <c r="CD2" s="198">
        <f>ROUND(N(data!C389),0)</f>
        <v>55998878</v>
      </c>
      <c r="CE2" s="198">
        <f>ROUND(N(data!C390),0)</f>
        <v>15536688</v>
      </c>
      <c r="CF2" s="198">
        <f>ROUND(N(data!C391),0)</f>
        <v>20935518</v>
      </c>
      <c r="CG2" s="198">
        <f>ROUND(N(data!C392),0)</f>
        <v>18216254</v>
      </c>
      <c r="CH2" s="198">
        <f>ROUND(N(data!C393),0)</f>
        <v>1212331</v>
      </c>
      <c r="CI2" s="198">
        <f>ROUND(N(data!C394),0)</f>
        <v>6194615</v>
      </c>
      <c r="CJ2" s="198">
        <f>ROUND(N(data!C395),0)</f>
        <v>4830730</v>
      </c>
      <c r="CK2" s="198">
        <f>ROUND(N(data!C396),0)</f>
        <v>1488206</v>
      </c>
      <c r="CL2" s="198">
        <f>ROUND(N(data!C397),0)</f>
        <v>718001</v>
      </c>
      <c r="CM2" s="198">
        <f>ROUND(N(data!C398),0)</f>
        <v>970210</v>
      </c>
      <c r="CN2" s="198">
        <f>ROUND(N(data!C399),0)</f>
        <v>2055486</v>
      </c>
      <c r="CO2" s="198">
        <f>ROUND(N(data!C362),0)</f>
        <v>4781518</v>
      </c>
      <c r="CP2" s="198">
        <f>ROUND(N(data!D415),0)</f>
        <v>2804435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406156</v>
      </c>
      <c r="DB2" s="52">
        <f>ROUND(N(data!C412),0)</f>
        <v>0</v>
      </c>
      <c r="DC2" s="52">
        <f>ROUND(N(data!C413),0)</f>
        <v>0</v>
      </c>
      <c r="DD2" s="52">
        <f>ROUND(N(data!C414),0)</f>
        <v>2398279</v>
      </c>
      <c r="DE2" s="52">
        <f>ROUND(N(data!C419),0)</f>
        <v>0</v>
      </c>
      <c r="DF2" s="198">
        <f>ROUND(N(data!D420),0)</f>
        <v>-1394719</v>
      </c>
      <c r="DG2" s="198">
        <f>ROUND(N(data!C422),0)</f>
        <v>0</v>
      </c>
      <c r="DH2" s="198">
        <f>ROUND(N(data!C423),0)</f>
        <v>0</v>
      </c>
    </row>
  </sheetData>
  <sheetProtection algorithmName="SHA-512" hashValue="0DkdbTuD0zdkZi7U9edWCibUi1j2WwJ3VdFeDXl3qQ/4FK4wv725VOtJMTM0ycI2YazvzOMEOsx3FF2EP7ZWlQ==" saltValue="sbgJIsxBG+hZv2VB4jpSQ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172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 t="e">
        <f>ROUND(N(data!#REF!), 0)</f>
        <v>#REF!</v>
      </c>
      <c r="F2" s="271">
        <f>ROUND(N(data!C59), 2)</f>
        <v>632</v>
      </c>
      <c r="G2" s="198">
        <f>ROUND(N(data!C61), 0)</f>
        <v>1531186</v>
      </c>
      <c r="H2" s="198">
        <f>ROUND(N(data!C62), 0)</f>
        <v>424822</v>
      </c>
      <c r="I2" s="198">
        <f>ROUND(N(data!C63), 0)</f>
        <v>0</v>
      </c>
      <c r="J2" s="198">
        <f>ROUND(N(data!C64), 0)</f>
        <v>0</v>
      </c>
      <c r="K2" s="198">
        <f>ROUND(N(data!C65), 0)</f>
        <v>486</v>
      </c>
      <c r="L2" s="198">
        <f>ROUND(N(data!C66), 0)</f>
        <v>27134</v>
      </c>
      <c r="M2" s="198">
        <f>ROUND(N(data!C67), 0)</f>
        <v>155166</v>
      </c>
      <c r="N2" s="198">
        <f>ROUND(N(data!C68), 0)</f>
        <v>0</v>
      </c>
      <c r="O2" s="198">
        <f>ROUND(N(data!C69), 0)</f>
        <v>3319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3319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85</v>
      </c>
      <c r="AE2" s="198">
        <f>ROUND(N(data!C89), 0)</f>
        <v>1850326</v>
      </c>
      <c r="AF2" s="198">
        <f>ROUND(N(data!C87), 0)</f>
        <v>1404576</v>
      </c>
      <c r="AG2" s="198">
        <f>ROUND(N(data!C90), 0)</f>
        <v>4094</v>
      </c>
      <c r="AH2" s="198">
        <f>ROUND(N(data!C91), 0)</f>
        <v>3454</v>
      </c>
      <c r="AI2" s="198">
        <f>ROUND(N(data!C92), 0)</f>
        <v>853</v>
      </c>
      <c r="AJ2" s="198">
        <f>ROUND(N(data!C93), 0)</f>
        <v>25942</v>
      </c>
      <c r="AK2" s="271">
        <f>ROUND(N(data!C94), 2)</f>
        <v>8.6199999999999992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172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172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2268</v>
      </c>
      <c r="F4" s="271">
        <f>ROUND(N(data!E60), 2)</f>
        <v>25.6</v>
      </c>
      <c r="G4" s="198">
        <f>ROUND(N(data!E61), 0)</f>
        <v>3562895</v>
      </c>
      <c r="H4" s="198">
        <f>ROUND(N(data!E62), 0)</f>
        <v>988512</v>
      </c>
      <c r="I4" s="198">
        <f>ROUND(N(data!E63), 0)</f>
        <v>144570</v>
      </c>
      <c r="J4" s="198">
        <f>ROUND(N(data!E64), 0)</f>
        <v>195407</v>
      </c>
      <c r="K4" s="198">
        <f>ROUND(N(data!E65), 0)</f>
        <v>2635</v>
      </c>
      <c r="L4" s="198">
        <f>ROUND(N(data!E66), 0)</f>
        <v>13438</v>
      </c>
      <c r="M4" s="198">
        <f>ROUND(N(data!E67), 0)</f>
        <v>260076</v>
      </c>
      <c r="N4" s="198">
        <f>ROUND(N(data!E68), 0)</f>
        <v>0</v>
      </c>
      <c r="O4" s="198">
        <f>ROUND(N(data!E69), 0)</f>
        <v>22772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22772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39053</v>
      </c>
      <c r="AE4" s="198">
        <f>ROUND(N(data!E89), 0)</f>
        <v>7709820</v>
      </c>
      <c r="AF4" s="198">
        <f>ROUND(N(data!E87), 0)</f>
        <v>3461956</v>
      </c>
      <c r="AG4" s="198">
        <f>ROUND(N(data!E90), 0)</f>
        <v>6862</v>
      </c>
      <c r="AH4" s="198">
        <f>ROUND(N(data!E91), 0)</f>
        <v>8427</v>
      </c>
      <c r="AI4" s="198">
        <f>ROUND(N(data!E92), 0)</f>
        <v>3412</v>
      </c>
      <c r="AJ4" s="198">
        <f>ROUND(N(data!E93), 0)</f>
        <v>77827</v>
      </c>
      <c r="AK4" s="271">
        <f>ROUND(N(data!E94), 2)</f>
        <v>12.53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172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172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172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172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172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735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753218</v>
      </c>
      <c r="AF9" s="198">
        <f>ROUND(N(data!J87), 0)</f>
        <v>742939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30266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172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172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172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172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172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383</v>
      </c>
      <c r="F14" s="271">
        <f>ROUND(N(data!O60), 2)</f>
        <v>21.8</v>
      </c>
      <c r="G14" s="198">
        <f>ROUND(N(data!O61), 0)</f>
        <v>2344871</v>
      </c>
      <c r="H14" s="198">
        <f>ROUND(N(data!O62), 0)</f>
        <v>650576</v>
      </c>
      <c r="I14" s="198">
        <f>ROUND(N(data!O63), 0)</f>
        <v>87126</v>
      </c>
      <c r="J14" s="198">
        <f>ROUND(N(data!O64), 0)</f>
        <v>149867</v>
      </c>
      <c r="K14" s="198">
        <f>ROUND(N(data!O65), 0)</f>
        <v>749</v>
      </c>
      <c r="L14" s="198">
        <f>ROUND(N(data!O66), 0)</f>
        <v>38206</v>
      </c>
      <c r="M14" s="198">
        <f>ROUND(N(data!O67), 0)</f>
        <v>310598</v>
      </c>
      <c r="N14" s="198">
        <f>ROUND(N(data!O68), 0)</f>
        <v>0</v>
      </c>
      <c r="O14" s="198">
        <f>ROUND(N(data!O69), 0)</f>
        <v>7642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7642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3356</v>
      </c>
      <c r="AE14" s="198">
        <f>ROUND(N(data!O89), 0)</f>
        <v>3711471</v>
      </c>
      <c r="AF14" s="198">
        <f>ROUND(N(data!O87), 0)</f>
        <v>3077933</v>
      </c>
      <c r="AG14" s="198">
        <f>ROUND(N(data!O90), 0)</f>
        <v>8195</v>
      </c>
      <c r="AH14" s="198">
        <f>ROUND(N(data!O91), 0)</f>
        <v>4022</v>
      </c>
      <c r="AI14" s="198">
        <f>ROUND(N(data!O92), 0)</f>
        <v>2559</v>
      </c>
      <c r="AJ14" s="198">
        <f>ROUND(N(data!O93), 0)</f>
        <v>60532</v>
      </c>
      <c r="AK14" s="271">
        <f>ROUND(N(data!O94), 2)</f>
        <v>14.97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172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249820</v>
      </c>
      <c r="F15" s="271">
        <f>ROUND(N(data!P60), 2)</f>
        <v>56.75</v>
      </c>
      <c r="G15" s="198">
        <f>ROUND(N(data!P61), 0)</f>
        <v>5555457</v>
      </c>
      <c r="H15" s="198">
        <f>ROUND(N(data!P62), 0)</f>
        <v>1541342</v>
      </c>
      <c r="I15" s="198">
        <f>ROUND(N(data!P63), 0)</f>
        <v>472642</v>
      </c>
      <c r="J15" s="198">
        <f>ROUND(N(data!P64), 0)</f>
        <v>1340443</v>
      </c>
      <c r="K15" s="198">
        <f>ROUND(N(data!P65), 0)</f>
        <v>1812</v>
      </c>
      <c r="L15" s="198">
        <f>ROUND(N(data!P66), 0)</f>
        <v>658187</v>
      </c>
      <c r="M15" s="198">
        <f>ROUND(N(data!P67), 0)</f>
        <v>599819</v>
      </c>
      <c r="N15" s="198">
        <f>ROUND(N(data!P68), 0)</f>
        <v>0</v>
      </c>
      <c r="O15" s="198">
        <f>ROUND(N(data!P69), 0)</f>
        <v>1859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1859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4145</v>
      </c>
      <c r="AE15" s="198">
        <f>ROUND(N(data!P89), 0)</f>
        <v>31637753</v>
      </c>
      <c r="AF15" s="198">
        <f>ROUND(N(data!P87), 0)</f>
        <v>3262391</v>
      </c>
      <c r="AG15" s="198">
        <f>ROUND(N(data!P90), 0)</f>
        <v>15826</v>
      </c>
      <c r="AH15" s="198">
        <f>ROUND(N(data!P91), 0)</f>
        <v>2352</v>
      </c>
      <c r="AI15" s="198">
        <f>ROUND(N(data!P92), 0)</f>
        <v>2559</v>
      </c>
      <c r="AJ15" s="198">
        <f>ROUND(N(data!P93), 0)</f>
        <v>77827</v>
      </c>
      <c r="AK15" s="271">
        <f>ROUND(N(data!P94), 2)</f>
        <v>29.54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172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112876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22038</v>
      </c>
      <c r="K16" s="198">
        <f>ROUND(N(data!Q65), 0)</f>
        <v>0</v>
      </c>
      <c r="L16" s="198">
        <f>ROUND(N(data!Q66), 0)</f>
        <v>718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2101318</v>
      </c>
      <c r="AF16" s="198">
        <f>ROUND(N(data!Q87), 0)</f>
        <v>266192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172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3764854</v>
      </c>
      <c r="J17" s="198">
        <f>ROUND(N(data!R64), 0)</f>
        <v>161637</v>
      </c>
      <c r="K17" s="198">
        <f>ROUND(N(data!R65), 0)</f>
        <v>0</v>
      </c>
      <c r="L17" s="198">
        <f>ROUND(N(data!R66), 0)</f>
        <v>1053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13707247</v>
      </c>
      <c r="AF17" s="198">
        <f>ROUND(N(data!R87), 0)</f>
        <v>2088908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172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2.98</v>
      </c>
      <c r="G18" s="198">
        <f>ROUND(N(data!S61), 0)</f>
        <v>237020</v>
      </c>
      <c r="H18" s="198">
        <f>ROUND(N(data!S62), 0)</f>
        <v>65760</v>
      </c>
      <c r="I18" s="198">
        <f>ROUND(N(data!S63), 0)</f>
        <v>6896</v>
      </c>
      <c r="J18" s="198">
        <f>ROUND(N(data!S64), 0)</f>
        <v>7309542</v>
      </c>
      <c r="K18" s="198">
        <f>ROUND(N(data!S65), 0)</f>
        <v>0</v>
      </c>
      <c r="L18" s="198">
        <f>ROUND(N(data!S66), 0)</f>
        <v>4000</v>
      </c>
      <c r="M18" s="198">
        <f>ROUND(N(data!S67), 0)</f>
        <v>51697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143</v>
      </c>
      <c r="AE18" s="198">
        <f>ROUND(N(data!S89), 0)</f>
        <v>23251713</v>
      </c>
      <c r="AF18" s="198">
        <f>ROUND(N(data!S87), 0)</f>
        <v>1878200</v>
      </c>
      <c r="AG18" s="198">
        <f>ROUND(N(data!S90), 0)</f>
        <v>1364</v>
      </c>
      <c r="AH18" s="198">
        <f>ROUND(N(data!S91), 0)</f>
        <v>0</v>
      </c>
      <c r="AI18" s="198">
        <f>ROUND(N(data!S92), 0)</f>
        <v>71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172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172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181071</v>
      </c>
      <c r="F20" s="271">
        <f>ROUND(N(data!U60), 2)</f>
        <v>18.62</v>
      </c>
      <c r="G20" s="198">
        <f>ROUND(N(data!U61), 0)</f>
        <v>1391300</v>
      </c>
      <c r="H20" s="198">
        <f>ROUND(N(data!U62), 0)</f>
        <v>386011</v>
      </c>
      <c r="I20" s="198">
        <f>ROUND(N(data!U63), 0)</f>
        <v>1253496</v>
      </c>
      <c r="J20" s="198">
        <f>ROUND(N(data!U64), 0)</f>
        <v>1486137</v>
      </c>
      <c r="K20" s="198">
        <f>ROUND(N(data!U65), 0)</f>
        <v>1143</v>
      </c>
      <c r="L20" s="198">
        <f>ROUND(N(data!U66), 0)</f>
        <v>204428</v>
      </c>
      <c r="M20" s="198">
        <f>ROUND(N(data!U67), 0)</f>
        <v>77810</v>
      </c>
      <c r="N20" s="198">
        <f>ROUND(N(data!U68), 0)</f>
        <v>0</v>
      </c>
      <c r="O20" s="198">
        <f>ROUND(N(data!U69), 0)</f>
        <v>2176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2176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1180</v>
      </c>
      <c r="AE20" s="198">
        <f>ROUND(N(data!U89), 0)</f>
        <v>18908057</v>
      </c>
      <c r="AF20" s="198">
        <f>ROUND(N(data!U87), 0)</f>
        <v>1722025</v>
      </c>
      <c r="AG20" s="198">
        <f>ROUND(N(data!U90), 0)</f>
        <v>2053</v>
      </c>
      <c r="AH20" s="198">
        <f>ROUND(N(data!U91), 0)</f>
        <v>0</v>
      </c>
      <c r="AI20" s="198">
        <f>ROUND(N(data!U92), 0)</f>
        <v>853</v>
      </c>
      <c r="AJ20" s="198">
        <f>ROUND(N(data!U93), 0)</f>
        <v>12971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172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14781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1101059</v>
      </c>
      <c r="AF21" s="198">
        <f>ROUND(N(data!V87), 0)</f>
        <v>58170</v>
      </c>
      <c r="AG21" s="198">
        <f>ROUND(N(data!V90), 0)</f>
        <v>390</v>
      </c>
      <c r="AH21" s="198">
        <f>ROUND(N(data!V91), 0)</f>
        <v>0</v>
      </c>
      <c r="AI21" s="198">
        <f>ROUND(N(data!V92), 0)</f>
        <v>72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172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4292</v>
      </c>
      <c r="F22" s="271">
        <f>ROUND(N(data!W60), 2)</f>
        <v>6.04</v>
      </c>
      <c r="G22" s="198">
        <f>ROUND(N(data!W61), 0)</f>
        <v>668747</v>
      </c>
      <c r="H22" s="198">
        <f>ROUND(N(data!W62), 0)</f>
        <v>185541</v>
      </c>
      <c r="I22" s="198">
        <f>ROUND(N(data!W63), 0)</f>
        <v>0</v>
      </c>
      <c r="J22" s="198">
        <f>ROUND(N(data!W64), 0)</f>
        <v>16019</v>
      </c>
      <c r="K22" s="198">
        <f>ROUND(N(data!W65), 0)</f>
        <v>0</v>
      </c>
      <c r="L22" s="198">
        <f>ROUND(N(data!W66), 0)</f>
        <v>181160</v>
      </c>
      <c r="M22" s="198">
        <f>ROUND(N(data!W67), 0)</f>
        <v>24029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1098</v>
      </c>
      <c r="AE22" s="198">
        <f>ROUND(N(data!W89), 0)</f>
        <v>12797844</v>
      </c>
      <c r="AF22" s="198">
        <f>ROUND(N(data!W87), 0)</f>
        <v>109199</v>
      </c>
      <c r="AG22" s="198">
        <f>ROUND(N(data!W90), 0)</f>
        <v>634</v>
      </c>
      <c r="AH22" s="198">
        <f>ROUND(N(data!W91), 0)</f>
        <v>0</v>
      </c>
      <c r="AI22" s="198">
        <f>ROUND(N(data!W92), 0)</f>
        <v>142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172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6783</v>
      </c>
      <c r="F23" s="271">
        <f>ROUND(N(data!X60), 2)</f>
        <v>7.03</v>
      </c>
      <c r="G23" s="198">
        <f>ROUND(N(data!X61), 0)</f>
        <v>687355</v>
      </c>
      <c r="H23" s="198">
        <f>ROUND(N(data!X62), 0)</f>
        <v>190704</v>
      </c>
      <c r="I23" s="198">
        <f>ROUND(N(data!X63), 0)</f>
        <v>70759</v>
      </c>
      <c r="J23" s="198">
        <f>ROUND(N(data!X64), 0)</f>
        <v>19098</v>
      </c>
      <c r="K23" s="198">
        <f>ROUND(N(data!X65), 0)</f>
        <v>486</v>
      </c>
      <c r="L23" s="198">
        <f>ROUND(N(data!X66), 0)</f>
        <v>189560</v>
      </c>
      <c r="M23" s="198">
        <f>ROUND(N(data!X67), 0)</f>
        <v>19784</v>
      </c>
      <c r="N23" s="198">
        <f>ROUND(N(data!X68), 0)</f>
        <v>0</v>
      </c>
      <c r="O23" s="198">
        <f>ROUND(N(data!X69), 0)</f>
        <v>865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865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468</v>
      </c>
      <c r="AE23" s="198">
        <f>ROUND(N(data!X89), 0)</f>
        <v>16763613</v>
      </c>
      <c r="AF23" s="198">
        <f>ROUND(N(data!X87), 0)</f>
        <v>657849</v>
      </c>
      <c r="AG23" s="198">
        <f>ROUND(N(data!X90), 0)</f>
        <v>522</v>
      </c>
      <c r="AH23" s="198">
        <f>ROUND(N(data!X91), 0)</f>
        <v>0</v>
      </c>
      <c r="AI23" s="198">
        <f>ROUND(N(data!X92), 0)</f>
        <v>122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172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27617</v>
      </c>
      <c r="F24" s="271">
        <f>ROUND(N(data!Y60), 2)</f>
        <v>16.18</v>
      </c>
      <c r="G24" s="198">
        <f>ROUND(N(data!Y61), 0)</f>
        <v>1408620</v>
      </c>
      <c r="H24" s="198">
        <f>ROUND(N(data!Y62), 0)</f>
        <v>390817</v>
      </c>
      <c r="I24" s="198">
        <f>ROUND(N(data!Y63), 0)</f>
        <v>510146</v>
      </c>
      <c r="J24" s="198">
        <f>ROUND(N(data!Y64), 0)</f>
        <v>95074</v>
      </c>
      <c r="K24" s="198">
        <f>ROUND(N(data!Y65), 0)</f>
        <v>829</v>
      </c>
      <c r="L24" s="198">
        <f>ROUND(N(data!Y66), 0)</f>
        <v>361240</v>
      </c>
      <c r="M24" s="198">
        <f>ROUND(N(data!Y67), 0)</f>
        <v>187003</v>
      </c>
      <c r="N24" s="198">
        <f>ROUND(N(data!Y68), 0)</f>
        <v>0</v>
      </c>
      <c r="O24" s="198">
        <f>ROUND(N(data!Y69), 0)</f>
        <v>5091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5091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4988</v>
      </c>
      <c r="AE24" s="198">
        <f>ROUND(N(data!Y89), 0)</f>
        <v>17445288</v>
      </c>
      <c r="AF24" s="198">
        <f>ROUND(N(data!Y87), 0)</f>
        <v>603758</v>
      </c>
      <c r="AG24" s="198">
        <f>ROUND(N(data!Y90), 0)</f>
        <v>4934</v>
      </c>
      <c r="AH24" s="198">
        <f>ROUND(N(data!Y91), 0)</f>
        <v>0</v>
      </c>
      <c r="AI24" s="198">
        <f>ROUND(N(data!Y92), 0)</f>
        <v>1422</v>
      </c>
      <c r="AJ24" s="198">
        <f>ROUND(N(data!Y93), 0)</f>
        <v>17295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172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172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888</v>
      </c>
      <c r="F26" s="271">
        <f>ROUND(N(data!AA60), 2)</f>
        <v>2.0299999999999998</v>
      </c>
      <c r="G26" s="198">
        <f>ROUND(N(data!AA61), 0)</f>
        <v>264722</v>
      </c>
      <c r="H26" s="198">
        <f>ROUND(N(data!AA62), 0)</f>
        <v>73446</v>
      </c>
      <c r="I26" s="198">
        <f>ROUND(N(data!AA63), 0)</f>
        <v>0</v>
      </c>
      <c r="J26" s="198">
        <f>ROUND(N(data!AA64), 0)</f>
        <v>578354</v>
      </c>
      <c r="K26" s="198">
        <f>ROUND(N(data!AA65), 0)</f>
        <v>0</v>
      </c>
      <c r="L26" s="198">
        <f>ROUND(N(data!AA66), 0)</f>
        <v>528043</v>
      </c>
      <c r="M26" s="198">
        <f>ROUND(N(data!AA67), 0)</f>
        <v>13038</v>
      </c>
      <c r="N26" s="198">
        <f>ROUND(N(data!AA68), 0)</f>
        <v>0</v>
      </c>
      <c r="O26" s="198">
        <f>ROUND(N(data!AA69), 0)</f>
        <v>560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560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3980</v>
      </c>
      <c r="AE26" s="198">
        <f>ROUND(N(data!AA89), 0)</f>
        <v>4268355</v>
      </c>
      <c r="AF26" s="198">
        <f>ROUND(N(data!AA87), 0)</f>
        <v>33822</v>
      </c>
      <c r="AG26" s="198">
        <f>ROUND(N(data!AA90), 0)</f>
        <v>344</v>
      </c>
      <c r="AH26" s="198">
        <f>ROUND(N(data!AA91), 0)</f>
        <v>0</v>
      </c>
      <c r="AI26" s="198">
        <f>ROUND(N(data!AA92), 0)</f>
        <v>72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172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6.32</v>
      </c>
      <c r="G27" s="198">
        <f>ROUND(N(data!AB61), 0)</f>
        <v>870054</v>
      </c>
      <c r="H27" s="198">
        <f>ROUND(N(data!AB62), 0)</f>
        <v>241393</v>
      </c>
      <c r="I27" s="198">
        <f>ROUND(N(data!AB63), 0)</f>
        <v>143938</v>
      </c>
      <c r="J27" s="198">
        <f>ROUND(N(data!AB64), 0)</f>
        <v>4608771</v>
      </c>
      <c r="K27" s="198">
        <f>ROUND(N(data!AB65), 0)</f>
        <v>0</v>
      </c>
      <c r="L27" s="198">
        <f>ROUND(N(data!AB66), 0)</f>
        <v>63159</v>
      </c>
      <c r="M27" s="198">
        <f>ROUND(N(data!AB67), 0)</f>
        <v>37143</v>
      </c>
      <c r="N27" s="198">
        <f>ROUND(N(data!AB68), 0)</f>
        <v>0</v>
      </c>
      <c r="O27" s="198">
        <f>ROUND(N(data!AB69), 0)</f>
        <v>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2391</v>
      </c>
      <c r="AE27" s="198">
        <f>ROUND(N(data!AB89), 0)</f>
        <v>23996955</v>
      </c>
      <c r="AF27" s="198">
        <f>ROUND(N(data!AB87), 0)</f>
        <v>3043009</v>
      </c>
      <c r="AG27" s="198">
        <f>ROUND(N(data!AB90), 0)</f>
        <v>980</v>
      </c>
      <c r="AH27" s="198">
        <f>ROUND(N(data!AB91), 0)</f>
        <v>0</v>
      </c>
      <c r="AI27" s="198">
        <f>ROUND(N(data!AB92), 0)</f>
        <v>184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172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6275</v>
      </c>
      <c r="F28" s="271">
        <f>ROUND(N(data!AC60), 2)</f>
        <v>8.33</v>
      </c>
      <c r="G28" s="198">
        <f>ROUND(N(data!AC61), 0)</f>
        <v>850797</v>
      </c>
      <c r="H28" s="198">
        <f>ROUND(N(data!AC62), 0)</f>
        <v>236051</v>
      </c>
      <c r="I28" s="198">
        <f>ROUND(N(data!AC63), 0)</f>
        <v>628379</v>
      </c>
      <c r="J28" s="198">
        <f>ROUND(N(data!AC64), 0)</f>
        <v>40004</v>
      </c>
      <c r="K28" s="198">
        <f>ROUND(N(data!AC65), 0)</f>
        <v>486</v>
      </c>
      <c r="L28" s="198">
        <f>ROUND(N(data!AC66), 0)</f>
        <v>23226</v>
      </c>
      <c r="M28" s="198">
        <f>ROUND(N(data!AC67), 0)</f>
        <v>49309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1537</v>
      </c>
      <c r="AE28" s="198">
        <f>ROUND(N(data!AC89), 0)</f>
        <v>5077797</v>
      </c>
      <c r="AF28" s="198">
        <f>ROUND(N(data!AC87), 0)</f>
        <v>1955363</v>
      </c>
      <c r="AG28" s="198">
        <f>ROUND(N(data!AC90), 0)</f>
        <v>1301</v>
      </c>
      <c r="AH28" s="198">
        <f>ROUND(N(data!AC91), 0)</f>
        <v>0</v>
      </c>
      <c r="AI28" s="198">
        <f>ROUND(N(data!AC92), 0)</f>
        <v>355</v>
      </c>
      <c r="AJ28" s="198">
        <f>ROUND(N(data!AC93), 0)</f>
        <v>21619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172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172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42437</v>
      </c>
      <c r="F30" s="271">
        <f>ROUND(N(data!AE60), 2)</f>
        <v>44.93</v>
      </c>
      <c r="G30" s="198">
        <f>ROUND(N(data!AE61), 0)</f>
        <v>4111070</v>
      </c>
      <c r="H30" s="198">
        <f>ROUND(N(data!AE62), 0)</f>
        <v>1140602</v>
      </c>
      <c r="I30" s="198">
        <f>ROUND(N(data!AE63), 0)</f>
        <v>1538</v>
      </c>
      <c r="J30" s="198">
        <f>ROUND(N(data!AE64), 0)</f>
        <v>81285</v>
      </c>
      <c r="K30" s="198">
        <f>ROUND(N(data!AE65), 0)</f>
        <v>39376</v>
      </c>
      <c r="L30" s="198">
        <f>ROUND(N(data!AE66), 0)</f>
        <v>90866</v>
      </c>
      <c r="M30" s="198">
        <f>ROUND(N(data!AE67), 0)</f>
        <v>530915</v>
      </c>
      <c r="N30" s="198">
        <f>ROUND(N(data!AE68), 0)</f>
        <v>0</v>
      </c>
      <c r="O30" s="198">
        <f>ROUND(N(data!AE69), 0)</f>
        <v>16837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16837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19435</v>
      </c>
      <c r="AE30" s="198">
        <f>ROUND(N(data!AE89), 0)</f>
        <v>9133980</v>
      </c>
      <c r="AF30" s="198">
        <f>ROUND(N(data!AE87), 0)</f>
        <v>323842</v>
      </c>
      <c r="AG30" s="198">
        <f>ROUND(N(data!AE90), 0)</f>
        <v>14008</v>
      </c>
      <c r="AH30" s="198">
        <f>ROUND(N(data!AE91), 0)</f>
        <v>0</v>
      </c>
      <c r="AI30" s="198">
        <f>ROUND(N(data!AE92), 0)</f>
        <v>2559</v>
      </c>
      <c r="AJ30" s="198">
        <f>ROUND(N(data!AE93), 0)</f>
        <v>52021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172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172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14484</v>
      </c>
      <c r="F32" s="271">
        <f>ROUND(N(data!AG60), 2)</f>
        <v>36.14</v>
      </c>
      <c r="G32" s="198">
        <f>ROUND(N(data!AG61), 0)</f>
        <v>6656789</v>
      </c>
      <c r="H32" s="198">
        <f>ROUND(N(data!AG62), 0)</f>
        <v>1846902</v>
      </c>
      <c r="I32" s="198">
        <f>ROUND(N(data!AG63), 0)</f>
        <v>91077</v>
      </c>
      <c r="J32" s="198">
        <f>ROUND(N(data!AG64), 0)</f>
        <v>258958</v>
      </c>
      <c r="K32" s="198">
        <f>ROUND(N(data!AG65), 0)</f>
        <v>1796</v>
      </c>
      <c r="L32" s="198">
        <f>ROUND(N(data!AG66), 0)</f>
        <v>76751</v>
      </c>
      <c r="M32" s="198">
        <f>ROUND(N(data!AG67), 0)</f>
        <v>226685</v>
      </c>
      <c r="N32" s="198">
        <f>ROUND(N(data!AG68), 0)</f>
        <v>0</v>
      </c>
      <c r="O32" s="198">
        <f>ROUND(N(data!AG69), 0)</f>
        <v>97988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97988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70508</v>
      </c>
      <c r="AE32" s="198">
        <f>ROUND(N(data!AG89), 0)</f>
        <v>37035582</v>
      </c>
      <c r="AF32" s="198">
        <f>ROUND(N(data!AG87), 0)</f>
        <v>776463</v>
      </c>
      <c r="AG32" s="198">
        <f>ROUND(N(data!AG90), 0)</f>
        <v>5981</v>
      </c>
      <c r="AH32" s="198">
        <f>ROUND(N(data!AG91), 0)</f>
        <v>2133</v>
      </c>
      <c r="AI32" s="198">
        <f>ROUND(N(data!AG92), 0)</f>
        <v>2559</v>
      </c>
      <c r="AJ32" s="198">
        <f>ROUND(N(data!AG93), 0)</f>
        <v>77827</v>
      </c>
      <c r="AK32" s="271">
        <f>ROUND(N(data!AG94), 2)</f>
        <v>14.65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172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39002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172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172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443</v>
      </c>
      <c r="F35" s="271">
        <f>ROUND(N(data!AJ60), 2)</f>
        <v>0.8</v>
      </c>
      <c r="G35" s="198">
        <f>ROUND(N(data!AJ61), 0)</f>
        <v>89386</v>
      </c>
      <c r="H35" s="198">
        <f>ROUND(N(data!AJ62), 0)</f>
        <v>24800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2568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2568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174282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333</v>
      </c>
      <c r="AJ35" s="198">
        <f>ROUND(N(data!AJ93), 0)</f>
        <v>0</v>
      </c>
      <c r="AK35" s="271">
        <f>ROUND(N(data!AJ94), 2)</f>
        <v>15.67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172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172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172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172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172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172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67082</v>
      </c>
      <c r="F41" s="271">
        <f>ROUND(N(data!AP60), 2)</f>
        <v>94.17</v>
      </c>
      <c r="G41" s="198">
        <f>ROUND(N(data!AP61), 0)</f>
        <v>12541609</v>
      </c>
      <c r="H41" s="198">
        <f>ROUND(N(data!AP62), 0)</f>
        <v>3479624</v>
      </c>
      <c r="I41" s="198">
        <f>ROUND(N(data!AP63), 0)</f>
        <v>7162755</v>
      </c>
      <c r="J41" s="198">
        <f>ROUND(N(data!AP64), 0)</f>
        <v>761589</v>
      </c>
      <c r="K41" s="198">
        <f>ROUND(N(data!AP65), 0)</f>
        <v>89543</v>
      </c>
      <c r="L41" s="198">
        <f>ROUND(N(data!AP66), 0)</f>
        <v>180139</v>
      </c>
      <c r="M41" s="198">
        <f>ROUND(N(data!AP67), 0)</f>
        <v>708784</v>
      </c>
      <c r="N41" s="198">
        <f>ROUND(N(data!AP68), 0)</f>
        <v>0</v>
      </c>
      <c r="O41" s="198">
        <f>ROUND(N(data!AP69), 0)</f>
        <v>165725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165725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31731</v>
      </c>
      <c r="AE41" s="198">
        <f>ROUND(N(data!AP89), 0)</f>
        <v>36314970</v>
      </c>
      <c r="AF41" s="198">
        <f>ROUND(N(data!AP87), 0)</f>
        <v>1494144</v>
      </c>
      <c r="AG41" s="198">
        <f>ROUND(N(data!AP90), 0)</f>
        <v>18701</v>
      </c>
      <c r="AH41" s="198">
        <f>ROUND(N(data!AP91), 0)</f>
        <v>0</v>
      </c>
      <c r="AI41" s="198">
        <f>ROUND(N(data!AP92), 0)</f>
        <v>0</v>
      </c>
      <c r="AJ41" s="198">
        <f>ROUND(N(data!AP93), 0)</f>
        <v>22473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172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172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172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172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172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172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1.68</v>
      </c>
      <c r="G47" s="198">
        <f>ROUND(N(data!AV61), 0)</f>
        <v>178740</v>
      </c>
      <c r="H47" s="198">
        <f>ROUND(N(data!AV62), 0)</f>
        <v>49591</v>
      </c>
      <c r="I47" s="198">
        <f>ROUND(N(data!AV63), 0)</f>
        <v>1991</v>
      </c>
      <c r="J47" s="198">
        <f>ROUND(N(data!AV64), 0)</f>
        <v>3809</v>
      </c>
      <c r="K47" s="198">
        <f>ROUND(N(data!AV65), 0)</f>
        <v>0</v>
      </c>
      <c r="L47" s="198">
        <f>ROUND(N(data!AV66), 0)</f>
        <v>1852</v>
      </c>
      <c r="M47" s="198">
        <f>ROUND(N(data!AV67), 0)</f>
        <v>18041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15780</v>
      </c>
      <c r="AE47" s="198">
        <f>ROUND(N(data!AV89), 0)</f>
        <v>0</v>
      </c>
      <c r="AF47" s="198">
        <f>ROUND(N(data!AV87), 0)</f>
        <v>0</v>
      </c>
      <c r="AG47" s="198">
        <f>ROUND(N(data!AV90), 0)</f>
        <v>476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172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172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172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20388</v>
      </c>
      <c r="F50" s="271">
        <f>ROUND(N(data!AY60), 2)</f>
        <v>3.93</v>
      </c>
      <c r="G50" s="198">
        <f>ROUND(N(data!AY61), 0)</f>
        <v>316134</v>
      </c>
      <c r="H50" s="198">
        <f>ROUND(N(data!AY62), 0)</f>
        <v>87710</v>
      </c>
      <c r="I50" s="198">
        <f>ROUND(N(data!AY63), 0)</f>
        <v>46512</v>
      </c>
      <c r="J50" s="198">
        <f>ROUND(N(data!AY64), 0)</f>
        <v>11413</v>
      </c>
      <c r="K50" s="198">
        <f>ROUND(N(data!AY65), 0)</f>
        <v>0</v>
      </c>
      <c r="L50" s="198">
        <f>ROUND(N(data!AY66), 0)</f>
        <v>1490</v>
      </c>
      <c r="M50" s="198">
        <f>ROUND(N(data!AY67), 0)</f>
        <v>7997</v>
      </c>
      <c r="N50" s="198">
        <f>ROUND(N(data!AY68), 0)</f>
        <v>0</v>
      </c>
      <c r="O50" s="198">
        <f>ROUND(N(data!AY69), 0)</f>
        <v>3479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3479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1017</v>
      </c>
      <c r="AE50" s="198">
        <f>ROUND(N(data!AY89), 0)</f>
        <v>0</v>
      </c>
      <c r="AF50" s="198">
        <f>ROUND(N(data!AY87), 0)</f>
        <v>0</v>
      </c>
      <c r="AG50" s="198">
        <f>ROUND(N(data!AY90), 0)</f>
        <v>211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172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115948</v>
      </c>
      <c r="F51" s="271">
        <f>ROUND(N(data!AZ60), 2)</f>
        <v>16.510000000000002</v>
      </c>
      <c r="G51" s="198">
        <f>ROUND(N(data!AZ61), 0)</f>
        <v>820226</v>
      </c>
      <c r="H51" s="198">
        <f>ROUND(N(data!AZ62), 0)</f>
        <v>227569</v>
      </c>
      <c r="I51" s="198">
        <f>ROUND(N(data!AZ63), 0)</f>
        <v>0</v>
      </c>
      <c r="J51" s="198">
        <f>ROUND(N(data!AZ64), 0)</f>
        <v>710416</v>
      </c>
      <c r="K51" s="198">
        <f>ROUND(N(data!AZ65), 0)</f>
        <v>0</v>
      </c>
      <c r="L51" s="198">
        <f>ROUND(N(data!AZ66), 0)</f>
        <v>30037</v>
      </c>
      <c r="M51" s="198">
        <f>ROUND(N(data!AZ67), 0)</f>
        <v>164679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3750</v>
      </c>
      <c r="AE51" s="198">
        <f>ROUND(N(data!AZ89), 0)</f>
        <v>0</v>
      </c>
      <c r="AF51" s="198">
        <f>ROUND(N(data!AZ87), 0)</f>
        <v>0</v>
      </c>
      <c r="AG51" s="198">
        <f>ROUND(N(data!AZ90), 0)</f>
        <v>4345</v>
      </c>
      <c r="AH51" s="198">
        <f>ROUND(N(data!AZ91), 0)</f>
        <v>115948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172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1</v>
      </c>
      <c r="G52" s="198">
        <f>ROUND(N(data!BA61), 0)</f>
        <v>48859</v>
      </c>
      <c r="H52" s="198">
        <f>ROUND(N(data!BA62), 0)</f>
        <v>13556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276374</v>
      </c>
      <c r="M52" s="198">
        <f>ROUND(N(data!BA67), 0)</f>
        <v>48892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1290</v>
      </c>
      <c r="AH52" s="198">
        <f>ROUND(N(data!BA91), 0)</f>
        <v>0</v>
      </c>
      <c r="AI52" s="198">
        <f>ROUND(N(data!BA92), 0)</f>
        <v>142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172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5.23</v>
      </c>
      <c r="G53" s="198">
        <f>ROUND(N(data!BB61), 0)</f>
        <v>523629</v>
      </c>
      <c r="H53" s="198">
        <f>ROUND(N(data!BB62), 0)</f>
        <v>145279</v>
      </c>
      <c r="I53" s="198">
        <f>ROUND(N(data!BB63), 0)</f>
        <v>38171</v>
      </c>
      <c r="J53" s="198">
        <f>ROUND(N(data!BB64), 0)</f>
        <v>7000</v>
      </c>
      <c r="K53" s="198">
        <f>ROUND(N(data!BB65), 0)</f>
        <v>2996</v>
      </c>
      <c r="L53" s="198">
        <f>ROUND(N(data!BB66), 0)</f>
        <v>21661</v>
      </c>
      <c r="M53" s="198">
        <f>ROUND(N(data!BB67), 0)</f>
        <v>10309</v>
      </c>
      <c r="N53" s="198">
        <f>ROUND(N(data!BB68), 0)</f>
        <v>0</v>
      </c>
      <c r="O53" s="198">
        <f>ROUND(N(data!BB69), 0)</f>
        <v>6143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6143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1548</v>
      </c>
      <c r="AE53" s="198">
        <f>ROUND(N(data!BB89), 0)</f>
        <v>0</v>
      </c>
      <c r="AF53" s="198">
        <f>ROUND(N(data!BB87), 0)</f>
        <v>0</v>
      </c>
      <c r="AG53" s="198">
        <f>ROUND(N(data!BB90), 0)</f>
        <v>272</v>
      </c>
      <c r="AH53" s="198">
        <f>ROUND(N(data!BB91), 0)</f>
        <v>0</v>
      </c>
      <c r="AI53" s="198">
        <f>ROUND(N(data!BB92), 0)</f>
        <v>35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172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172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3.74</v>
      </c>
      <c r="G55" s="198">
        <f>ROUND(N(data!BD61), 0)</f>
        <v>318301</v>
      </c>
      <c r="H55" s="198">
        <f>ROUND(N(data!BD62), 0)</f>
        <v>88311</v>
      </c>
      <c r="I55" s="198">
        <f>ROUND(N(data!BD63), 0)</f>
        <v>0</v>
      </c>
      <c r="J55" s="198">
        <f>ROUND(N(data!BD64), 0)</f>
        <v>10427</v>
      </c>
      <c r="K55" s="198">
        <f>ROUND(N(data!BD65), 0)</f>
        <v>1169</v>
      </c>
      <c r="L55" s="198">
        <f>ROUND(N(data!BD66), 0)</f>
        <v>21760</v>
      </c>
      <c r="M55" s="198">
        <f>ROUND(N(data!BD67), 0)</f>
        <v>108131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230827</v>
      </c>
      <c r="AE55" s="198">
        <f>ROUND(N(data!BD89), 0)</f>
        <v>0</v>
      </c>
      <c r="AF55" s="198">
        <f>ROUND(N(data!BD87), 0)</f>
        <v>0</v>
      </c>
      <c r="AG55" s="198">
        <f>ROUND(N(data!BD90), 0)</f>
        <v>2853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172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127457</v>
      </c>
      <c r="F56" s="271">
        <f>ROUND(N(data!BE60), 2)</f>
        <v>8.7899999999999991</v>
      </c>
      <c r="G56" s="198">
        <f>ROUND(N(data!BE61), 0)</f>
        <v>721316</v>
      </c>
      <c r="H56" s="198">
        <f>ROUND(N(data!BE62), 0)</f>
        <v>200127</v>
      </c>
      <c r="I56" s="198">
        <f>ROUND(N(data!BE63), 0)</f>
        <v>9708</v>
      </c>
      <c r="J56" s="198">
        <f>ROUND(N(data!BE64), 0)</f>
        <v>22957</v>
      </c>
      <c r="K56" s="198">
        <f>ROUND(N(data!BE65), 0)</f>
        <v>626407</v>
      </c>
      <c r="L56" s="198">
        <f>ROUND(N(data!BE66), 0)</f>
        <v>287888</v>
      </c>
      <c r="M56" s="198">
        <f>ROUND(N(data!BE67), 0)</f>
        <v>413044</v>
      </c>
      <c r="N56" s="198">
        <f>ROUND(N(data!BE68), 0)</f>
        <v>0</v>
      </c>
      <c r="O56" s="198">
        <f>ROUND(N(data!BE69), 0)</f>
        <v>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226</v>
      </c>
      <c r="AE56" s="198">
        <f>ROUND(N(data!BE89), 0)</f>
        <v>0</v>
      </c>
      <c r="AF56" s="198">
        <f>ROUND(N(data!BE87), 0)</f>
        <v>0</v>
      </c>
      <c r="AG56" s="198">
        <f>ROUND(N(data!BE90), 0)</f>
        <v>10898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172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13.67</v>
      </c>
      <c r="G57" s="198">
        <f>ROUND(N(data!BF61), 0)</f>
        <v>678938</v>
      </c>
      <c r="H57" s="198">
        <f>ROUND(N(data!BF62), 0)</f>
        <v>188369</v>
      </c>
      <c r="I57" s="198">
        <f>ROUND(N(data!BF63), 0)</f>
        <v>43335</v>
      </c>
      <c r="J57" s="198">
        <f>ROUND(N(data!BF64), 0)</f>
        <v>101098</v>
      </c>
      <c r="K57" s="198">
        <f>ROUND(N(data!BF65), 0)</f>
        <v>163240</v>
      </c>
      <c r="L57" s="198">
        <f>ROUND(N(data!BF66), 0)</f>
        <v>49389</v>
      </c>
      <c r="M57" s="198">
        <f>ROUND(N(data!BF67), 0)</f>
        <v>168507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3073</v>
      </c>
      <c r="AE57" s="198">
        <f>ROUND(N(data!BF89), 0)</f>
        <v>0</v>
      </c>
      <c r="AF57" s="198">
        <f>ROUND(N(data!BF87), 0)</f>
        <v>0</v>
      </c>
      <c r="AG57" s="198">
        <f>ROUND(N(data!BF90), 0)</f>
        <v>4446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172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172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7.44</v>
      </c>
      <c r="G59" s="198">
        <f>ROUND(N(data!BH61), 0)</f>
        <v>805293</v>
      </c>
      <c r="H59" s="198">
        <f>ROUND(N(data!BH62), 0)</f>
        <v>223426</v>
      </c>
      <c r="I59" s="198">
        <f>ROUND(N(data!BH63), 0)</f>
        <v>0</v>
      </c>
      <c r="J59" s="198">
        <f>ROUND(N(data!BH64), 0)</f>
        <v>23626</v>
      </c>
      <c r="K59" s="198">
        <f>ROUND(N(data!BH65), 0)</f>
        <v>231767</v>
      </c>
      <c r="L59" s="198">
        <f>ROUND(N(data!BH66), 0)</f>
        <v>2022105</v>
      </c>
      <c r="M59" s="198">
        <f>ROUND(N(data!BH67), 0)</f>
        <v>49650</v>
      </c>
      <c r="N59" s="198">
        <f>ROUND(N(data!BH68), 0)</f>
        <v>0</v>
      </c>
      <c r="O59" s="198">
        <f>ROUND(N(data!BH69), 0)</f>
        <v>559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559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2468</v>
      </c>
      <c r="AE59" s="198">
        <f>ROUND(N(data!BH89), 0)</f>
        <v>0</v>
      </c>
      <c r="AF59" s="198">
        <f>ROUND(N(data!BH87), 0)</f>
        <v>0</v>
      </c>
      <c r="AG59" s="198">
        <f>ROUND(N(data!BH90), 0)</f>
        <v>1310</v>
      </c>
      <c r="AH59" s="198">
        <f>ROUND(N(data!BH91), 0)</f>
        <v>0</v>
      </c>
      <c r="AI59" s="198">
        <f>ROUND(N(data!BH92), 0)</f>
        <v>142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172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2</v>
      </c>
      <c r="G60" s="198">
        <f>ROUND(N(data!BI61), 0)</f>
        <v>246446</v>
      </c>
      <c r="H60" s="198">
        <f>ROUND(N(data!BI62), 0)</f>
        <v>68376</v>
      </c>
      <c r="I60" s="198">
        <f>ROUND(N(data!BI63), 0)</f>
        <v>121288</v>
      </c>
      <c r="J60" s="198">
        <f>ROUND(N(data!BI64), 0)</f>
        <v>61359</v>
      </c>
      <c r="K60" s="198">
        <f>ROUND(N(data!BI65), 0)</f>
        <v>2798</v>
      </c>
      <c r="L60" s="198">
        <f>ROUND(N(data!BI66), 0)</f>
        <v>159400</v>
      </c>
      <c r="M60" s="198">
        <f>ROUND(N(data!BI67), 0)</f>
        <v>0</v>
      </c>
      <c r="N60" s="198">
        <f>ROUND(N(data!BI68), 0)</f>
        <v>0</v>
      </c>
      <c r="O60" s="198">
        <f>ROUND(N(data!BI69), 0)</f>
        <v>1165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1165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47432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172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4.68</v>
      </c>
      <c r="G61" s="198">
        <f>ROUND(N(data!BJ61), 0)</f>
        <v>428481</v>
      </c>
      <c r="H61" s="198">
        <f>ROUND(N(data!BJ62), 0)</f>
        <v>118881</v>
      </c>
      <c r="I61" s="198">
        <f>ROUND(N(data!BJ63), 0)</f>
        <v>84383</v>
      </c>
      <c r="J61" s="198">
        <f>ROUND(N(data!BJ64), 0)</f>
        <v>2655</v>
      </c>
      <c r="K61" s="198">
        <f>ROUND(N(data!BJ65), 0)</f>
        <v>486</v>
      </c>
      <c r="L61" s="198">
        <f>ROUND(N(data!BJ66), 0)</f>
        <v>3614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30663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172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20.350000000000001</v>
      </c>
      <c r="G62" s="198">
        <f>ROUND(N(data!BK61), 0)</f>
        <v>1555665</v>
      </c>
      <c r="H62" s="198">
        <f>ROUND(N(data!BK62), 0)</f>
        <v>431614</v>
      </c>
      <c r="I62" s="198">
        <f>ROUND(N(data!BK63), 0)</f>
        <v>4768743</v>
      </c>
      <c r="J62" s="198">
        <f>ROUND(N(data!BK64), 0)</f>
        <v>12891</v>
      </c>
      <c r="K62" s="198">
        <f>ROUND(N(data!BK65), 0)</f>
        <v>4060</v>
      </c>
      <c r="L62" s="198">
        <f>ROUND(N(data!BK66), 0)</f>
        <v>426978</v>
      </c>
      <c r="M62" s="198">
        <f>ROUND(N(data!BK67), 0)</f>
        <v>0</v>
      </c>
      <c r="N62" s="198">
        <f>ROUND(N(data!BK68), 0)</f>
        <v>0</v>
      </c>
      <c r="O62" s="198">
        <f>ROUND(N(data!BK69), 0)</f>
        <v>12487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12487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441375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475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172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16.97</v>
      </c>
      <c r="G63" s="198">
        <f>ROUND(N(data!BL61), 0)</f>
        <v>887931</v>
      </c>
      <c r="H63" s="198">
        <f>ROUND(N(data!BL62), 0)</f>
        <v>246353</v>
      </c>
      <c r="I63" s="198">
        <f>ROUND(N(data!BL63), 0)</f>
        <v>0</v>
      </c>
      <c r="J63" s="198">
        <f>ROUND(N(data!BL64), 0)</f>
        <v>9245</v>
      </c>
      <c r="K63" s="198">
        <f>ROUND(N(data!BL65), 0)</f>
        <v>486</v>
      </c>
      <c r="L63" s="198">
        <f>ROUND(N(data!BL66), 0)</f>
        <v>8765</v>
      </c>
      <c r="M63" s="198">
        <f>ROUND(N(data!BL67), 0)</f>
        <v>39114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1032</v>
      </c>
      <c r="AH63" s="198">
        <f>ROUND(N(data!BL91), 0)</f>
        <v>0</v>
      </c>
      <c r="AI63" s="198">
        <f>ROUND(N(data!BL92), 0)</f>
        <v>203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172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2</v>
      </c>
      <c r="G64" s="198">
        <f>ROUND(N(data!BM61), 0)</f>
        <v>396301</v>
      </c>
      <c r="H64" s="198">
        <f>ROUND(N(data!BM62), 0)</f>
        <v>109952</v>
      </c>
      <c r="I64" s="198">
        <f>ROUND(N(data!BM63), 0)</f>
        <v>231206</v>
      </c>
      <c r="J64" s="198">
        <f>ROUND(N(data!BM64), 0)</f>
        <v>6692</v>
      </c>
      <c r="K64" s="198">
        <f>ROUND(N(data!BM65), 0)</f>
        <v>2708</v>
      </c>
      <c r="L64" s="198">
        <f>ROUND(N(data!BM66), 0)</f>
        <v>398627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34888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172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14</v>
      </c>
      <c r="G65" s="198">
        <f>ROUND(N(data!BN61), 0)</f>
        <v>1406351</v>
      </c>
      <c r="H65" s="198">
        <f>ROUND(N(data!BN62), 0)</f>
        <v>390187</v>
      </c>
      <c r="I65" s="198">
        <f>ROUND(N(data!BN63), 0)</f>
        <v>214643</v>
      </c>
      <c r="J65" s="198">
        <f>ROUND(N(data!BN64), 0)</f>
        <v>30417</v>
      </c>
      <c r="K65" s="198">
        <f>ROUND(N(data!BN65), 0)</f>
        <v>16705</v>
      </c>
      <c r="L65" s="198">
        <f>ROUND(N(data!BN66), 0)</f>
        <v>102734</v>
      </c>
      <c r="M65" s="198">
        <f>ROUND(N(data!BN67), 0)</f>
        <v>69700</v>
      </c>
      <c r="N65" s="198">
        <f>ROUND(N(data!BN68), 0)</f>
        <v>0</v>
      </c>
      <c r="O65" s="198">
        <f>ROUND(N(data!BN69), 0)</f>
        <v>21363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21363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235977</v>
      </c>
      <c r="AE65" s="198">
        <f>ROUND(N(data!BN89), 0)</f>
        <v>0</v>
      </c>
      <c r="AF65" s="198">
        <f>ROUND(N(data!BN87), 0)</f>
        <v>0</v>
      </c>
      <c r="AG65" s="198">
        <f>ROUND(N(data!BN90), 0)</f>
        <v>1839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172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2</v>
      </c>
      <c r="G66" s="198">
        <f>ROUND(N(data!BO61), 0)</f>
        <v>208433</v>
      </c>
      <c r="H66" s="198">
        <f>ROUND(N(data!BO62), 0)</f>
        <v>57829</v>
      </c>
      <c r="I66" s="198">
        <f>ROUND(N(data!BO63), 0)</f>
        <v>0</v>
      </c>
      <c r="J66" s="198">
        <f>ROUND(N(data!BO64), 0)</f>
        <v>1903</v>
      </c>
      <c r="K66" s="198">
        <f>ROUND(N(data!BO65), 0)</f>
        <v>1938</v>
      </c>
      <c r="L66" s="198">
        <f>ROUND(N(data!BO66), 0)</f>
        <v>13614</v>
      </c>
      <c r="M66" s="198">
        <f>ROUND(N(data!BO67), 0)</f>
        <v>0</v>
      </c>
      <c r="N66" s="198">
        <f>ROUND(N(data!BO68), 0)</f>
        <v>0</v>
      </c>
      <c r="O66" s="198">
        <f>ROUND(N(data!BO69), 0)</f>
        <v>2234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2234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639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172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4.01</v>
      </c>
      <c r="G67" s="198">
        <f>ROUND(N(data!BP61), 0)</f>
        <v>360601</v>
      </c>
      <c r="H67" s="198">
        <f>ROUND(N(data!BP62), 0)</f>
        <v>100047</v>
      </c>
      <c r="I67" s="198">
        <f>ROUND(N(data!BP63), 0)</f>
        <v>568663</v>
      </c>
      <c r="J67" s="198">
        <f>ROUND(N(data!BP64), 0)</f>
        <v>35846</v>
      </c>
      <c r="K67" s="198">
        <f>ROUND(N(data!BP65), 0)</f>
        <v>0</v>
      </c>
      <c r="L67" s="198">
        <f>ROUND(N(data!BP66), 0)</f>
        <v>124207</v>
      </c>
      <c r="M67" s="198">
        <f>ROUND(N(data!BP67), 0)</f>
        <v>0</v>
      </c>
      <c r="N67" s="198">
        <f>ROUND(N(data!BP68), 0)</f>
        <v>0</v>
      </c>
      <c r="O67" s="198">
        <f>ROUND(N(data!BP69), 0)</f>
        <v>5081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5081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29172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172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172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6.63</v>
      </c>
      <c r="G69" s="198">
        <f>ROUND(N(data!BR61), 0)</f>
        <v>715394</v>
      </c>
      <c r="H69" s="198">
        <f>ROUND(N(data!BR62), 0)</f>
        <v>198484</v>
      </c>
      <c r="I69" s="198">
        <f>ROUND(N(data!BR63), 0)</f>
        <v>72113</v>
      </c>
      <c r="J69" s="198">
        <f>ROUND(N(data!BR64), 0)</f>
        <v>9002</v>
      </c>
      <c r="K69" s="198">
        <f>ROUND(N(data!BR65), 0)</f>
        <v>971</v>
      </c>
      <c r="L69" s="198">
        <f>ROUND(N(data!BR66), 0)</f>
        <v>-813307</v>
      </c>
      <c r="M69" s="198">
        <f>ROUND(N(data!BR67), 0)</f>
        <v>0</v>
      </c>
      <c r="N69" s="198">
        <f>ROUND(N(data!BR68), 0)</f>
        <v>0</v>
      </c>
      <c r="O69" s="198">
        <f>ROUND(N(data!BR69), 0)</f>
        <v>2567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2567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80060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172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1.57</v>
      </c>
      <c r="G70" s="198">
        <f>ROUND(N(data!BS61), 0)</f>
        <v>115324</v>
      </c>
      <c r="H70" s="198">
        <f>ROUND(N(data!BS62), 0)</f>
        <v>31996</v>
      </c>
      <c r="I70" s="198">
        <f>ROUND(N(data!BS63), 0)</f>
        <v>0</v>
      </c>
      <c r="J70" s="198">
        <f>ROUND(N(data!BS64), 0)</f>
        <v>98</v>
      </c>
      <c r="K70" s="198">
        <f>ROUND(N(data!BS65), 0)</f>
        <v>0</v>
      </c>
      <c r="L70" s="198">
        <f>ROUND(N(data!BS66), 0)</f>
        <v>0</v>
      </c>
      <c r="M70" s="198">
        <f>ROUND(N(data!BS67), 0)</f>
        <v>18837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205</v>
      </c>
      <c r="AE70" s="198">
        <f>ROUND(N(data!BS89), 0)</f>
        <v>0</v>
      </c>
      <c r="AF70" s="198">
        <f>ROUND(N(data!BS87), 0)</f>
        <v>0</v>
      </c>
      <c r="AG70" s="198">
        <f>ROUND(N(data!BS90), 0)</f>
        <v>497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172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172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172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3.99</v>
      </c>
      <c r="G73" s="198">
        <f>ROUND(N(data!BV61), 0)</f>
        <v>309053</v>
      </c>
      <c r="H73" s="198">
        <f>ROUND(N(data!BV62), 0)</f>
        <v>85746</v>
      </c>
      <c r="I73" s="198">
        <f>ROUND(N(data!BV63), 0)</f>
        <v>7000</v>
      </c>
      <c r="J73" s="198">
        <f>ROUND(N(data!BV64), 0)</f>
        <v>1167</v>
      </c>
      <c r="K73" s="198">
        <f>ROUND(N(data!BV65), 0)</f>
        <v>3097</v>
      </c>
      <c r="L73" s="198">
        <f>ROUND(N(data!BV66), 0)</f>
        <v>127260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566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317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172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1.37</v>
      </c>
      <c r="G74" s="198">
        <f>ROUND(N(data!BW61), 0)</f>
        <v>369345</v>
      </c>
      <c r="H74" s="198">
        <f>ROUND(N(data!BW62), 0)</f>
        <v>102473</v>
      </c>
      <c r="I74" s="198">
        <f>ROUND(N(data!BW63), 0)</f>
        <v>292124</v>
      </c>
      <c r="J74" s="198">
        <f>ROUND(N(data!BW64), 0)</f>
        <v>8883</v>
      </c>
      <c r="K74" s="198">
        <f>ROUND(N(data!BW65), 0)</f>
        <v>480</v>
      </c>
      <c r="L74" s="198">
        <f>ROUND(N(data!BW66), 0)</f>
        <v>53661</v>
      </c>
      <c r="M74" s="198">
        <f>ROUND(N(data!BW67), 0)</f>
        <v>8907</v>
      </c>
      <c r="N74" s="198">
        <f>ROUND(N(data!BW68), 0)</f>
        <v>0</v>
      </c>
      <c r="O74" s="198">
        <f>ROUND(N(data!BW69), 0)</f>
        <v>13857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13857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12686</v>
      </c>
      <c r="AE74" s="198">
        <f>ROUND(N(data!BW89), 0)</f>
        <v>0</v>
      </c>
      <c r="AF74" s="198">
        <f>ROUND(N(data!BW87), 0)</f>
        <v>0</v>
      </c>
      <c r="AG74" s="198">
        <f>ROUND(N(data!BW90), 0)</f>
        <v>235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172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2.81</v>
      </c>
      <c r="G75" s="198">
        <f>ROUND(N(data!BX61), 0)</f>
        <v>269085</v>
      </c>
      <c r="H75" s="198">
        <f>ROUND(N(data!BX62), 0)</f>
        <v>74657</v>
      </c>
      <c r="I75" s="198">
        <f>ROUND(N(data!BX63), 0)</f>
        <v>33524</v>
      </c>
      <c r="J75" s="198">
        <f>ROUND(N(data!BX64), 0)</f>
        <v>8001</v>
      </c>
      <c r="K75" s="198">
        <f>ROUND(N(data!BX65), 0)</f>
        <v>0</v>
      </c>
      <c r="L75" s="198">
        <f>ROUND(N(data!BX66), 0)</f>
        <v>157330</v>
      </c>
      <c r="M75" s="198">
        <f>ROUND(N(data!BX67), 0)</f>
        <v>5685</v>
      </c>
      <c r="N75" s="198">
        <f>ROUND(N(data!BX68), 0)</f>
        <v>0</v>
      </c>
      <c r="O75" s="198">
        <f>ROUND(N(data!BX69), 0)</f>
        <v>8310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8310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4940</v>
      </c>
      <c r="AE75" s="198">
        <f>ROUND(N(data!BX89), 0)</f>
        <v>0</v>
      </c>
      <c r="AF75" s="198">
        <f>ROUND(N(data!BX87), 0)</f>
        <v>0</v>
      </c>
      <c r="AG75" s="198">
        <f>ROUND(N(data!BX90), 0)</f>
        <v>150</v>
      </c>
      <c r="AH75" s="198">
        <f>ROUND(N(data!BX91), 0)</f>
        <v>0</v>
      </c>
      <c r="AI75" s="198">
        <f>ROUND(N(data!BX92), 0)</f>
        <v>35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172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6.08</v>
      </c>
      <c r="G76" s="198">
        <f>ROUND(N(data!BY61), 0)</f>
        <v>1001930</v>
      </c>
      <c r="H76" s="198">
        <f>ROUND(N(data!BY62), 0)</f>
        <v>277982</v>
      </c>
      <c r="I76" s="198">
        <f>ROUND(N(data!BY63), 0)</f>
        <v>9079</v>
      </c>
      <c r="J76" s="198">
        <f>ROUND(N(data!BY64), 0)</f>
        <v>6189</v>
      </c>
      <c r="K76" s="198">
        <f>ROUND(N(data!BY65), 0)</f>
        <v>920</v>
      </c>
      <c r="L76" s="198">
        <f>ROUND(N(data!BY66), 0)</f>
        <v>30143</v>
      </c>
      <c r="M76" s="198">
        <f>ROUND(N(data!BY67), 0)</f>
        <v>5117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2151</v>
      </c>
      <c r="AE76" s="198">
        <f>ROUND(N(data!BY89), 0)</f>
        <v>0</v>
      </c>
      <c r="AF76" s="198">
        <f>ROUND(N(data!BY87), 0)</f>
        <v>0</v>
      </c>
      <c r="AG76" s="198">
        <f>ROUND(N(data!BY90), 0)</f>
        <v>135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172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172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172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172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4.8899999999999997</v>
      </c>
      <c r="G80" s="198">
        <f>ROUND(N(data!CC61), 0)</f>
        <v>545224</v>
      </c>
      <c r="H80" s="198">
        <f>ROUND(N(data!CC62), 0)</f>
        <v>151270</v>
      </c>
      <c r="I80" s="198">
        <f>ROUND(N(data!CC63), 0)</f>
        <v>54859</v>
      </c>
      <c r="J80" s="198">
        <f>ROUND(N(data!CC64), 0)</f>
        <v>6937</v>
      </c>
      <c r="K80" s="198">
        <f>ROUND(N(data!CC65), 0)</f>
        <v>12765</v>
      </c>
      <c r="L80" s="198">
        <f>ROUND(N(data!CC66), 0)</f>
        <v>8723</v>
      </c>
      <c r="M80" s="198">
        <f>ROUND(N(data!CC67), 0)</f>
        <v>427484</v>
      </c>
      <c r="N80" s="198">
        <f>ROUND(N(data!CC68), 0)</f>
        <v>0</v>
      </c>
      <c r="O80" s="198">
        <f>ROUND(N(data!CC69), 0)</f>
        <v>1508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1508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4846</v>
      </c>
      <c r="AE80" s="198">
        <f>ROUND(N(data!CC89), 0)</f>
        <v>0</v>
      </c>
      <c r="AF80" s="198">
        <f>ROUND(N(data!CC87), 0)</f>
        <v>0</v>
      </c>
      <c r="AG80" s="198">
        <f>ROUND(N(data!CC90), 0)</f>
        <v>11279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data!Print_Area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2025-06-27T20:58:16Z</cp:lastPrinted>
  <dcterms:created xsi:type="dcterms:W3CDTF">1999-06-02T22:01:56Z</dcterms:created>
  <dcterms:modified xsi:type="dcterms:W3CDTF">2025-07-29T20:42:26Z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