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Corrected for Hofidar\"/>
    </mc:Choice>
  </mc:AlternateContent>
  <xr:revisionPtr revIDLastSave="0" documentId="13_ncr:1_{E9BC2FF1-A6D0-4D2F-8231-FF8602CC11F4}" xr6:coauthVersionLast="47" xr6:coauthVersionMax="47" xr10:uidLastSave="{00000000-0000-0000-0000-000000000000}"/>
  <bookViews>
    <workbookView xWindow="-120" yWindow="-120" windowWidth="29040" windowHeight="157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0" l="1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O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O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6" i="34"/>
  <c r="C713" i="34"/>
  <c r="C712" i="34"/>
  <c r="C711" i="34"/>
  <c r="C710" i="34"/>
  <c r="C709" i="34"/>
  <c r="C708" i="34"/>
  <c r="C707" i="34"/>
  <c r="C706" i="34"/>
  <c r="C705" i="34"/>
  <c r="C704" i="34"/>
  <c r="C703" i="34"/>
  <c r="C702" i="34"/>
  <c r="C701" i="34"/>
  <c r="C700" i="34"/>
  <c r="C699" i="34"/>
  <c r="C698" i="34"/>
  <c r="C697" i="34"/>
  <c r="C696" i="34"/>
  <c r="C695" i="34"/>
  <c r="C694" i="34"/>
  <c r="C693" i="34"/>
  <c r="C692" i="34"/>
  <c r="C691" i="34"/>
  <c r="C690" i="34"/>
  <c r="C689" i="34"/>
  <c r="C688" i="34"/>
  <c r="C687" i="34"/>
  <c r="C686" i="34"/>
  <c r="C685" i="34"/>
  <c r="C684" i="34"/>
  <c r="C683" i="34"/>
  <c r="C682" i="34"/>
  <c r="C681" i="34"/>
  <c r="C680" i="34"/>
  <c r="C679" i="34"/>
  <c r="C678" i="34"/>
  <c r="C677" i="34"/>
  <c r="C676" i="34"/>
  <c r="C675" i="34"/>
  <c r="C674" i="34"/>
  <c r="C673" i="34"/>
  <c r="C672" i="34"/>
  <c r="C671" i="34"/>
  <c r="C670" i="34"/>
  <c r="C669" i="34"/>
  <c r="C668" i="34"/>
  <c r="C647" i="34"/>
  <c r="C646" i="34"/>
  <c r="C645" i="34"/>
  <c r="C644" i="34"/>
  <c r="C643" i="34"/>
  <c r="C642" i="34"/>
  <c r="C641" i="34"/>
  <c r="C640" i="34"/>
  <c r="C639" i="34"/>
  <c r="C638" i="34"/>
  <c r="C637" i="34"/>
  <c r="C636" i="34"/>
  <c r="C635" i="34"/>
  <c r="C634" i="34"/>
  <c r="C633" i="34"/>
  <c r="C632" i="34"/>
  <c r="C631" i="34"/>
  <c r="C630" i="34"/>
  <c r="C629" i="34"/>
  <c r="C628" i="34"/>
  <c r="C627" i="34"/>
  <c r="C626" i="34"/>
  <c r="C625" i="34"/>
  <c r="C624" i="34"/>
  <c r="C623" i="34"/>
  <c r="C622" i="34"/>
  <c r="C621" i="34"/>
  <c r="C620" i="34"/>
  <c r="C619" i="34"/>
  <c r="C618" i="34"/>
  <c r="C617" i="34"/>
  <c r="C616" i="34"/>
  <c r="C615" i="34"/>
  <c r="C614" i="34"/>
  <c r="L612" i="34"/>
  <c r="K612" i="34"/>
  <c r="J612" i="34"/>
  <c r="I612" i="34"/>
  <c r="H612" i="34"/>
  <c r="G612" i="34"/>
  <c r="F612" i="34"/>
  <c r="D612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1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8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22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E28" i="4"/>
  <c r="D28" i="4"/>
  <c r="C28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E64" i="15"/>
  <c r="D64" i="15"/>
  <c r="B64" i="15"/>
  <c r="F63" i="15"/>
  <c r="E63" i="15"/>
  <c r="D63" i="15"/>
  <c r="B63" i="15"/>
  <c r="I62" i="15"/>
  <c r="B62" i="15"/>
  <c r="I61" i="15"/>
  <c r="B61" i="15"/>
  <c r="I60" i="15"/>
  <c r="B60" i="15"/>
  <c r="E59" i="15"/>
  <c r="D59" i="15"/>
  <c r="B59" i="15"/>
  <c r="H58" i="15"/>
  <c r="I58" i="15" s="1"/>
  <c r="F58" i="15"/>
  <c r="E58" i="15"/>
  <c r="D58" i="15"/>
  <c r="B58" i="15"/>
  <c r="H57" i="15"/>
  <c r="I57" i="15" s="1"/>
  <c r="F57" i="15"/>
  <c r="E57" i="15"/>
  <c r="D57" i="15"/>
  <c r="B57" i="15"/>
  <c r="H56" i="15"/>
  <c r="I56" i="15" s="1"/>
  <c r="F56" i="15"/>
  <c r="E56" i="15"/>
  <c r="D56" i="15"/>
  <c r="B56" i="15"/>
  <c r="H55" i="15"/>
  <c r="I55" i="15" s="1"/>
  <c r="F55" i="15"/>
  <c r="E55" i="15"/>
  <c r="D55" i="15"/>
  <c r="B55" i="15"/>
  <c r="H54" i="15"/>
  <c r="I54" i="15" s="1"/>
  <c r="F54" i="15"/>
  <c r="E54" i="15"/>
  <c r="D54" i="15"/>
  <c r="B54" i="15"/>
  <c r="H53" i="15"/>
  <c r="I53" i="15" s="1"/>
  <c r="E53" i="15"/>
  <c r="D53" i="15"/>
  <c r="B53" i="15"/>
  <c r="F53" i="15" s="1"/>
  <c r="H52" i="15"/>
  <c r="I52" i="15" s="1"/>
  <c r="F52" i="15"/>
  <c r="E52" i="15"/>
  <c r="D52" i="15"/>
  <c r="B52" i="15"/>
  <c r="H51" i="15"/>
  <c r="I51" i="15" s="1"/>
  <c r="F51" i="15"/>
  <c r="E51" i="15"/>
  <c r="D51" i="15"/>
  <c r="B51" i="15"/>
  <c r="F50" i="15"/>
  <c r="E50" i="15"/>
  <c r="D50" i="15"/>
  <c r="B50" i="15"/>
  <c r="F49" i="15"/>
  <c r="E49" i="15"/>
  <c r="D49" i="15"/>
  <c r="B49" i="15"/>
  <c r="E48" i="15"/>
  <c r="D48" i="15"/>
  <c r="F48" i="15" s="1"/>
  <c r="B48" i="15"/>
  <c r="E47" i="15"/>
  <c r="D47" i="15"/>
  <c r="F47" i="15" s="1"/>
  <c r="B47" i="15"/>
  <c r="H46" i="15"/>
  <c r="I46" i="15" s="1"/>
  <c r="F46" i="15"/>
  <c r="E46" i="15"/>
  <c r="D46" i="15"/>
  <c r="B46" i="15"/>
  <c r="E45" i="15"/>
  <c r="D45" i="15"/>
  <c r="B45" i="15"/>
  <c r="H44" i="15"/>
  <c r="I44" i="15" s="1"/>
  <c r="F44" i="15"/>
  <c r="E44" i="15"/>
  <c r="D44" i="15"/>
  <c r="B44" i="15"/>
  <c r="E43" i="15"/>
  <c r="D43" i="15"/>
  <c r="B43" i="15"/>
  <c r="F42" i="15"/>
  <c r="E42" i="15"/>
  <c r="D42" i="15"/>
  <c r="B42" i="15"/>
  <c r="E41" i="15"/>
  <c r="D41" i="15"/>
  <c r="B41" i="15"/>
  <c r="F41" i="15" s="1"/>
  <c r="I40" i="15"/>
  <c r="B40" i="15"/>
  <c r="E39" i="15"/>
  <c r="D39" i="15"/>
  <c r="B39" i="15"/>
  <c r="E38" i="15"/>
  <c r="D38" i="15"/>
  <c r="B38" i="15"/>
  <c r="E37" i="15"/>
  <c r="D37" i="15"/>
  <c r="B37" i="15"/>
  <c r="E36" i="15"/>
  <c r="D36" i="15"/>
  <c r="B36" i="15"/>
  <c r="E35" i="15"/>
  <c r="D35" i="15"/>
  <c r="B35" i="15"/>
  <c r="E34" i="15"/>
  <c r="D34" i="15"/>
  <c r="B34" i="15"/>
  <c r="E33" i="15"/>
  <c r="D33" i="15"/>
  <c r="B33" i="15"/>
  <c r="I32" i="15"/>
  <c r="B32" i="15"/>
  <c r="I31" i="15"/>
  <c r="B31" i="15"/>
  <c r="E30" i="15"/>
  <c r="D30" i="15"/>
  <c r="B30" i="15"/>
  <c r="H29" i="15"/>
  <c r="I29" i="15" s="1"/>
  <c r="F29" i="15"/>
  <c r="E29" i="15"/>
  <c r="D29" i="15"/>
  <c r="B29" i="15"/>
  <c r="E28" i="15"/>
  <c r="D28" i="15"/>
  <c r="B28" i="15"/>
  <c r="E27" i="15"/>
  <c r="D27" i="15"/>
  <c r="B27" i="15"/>
  <c r="F27" i="15" s="1"/>
  <c r="H26" i="15"/>
  <c r="I26" i="15" s="1"/>
  <c r="E26" i="15"/>
  <c r="D26" i="15"/>
  <c r="B26" i="15"/>
  <c r="F26" i="15" s="1"/>
  <c r="E25" i="15"/>
  <c r="D25" i="15"/>
  <c r="B25" i="15"/>
  <c r="E24" i="15"/>
  <c r="D24" i="15"/>
  <c r="B24" i="15"/>
  <c r="H23" i="15"/>
  <c r="I23" i="15" s="1"/>
  <c r="F23" i="15"/>
  <c r="E23" i="15"/>
  <c r="D23" i="15"/>
  <c r="B23" i="15"/>
  <c r="E22" i="15"/>
  <c r="D22" i="15"/>
  <c r="B22" i="15"/>
  <c r="H21" i="15"/>
  <c r="I21" i="15" s="1"/>
  <c r="F21" i="15"/>
  <c r="E21" i="15"/>
  <c r="D21" i="15"/>
  <c r="B21" i="15"/>
  <c r="E20" i="15"/>
  <c r="D20" i="15"/>
  <c r="B20" i="15"/>
  <c r="H19" i="15"/>
  <c r="I19" i="15" s="1"/>
  <c r="F19" i="15"/>
  <c r="E19" i="15"/>
  <c r="D19" i="15"/>
  <c r="B19" i="15"/>
  <c r="E18" i="15"/>
  <c r="D18" i="15"/>
  <c r="B18" i="15"/>
  <c r="E17" i="15"/>
  <c r="D17" i="15"/>
  <c r="B17" i="15"/>
  <c r="E16" i="15"/>
  <c r="D16" i="15"/>
  <c r="B16" i="15"/>
  <c r="F15" i="15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F420" i="24"/>
  <c r="D420" i="24"/>
  <c r="C170" i="8" s="1"/>
  <c r="D415" i="24"/>
  <c r="D381" i="24"/>
  <c r="C365" i="24"/>
  <c r="D360" i="24"/>
  <c r="D340" i="24"/>
  <c r="C86" i="8" s="1"/>
  <c r="D339" i="24"/>
  <c r="D329" i="24"/>
  <c r="C74" i="8" s="1"/>
  <c r="D324" i="24"/>
  <c r="D306" i="24"/>
  <c r="C49" i="8" s="1"/>
  <c r="D299" i="24"/>
  <c r="C42" i="8" s="1"/>
  <c r="D293" i="24"/>
  <c r="C35" i="8" s="1"/>
  <c r="D291" i="24"/>
  <c r="D281" i="24"/>
  <c r="C22" i="8" s="1"/>
  <c r="D276" i="24"/>
  <c r="C16" i="8" s="1"/>
  <c r="D256" i="24"/>
  <c r="D27" i="7" s="1"/>
  <c r="D252" i="24"/>
  <c r="D245" i="24"/>
  <c r="D13" i="7" s="1"/>
  <c r="D237" i="24"/>
  <c r="CF2" i="28" s="1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G28" i="4" s="1"/>
  <c r="E168" i="24"/>
  <c r="E167" i="24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CE91" i="24"/>
  <c r="CE90" i="24"/>
  <c r="I380" i="32" s="1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C154" i="32" s="1"/>
  <c r="AD89" i="24"/>
  <c r="AC89" i="24"/>
  <c r="AB89" i="24"/>
  <c r="AE27" i="31" s="1"/>
  <c r="AA89" i="24"/>
  <c r="Z89" i="24"/>
  <c r="Y89" i="24"/>
  <c r="X89" i="24"/>
  <c r="W89" i="24"/>
  <c r="V89" i="24"/>
  <c r="U89" i="24"/>
  <c r="AE20" i="31" s="1"/>
  <c r="T89" i="24"/>
  <c r="AE19" i="31" s="1"/>
  <c r="S89" i="24"/>
  <c r="R89" i="24"/>
  <c r="Q89" i="24"/>
  <c r="P89" i="24"/>
  <c r="O89" i="24"/>
  <c r="N89" i="24"/>
  <c r="M89" i="24"/>
  <c r="L89" i="24"/>
  <c r="K89" i="24"/>
  <c r="AE10" i="31" s="1"/>
  <c r="J89" i="24"/>
  <c r="I89" i="24"/>
  <c r="H89" i="24"/>
  <c r="G89" i="24"/>
  <c r="AE6" i="31" s="1"/>
  <c r="F89" i="24"/>
  <c r="E89" i="24"/>
  <c r="D89" i="24"/>
  <c r="AE3" i="31" s="1"/>
  <c r="C89" i="24"/>
  <c r="AE2" i="31" s="1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C69" i="24"/>
  <c r="O80" i="31" s="1"/>
  <c r="CB69" i="24"/>
  <c r="CA69" i="24"/>
  <c r="I339" i="32" s="1"/>
  <c r="BZ69" i="24"/>
  <c r="BY69" i="24"/>
  <c r="BX69" i="24"/>
  <c r="O75" i="31" s="1"/>
  <c r="BW69" i="24"/>
  <c r="BV69" i="24"/>
  <c r="BU69" i="24"/>
  <c r="BT69" i="24"/>
  <c r="O71" i="31" s="1"/>
  <c r="BS69" i="24"/>
  <c r="O70" i="31" s="1"/>
  <c r="BR69" i="24"/>
  <c r="BQ69" i="24"/>
  <c r="O68" i="31" s="1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F211" i="32" s="1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C147" i="32" s="1"/>
  <c r="AD69" i="24"/>
  <c r="AC69" i="24"/>
  <c r="AB69" i="24"/>
  <c r="AA69" i="24"/>
  <c r="Z69" i="24"/>
  <c r="Y69" i="24"/>
  <c r="X69" i="24"/>
  <c r="W69" i="24"/>
  <c r="O22" i="31" s="1"/>
  <c r="V69" i="24"/>
  <c r="U69" i="24"/>
  <c r="T69" i="24"/>
  <c r="S69" i="24"/>
  <c r="R69" i="24"/>
  <c r="Q69" i="24"/>
  <c r="P69" i="24"/>
  <c r="O69" i="24"/>
  <c r="N69" i="24"/>
  <c r="O13" i="31" s="1"/>
  <c r="M69" i="24"/>
  <c r="L69" i="24"/>
  <c r="K69" i="24"/>
  <c r="J69" i="24"/>
  <c r="I69" i="24"/>
  <c r="H69" i="24"/>
  <c r="O7" i="31" s="1"/>
  <c r="G69" i="24"/>
  <c r="F69" i="24"/>
  <c r="E69" i="24"/>
  <c r="D69" i="24"/>
  <c r="C69" i="24"/>
  <c r="CE68" i="24"/>
  <c r="I370" i="32" s="1"/>
  <c r="AK67" i="24"/>
  <c r="AF67" i="24"/>
  <c r="CE66" i="24"/>
  <c r="I368" i="32" s="1"/>
  <c r="CE65" i="24"/>
  <c r="I367" i="32" s="1"/>
  <c r="CE64" i="24"/>
  <c r="CE63" i="24"/>
  <c r="I365" i="32" s="1"/>
  <c r="CC62" i="24"/>
  <c r="BZ62" i="24"/>
  <c r="BY62" i="24"/>
  <c r="BO62" i="24"/>
  <c r="AZ62" i="24"/>
  <c r="AY62" i="24"/>
  <c r="AW62" i="24"/>
  <c r="H48" i="31" s="1"/>
  <c r="AT62" i="24"/>
  <c r="D204" i="32" s="1"/>
  <c r="AS62" i="24"/>
  <c r="AO62" i="24"/>
  <c r="AI62" i="24"/>
  <c r="AG62" i="24"/>
  <c r="AD62" i="24"/>
  <c r="S62" i="24"/>
  <c r="N62" i="24"/>
  <c r="M62" i="24"/>
  <c r="F44" i="32" s="1"/>
  <c r="C62" i="24"/>
  <c r="CE61" i="24"/>
  <c r="I363" i="32" s="1"/>
  <c r="CE60" i="24"/>
  <c r="B53" i="24"/>
  <c r="CD52" i="24"/>
  <c r="CC52" i="24"/>
  <c r="CC67" i="24" s="1"/>
  <c r="CB52" i="24"/>
  <c r="CB67" i="24" s="1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V67" i="24" s="1"/>
  <c r="BU52" i="24"/>
  <c r="BU67" i="24" s="1"/>
  <c r="BT52" i="24"/>
  <c r="BT67" i="24" s="1"/>
  <c r="BS52" i="24"/>
  <c r="BS67" i="24" s="1"/>
  <c r="BR52" i="24"/>
  <c r="BR67" i="24" s="1"/>
  <c r="BQ52" i="24"/>
  <c r="BQ67" i="24" s="1"/>
  <c r="BP52" i="24"/>
  <c r="BP67" i="24" s="1"/>
  <c r="BO52" i="24"/>
  <c r="BO67" i="24" s="1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F52" i="24"/>
  <c r="BF67" i="24" s="1"/>
  <c r="BE52" i="24"/>
  <c r="BE67" i="24" s="1"/>
  <c r="BD52" i="24"/>
  <c r="BD67" i="24" s="1"/>
  <c r="BC52" i="24"/>
  <c r="BC67" i="24" s="1"/>
  <c r="BB52" i="24"/>
  <c r="BB67" i="24" s="1"/>
  <c r="BA52" i="24"/>
  <c r="BA67" i="24" s="1"/>
  <c r="AZ52" i="24"/>
  <c r="AZ67" i="24" s="1"/>
  <c r="AY52" i="24"/>
  <c r="AY67" i="24" s="1"/>
  <c r="AX52" i="24"/>
  <c r="AX67" i="24" s="1"/>
  <c r="AW52" i="24"/>
  <c r="AW67" i="24" s="1"/>
  <c r="AV52" i="24"/>
  <c r="AV67" i="24" s="1"/>
  <c r="AU52" i="24"/>
  <c r="AU67" i="24" s="1"/>
  <c r="AT52" i="24"/>
  <c r="AT67" i="24" s="1"/>
  <c r="AS52" i="24"/>
  <c r="AS67" i="24" s="1"/>
  <c r="AR52" i="24"/>
  <c r="AR67" i="24" s="1"/>
  <c r="AQ52" i="24"/>
  <c r="AQ67" i="24" s="1"/>
  <c r="AP52" i="24"/>
  <c r="AP67" i="24" s="1"/>
  <c r="AO52" i="24"/>
  <c r="AO67" i="24" s="1"/>
  <c r="AN52" i="24"/>
  <c r="AN67" i="24" s="1"/>
  <c r="M39" i="31" s="1"/>
  <c r="AM52" i="24"/>
  <c r="AM67" i="24" s="1"/>
  <c r="AL52" i="24"/>
  <c r="AL67" i="24" s="1"/>
  <c r="AK52" i="24"/>
  <c r="AJ52" i="24"/>
  <c r="AJ67" i="24" s="1"/>
  <c r="AI52" i="24"/>
  <c r="AI67" i="24" s="1"/>
  <c r="AH52" i="24"/>
  <c r="AH67" i="24" s="1"/>
  <c r="AG52" i="24"/>
  <c r="AG67" i="24" s="1"/>
  <c r="AF52" i="24"/>
  <c r="AE52" i="24"/>
  <c r="AE67" i="24" s="1"/>
  <c r="AD52" i="24"/>
  <c r="AD67" i="24" s="1"/>
  <c r="AC52" i="24"/>
  <c r="AC67" i="24" s="1"/>
  <c r="AB52" i="24"/>
  <c r="AB67" i="24" s="1"/>
  <c r="AA52" i="24"/>
  <c r="AA67" i="24" s="1"/>
  <c r="Z52" i="24"/>
  <c r="Z67" i="24" s="1"/>
  <c r="Y52" i="24"/>
  <c r="Y67" i="24" s="1"/>
  <c r="X52" i="24"/>
  <c r="X67" i="24" s="1"/>
  <c r="W52" i="24"/>
  <c r="W67" i="24" s="1"/>
  <c r="V52" i="24"/>
  <c r="V67" i="24" s="1"/>
  <c r="U52" i="24"/>
  <c r="U67" i="24" s="1"/>
  <c r="T52" i="24"/>
  <c r="T67" i="24" s="1"/>
  <c r="S52" i="24"/>
  <c r="S67" i="24" s="1"/>
  <c r="R52" i="24"/>
  <c r="R67" i="24" s="1"/>
  <c r="Q52" i="24"/>
  <c r="Q67" i="24" s="1"/>
  <c r="P52" i="24"/>
  <c r="P67" i="24" s="1"/>
  <c r="O52" i="24"/>
  <c r="O67" i="24" s="1"/>
  <c r="N52" i="24"/>
  <c r="N67" i="24" s="1"/>
  <c r="M52" i="24"/>
  <c r="M67" i="24" s="1"/>
  <c r="L52" i="24"/>
  <c r="L67" i="24" s="1"/>
  <c r="K52" i="24"/>
  <c r="K67" i="24" s="1"/>
  <c r="J52" i="24"/>
  <c r="J67" i="24" s="1"/>
  <c r="I52" i="24"/>
  <c r="I67" i="24" s="1"/>
  <c r="H52" i="24"/>
  <c r="H67" i="24" s="1"/>
  <c r="M7" i="31" s="1"/>
  <c r="G52" i="24"/>
  <c r="G67" i="24" s="1"/>
  <c r="M6" i="31" s="1"/>
  <c r="F52" i="24"/>
  <c r="F67" i="24" s="1"/>
  <c r="E52" i="24"/>
  <c r="E67" i="24" s="1"/>
  <c r="D52" i="24"/>
  <c r="D67" i="24" s="1"/>
  <c r="C52" i="24"/>
  <c r="C67" i="24" s="1"/>
  <c r="CE51" i="24"/>
  <c r="B49" i="24"/>
  <c r="CD48" i="24"/>
  <c r="CC48" i="24"/>
  <c r="CB48" i="24"/>
  <c r="CB62" i="24" s="1"/>
  <c r="CA48" i="24"/>
  <c r="CA62" i="24" s="1"/>
  <c r="BZ48" i="24"/>
  <c r="BY48" i="24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Y48" i="24"/>
  <c r="AX48" i="24"/>
  <c r="AX62" i="24" s="1"/>
  <c r="AW48" i="24"/>
  <c r="AV48" i="24"/>
  <c r="AV62" i="24" s="1"/>
  <c r="AU48" i="24"/>
  <c r="AU62" i="24" s="1"/>
  <c r="AT48" i="24"/>
  <c r="AS48" i="24"/>
  <c r="AR48" i="24"/>
  <c r="AR62" i="24" s="1"/>
  <c r="AQ48" i="24"/>
  <c r="AQ62" i="24" s="1"/>
  <c r="AP48" i="24"/>
  <c r="AP62" i="24" s="1"/>
  <c r="AO48" i="24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H48" i="24"/>
  <c r="AH62" i="24" s="1"/>
  <c r="AG48" i="24"/>
  <c r="AF48" i="24"/>
  <c r="AF62" i="24" s="1"/>
  <c r="AE48" i="24"/>
  <c r="AE62" i="24" s="1"/>
  <c r="AD48" i="24"/>
  <c r="AC48" i="24"/>
  <c r="AC62" i="24" s="1"/>
  <c r="AB48" i="24"/>
  <c r="AB62" i="24" s="1"/>
  <c r="AA48" i="24"/>
  <c r="AA62" i="24" s="1"/>
  <c r="Z48" i="24"/>
  <c r="Z62" i="24" s="1"/>
  <c r="E108" i="32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R48" i="24"/>
  <c r="R62" i="24" s="1"/>
  <c r="Q48" i="24"/>
  <c r="Q62" i="24" s="1"/>
  <c r="P48" i="24"/>
  <c r="P62" i="24" s="1"/>
  <c r="O48" i="24"/>
  <c r="O62" i="24" s="1"/>
  <c r="N48" i="24"/>
  <c r="M48" i="24"/>
  <c r="L48" i="24"/>
  <c r="L62" i="24" s="1"/>
  <c r="L85" i="24" s="1"/>
  <c r="K48" i="24"/>
  <c r="K62" i="24" s="1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CE47" i="24"/>
  <c r="C363" i="24" l="1"/>
  <c r="D258" i="24"/>
  <c r="G10" i="4"/>
  <c r="L612" i="24"/>
  <c r="I612" i="24"/>
  <c r="J612" i="24"/>
  <c r="CF90" i="24"/>
  <c r="AE30" i="31"/>
  <c r="G26" i="32"/>
  <c r="CE69" i="24"/>
  <c r="I371" i="32" s="1"/>
  <c r="BN85" i="24"/>
  <c r="C309" i="32" s="1"/>
  <c r="N85" i="24"/>
  <c r="G53" i="32" s="1"/>
  <c r="O85" i="24"/>
  <c r="H53" i="32" s="1"/>
  <c r="AE85" i="24"/>
  <c r="C149" i="32" s="1"/>
  <c r="BM85" i="24"/>
  <c r="C77" i="15" s="1"/>
  <c r="G77" i="15" s="1"/>
  <c r="AS85" i="24"/>
  <c r="C213" i="32" s="1"/>
  <c r="AV85" i="24"/>
  <c r="F213" i="32" s="1"/>
  <c r="BS85" i="24"/>
  <c r="H309" i="32" s="1"/>
  <c r="CB85" i="24"/>
  <c r="C92" i="15" s="1"/>
  <c r="G92" i="15" s="1"/>
  <c r="AW85" i="24"/>
  <c r="G213" i="32" s="1"/>
  <c r="C81" i="32"/>
  <c r="M16" i="31"/>
  <c r="H24" i="31"/>
  <c r="Y85" i="24"/>
  <c r="M62" i="31"/>
  <c r="G273" i="32"/>
  <c r="M63" i="31"/>
  <c r="H273" i="32"/>
  <c r="D108" i="32"/>
  <c r="H19" i="31"/>
  <c r="F76" i="32"/>
  <c r="T85" i="24"/>
  <c r="H67" i="31"/>
  <c r="BP85" i="24"/>
  <c r="E300" i="32"/>
  <c r="M49" i="31"/>
  <c r="H209" i="32"/>
  <c r="AX85" i="24"/>
  <c r="H72" i="31"/>
  <c r="C332" i="32"/>
  <c r="BU85" i="24"/>
  <c r="AE31" i="31"/>
  <c r="D154" i="32"/>
  <c r="H36" i="31"/>
  <c r="I140" i="32"/>
  <c r="AK85" i="24"/>
  <c r="H68" i="31"/>
  <c r="BQ85" i="24"/>
  <c r="F300" i="32"/>
  <c r="M2" i="31"/>
  <c r="C17" i="32"/>
  <c r="CE67" i="24"/>
  <c r="I369" i="32" s="1"/>
  <c r="M34" i="31"/>
  <c r="G145" i="32"/>
  <c r="H76" i="31"/>
  <c r="G332" i="32"/>
  <c r="BY85" i="24"/>
  <c r="H5" i="31"/>
  <c r="F12" i="32"/>
  <c r="F85" i="24"/>
  <c r="H53" i="31"/>
  <c r="E236" i="32"/>
  <c r="BB85" i="24"/>
  <c r="BK2" i="30"/>
  <c r="I362" i="32"/>
  <c r="H612" i="24"/>
  <c r="D241" i="32"/>
  <c r="M52" i="31"/>
  <c r="H23" i="31"/>
  <c r="X85" i="24"/>
  <c r="M17" i="31"/>
  <c r="D81" i="32"/>
  <c r="R85" i="24"/>
  <c r="F24" i="15"/>
  <c r="H24" i="15"/>
  <c r="I24" i="15" s="1"/>
  <c r="C108" i="32"/>
  <c r="C83" i="15"/>
  <c r="G83" i="15" s="1"/>
  <c r="C639" i="24"/>
  <c r="H3" i="31"/>
  <c r="D12" i="32"/>
  <c r="H35" i="31"/>
  <c r="H140" i="32"/>
  <c r="AJ85" i="24"/>
  <c r="M33" i="31"/>
  <c r="F145" i="32"/>
  <c r="M65" i="31"/>
  <c r="C305" i="32"/>
  <c r="I273" i="32"/>
  <c r="M64" i="31"/>
  <c r="AE15" i="31"/>
  <c r="I58" i="32"/>
  <c r="F218" i="32"/>
  <c r="AE47" i="31"/>
  <c r="D308" i="24"/>
  <c r="H20" i="31"/>
  <c r="G76" i="32"/>
  <c r="U85" i="24"/>
  <c r="M50" i="31"/>
  <c r="I209" i="32"/>
  <c r="AE16" i="31"/>
  <c r="C90" i="32"/>
  <c r="E154" i="32"/>
  <c r="AE32" i="31"/>
  <c r="H76" i="32"/>
  <c r="H21" i="31"/>
  <c r="V85" i="24"/>
  <c r="C172" i="32"/>
  <c r="AL85" i="24"/>
  <c r="H37" i="31"/>
  <c r="H69" i="31"/>
  <c r="G300" i="32"/>
  <c r="BR85" i="24"/>
  <c r="H332" i="32"/>
  <c r="H77" i="31"/>
  <c r="BZ85" i="24"/>
  <c r="M4" i="31"/>
  <c r="E17" i="32"/>
  <c r="G81" i="32"/>
  <c r="M20" i="31"/>
  <c r="F305" i="32"/>
  <c r="M68" i="31"/>
  <c r="H7" i="31"/>
  <c r="H85" i="24"/>
  <c r="H12" i="32"/>
  <c r="H39" i="31"/>
  <c r="E172" i="32"/>
  <c r="AN85" i="24"/>
  <c r="H55" i="31"/>
  <c r="G236" i="32"/>
  <c r="BD85" i="24"/>
  <c r="H71" i="31"/>
  <c r="I300" i="32"/>
  <c r="BT85" i="24"/>
  <c r="C12" i="32"/>
  <c r="H2" i="31"/>
  <c r="CE62" i="24"/>
  <c r="I364" i="32" s="1"/>
  <c r="I381" i="32"/>
  <c r="CF91" i="24"/>
  <c r="G612" i="24"/>
  <c r="M48" i="31"/>
  <c r="G209" i="32"/>
  <c r="M36" i="31"/>
  <c r="I145" i="32"/>
  <c r="M18" i="31"/>
  <c r="E81" i="32"/>
  <c r="CE89" i="24"/>
  <c r="M8" i="31"/>
  <c r="I17" i="32"/>
  <c r="M24" i="31"/>
  <c r="D113" i="32"/>
  <c r="M56" i="31"/>
  <c r="H241" i="32"/>
  <c r="C337" i="32"/>
  <c r="M72" i="31"/>
  <c r="M40" i="31"/>
  <c r="F177" i="32"/>
  <c r="O2" i="31"/>
  <c r="C19" i="32"/>
  <c r="O18" i="31"/>
  <c r="E83" i="32"/>
  <c r="O34" i="31"/>
  <c r="G147" i="32"/>
  <c r="O50" i="31"/>
  <c r="I211" i="32"/>
  <c r="D307" i="32"/>
  <c r="O66" i="31"/>
  <c r="C85" i="24"/>
  <c r="M80" i="31"/>
  <c r="D369" i="32"/>
  <c r="M9" i="31"/>
  <c r="C49" i="32"/>
  <c r="M25" i="31"/>
  <c r="E113" i="32"/>
  <c r="M41" i="31"/>
  <c r="G177" i="32"/>
  <c r="M57" i="31"/>
  <c r="I241" i="32"/>
  <c r="M73" i="31"/>
  <c r="D337" i="32"/>
  <c r="I204" i="32"/>
  <c r="H50" i="31"/>
  <c r="AY85" i="24"/>
  <c r="D19" i="32"/>
  <c r="O3" i="31"/>
  <c r="F83" i="32"/>
  <c r="O19" i="31"/>
  <c r="O35" i="31"/>
  <c r="H147" i="32"/>
  <c r="C243" i="32"/>
  <c r="O51" i="31"/>
  <c r="O67" i="31"/>
  <c r="E307" i="32"/>
  <c r="D85" i="24"/>
  <c r="H51" i="31"/>
  <c r="C236" i="32"/>
  <c r="AZ85" i="24"/>
  <c r="D236" i="32"/>
  <c r="H52" i="31"/>
  <c r="BA85" i="24"/>
  <c r="H60" i="31"/>
  <c r="E268" i="32"/>
  <c r="BI85" i="24"/>
  <c r="F268" i="32"/>
  <c r="H61" i="31"/>
  <c r="BJ85" i="24"/>
  <c r="BK85" i="24"/>
  <c r="M28" i="31"/>
  <c r="H113" i="32"/>
  <c r="G337" i="32"/>
  <c r="M76" i="31"/>
  <c r="S85" i="24"/>
  <c r="E53" i="32"/>
  <c r="C677" i="24"/>
  <c r="C24" i="15"/>
  <c r="G24" i="15" s="1"/>
  <c r="I76" i="32"/>
  <c r="H22" i="31"/>
  <c r="W85" i="24"/>
  <c r="M15" i="31"/>
  <c r="I49" i="32"/>
  <c r="P85" i="24"/>
  <c r="F17" i="15"/>
  <c r="M22" i="31"/>
  <c r="I81" i="32"/>
  <c r="M38" i="31"/>
  <c r="D177" i="32"/>
  <c r="M54" i="31"/>
  <c r="F241" i="32"/>
  <c r="M70" i="31"/>
  <c r="H305" i="32"/>
  <c r="H28" i="31"/>
  <c r="H108" i="32"/>
  <c r="AC85" i="24"/>
  <c r="D364" i="32"/>
  <c r="H80" i="31"/>
  <c r="CC85" i="24"/>
  <c r="AE18" i="31"/>
  <c r="E90" i="32"/>
  <c r="G154" i="32"/>
  <c r="AE34" i="31"/>
  <c r="G19" i="4"/>
  <c r="H25" i="31"/>
  <c r="Z85" i="24"/>
  <c r="H41" i="31"/>
  <c r="AP85" i="24"/>
  <c r="G172" i="32"/>
  <c r="D332" i="32"/>
  <c r="H73" i="31"/>
  <c r="BV85" i="24"/>
  <c r="G241" i="32"/>
  <c r="M55" i="31"/>
  <c r="H4" i="31"/>
  <c r="E12" i="32"/>
  <c r="E85" i="24"/>
  <c r="H54" i="31"/>
  <c r="F236" i="32"/>
  <c r="BC85" i="24"/>
  <c r="F81" i="32"/>
  <c r="M19" i="31"/>
  <c r="M44" i="31"/>
  <c r="C209" i="32"/>
  <c r="M66" i="31"/>
  <c r="D305" i="32"/>
  <c r="H10" i="31"/>
  <c r="D44" i="32"/>
  <c r="K85" i="24"/>
  <c r="H42" i="31"/>
  <c r="H172" i="32"/>
  <c r="AQ85" i="24"/>
  <c r="H74" i="31"/>
  <c r="E332" i="32"/>
  <c r="BW85" i="24"/>
  <c r="H32" i="31"/>
  <c r="E140" i="32"/>
  <c r="I366" i="32"/>
  <c r="F612" i="24"/>
  <c r="E305" i="32"/>
  <c r="M67" i="31"/>
  <c r="E26" i="32"/>
  <c r="AE4" i="31"/>
  <c r="AE36" i="31"/>
  <c r="I154" i="32"/>
  <c r="F36" i="15"/>
  <c r="H59" i="31"/>
  <c r="D268" i="32"/>
  <c r="BH85" i="24"/>
  <c r="O56" i="31"/>
  <c r="H243" i="32"/>
  <c r="G90" i="32"/>
  <c r="M10" i="31"/>
  <c r="D49" i="32"/>
  <c r="M26" i="31"/>
  <c r="F113" i="32"/>
  <c r="M42" i="31"/>
  <c r="H177" i="32"/>
  <c r="M58" i="31"/>
  <c r="C273" i="32"/>
  <c r="M74" i="31"/>
  <c r="E337" i="32"/>
  <c r="H25" i="15"/>
  <c r="I25" i="15" s="1"/>
  <c r="F25" i="15"/>
  <c r="H59" i="15"/>
  <c r="I59" i="15" s="1"/>
  <c r="F59" i="15"/>
  <c r="E19" i="4"/>
  <c r="O78" i="31"/>
  <c r="H9" i="31"/>
  <c r="C44" i="32"/>
  <c r="J85" i="24"/>
  <c r="M23" i="31"/>
  <c r="C113" i="32"/>
  <c r="AE35" i="31"/>
  <c r="H154" i="32"/>
  <c r="H26" i="31"/>
  <c r="F108" i="32"/>
  <c r="AA85" i="24"/>
  <c r="H58" i="31"/>
  <c r="C268" i="32"/>
  <c r="BG85" i="24"/>
  <c r="M46" i="31"/>
  <c r="E209" i="32"/>
  <c r="H64" i="15"/>
  <c r="I64" i="15" s="1"/>
  <c r="F64" i="15"/>
  <c r="F90" i="32"/>
  <c r="H11" i="31"/>
  <c r="E44" i="32"/>
  <c r="H75" i="31"/>
  <c r="F332" i="32"/>
  <c r="BX85" i="24"/>
  <c r="G12" i="32"/>
  <c r="H6" i="31"/>
  <c r="G85" i="24"/>
  <c r="I19" i="32"/>
  <c r="O8" i="31"/>
  <c r="M11" i="31"/>
  <c r="E49" i="32"/>
  <c r="M27" i="31"/>
  <c r="G113" i="32"/>
  <c r="M43" i="31"/>
  <c r="I177" i="32"/>
  <c r="M59" i="31"/>
  <c r="D273" i="32"/>
  <c r="M75" i="31"/>
  <c r="F337" i="32"/>
  <c r="H8" i="31"/>
  <c r="I12" i="32"/>
  <c r="I85" i="24"/>
  <c r="F22" i="15"/>
  <c r="H22" i="15"/>
  <c r="I22" i="15" s="1"/>
  <c r="H65" i="15"/>
  <c r="I65" i="15" s="1"/>
  <c r="F65" i="15"/>
  <c r="E177" i="32"/>
  <c r="O47" i="31"/>
  <c r="H27" i="31"/>
  <c r="G108" i="32"/>
  <c r="H236" i="32"/>
  <c r="H56" i="31"/>
  <c r="BE85" i="24"/>
  <c r="O40" i="31"/>
  <c r="F179" i="32"/>
  <c r="D17" i="32"/>
  <c r="M3" i="31"/>
  <c r="O27" i="31"/>
  <c r="G115" i="32"/>
  <c r="O43" i="31"/>
  <c r="I179" i="32"/>
  <c r="D275" i="32"/>
  <c r="O59" i="31"/>
  <c r="AB85" i="24"/>
  <c r="BP2" i="30"/>
  <c r="D366" i="24"/>
  <c r="F45" i="15"/>
  <c r="I305" i="32"/>
  <c r="M71" i="31"/>
  <c r="C339" i="32"/>
  <c r="O72" i="31"/>
  <c r="H78" i="31"/>
  <c r="I332" i="32"/>
  <c r="CA85" i="24"/>
  <c r="H12" i="31"/>
  <c r="M85" i="24"/>
  <c r="H15" i="31"/>
  <c r="I44" i="32"/>
  <c r="H47" i="31"/>
  <c r="F204" i="32"/>
  <c r="H79" i="31"/>
  <c r="C364" i="32"/>
  <c r="M29" i="31"/>
  <c r="I113" i="32"/>
  <c r="M61" i="31"/>
  <c r="F273" i="32"/>
  <c r="G44" i="32"/>
  <c r="H13" i="31"/>
  <c r="H66" i="31"/>
  <c r="D300" i="32"/>
  <c r="M30" i="31"/>
  <c r="C145" i="32"/>
  <c r="M51" i="31"/>
  <c r="C241" i="32"/>
  <c r="BO85" i="24"/>
  <c r="G17" i="32"/>
  <c r="C26" i="32"/>
  <c r="H43" i="31"/>
  <c r="AR85" i="24"/>
  <c r="I172" i="32"/>
  <c r="G140" i="32"/>
  <c r="H34" i="31"/>
  <c r="O24" i="31"/>
  <c r="D115" i="32"/>
  <c r="H30" i="31"/>
  <c r="C140" i="32"/>
  <c r="O11" i="31"/>
  <c r="E51" i="32"/>
  <c r="H31" i="31"/>
  <c r="D140" i="32"/>
  <c r="H63" i="31"/>
  <c r="H268" i="32"/>
  <c r="BL85" i="24"/>
  <c r="M13" i="31"/>
  <c r="G49" i="32"/>
  <c r="M45" i="31"/>
  <c r="D209" i="32"/>
  <c r="M77" i="31"/>
  <c r="H337" i="32"/>
  <c r="H38" i="31"/>
  <c r="AM85" i="24"/>
  <c r="D172" i="32"/>
  <c r="H16" i="31"/>
  <c r="C76" i="32"/>
  <c r="Q85" i="24"/>
  <c r="M31" i="31"/>
  <c r="D145" i="32"/>
  <c r="M78" i="31"/>
  <c r="I337" i="32"/>
  <c r="O29" i="31"/>
  <c r="I115" i="32"/>
  <c r="O45" i="31"/>
  <c r="D211" i="32"/>
  <c r="O61" i="31"/>
  <c r="F275" i="32"/>
  <c r="O77" i="31"/>
  <c r="H339" i="32"/>
  <c r="AF85" i="24"/>
  <c r="F34" i="15"/>
  <c r="H17" i="32"/>
  <c r="D26" i="32"/>
  <c r="G51" i="32"/>
  <c r="H57" i="31"/>
  <c r="I236" i="32"/>
  <c r="BF85" i="24"/>
  <c r="H44" i="32"/>
  <c r="H14" i="31"/>
  <c r="H62" i="31"/>
  <c r="G268" i="32"/>
  <c r="H49" i="31"/>
  <c r="H204" i="32"/>
  <c r="E76" i="32"/>
  <c r="H18" i="31"/>
  <c r="F25" i="6"/>
  <c r="E233" i="24"/>
  <c r="F32" i="6" s="1"/>
  <c r="BQ2" i="30"/>
  <c r="D383" i="24"/>
  <c r="F339" i="32"/>
  <c r="AH51" i="31"/>
  <c r="C253" i="32"/>
  <c r="F209" i="32"/>
  <c r="M47" i="31"/>
  <c r="H46" i="31"/>
  <c r="E204" i="32"/>
  <c r="AU85" i="24"/>
  <c r="I268" i="32"/>
  <c r="H64" i="31"/>
  <c r="H17" i="31"/>
  <c r="D76" i="32"/>
  <c r="H33" i="31"/>
  <c r="F140" i="32"/>
  <c r="AH85" i="24"/>
  <c r="H65" i="31"/>
  <c r="C300" i="32"/>
  <c r="F172" i="32"/>
  <c r="H40" i="31"/>
  <c r="AO85" i="24"/>
  <c r="E145" i="32"/>
  <c r="M32" i="31"/>
  <c r="M79" i="31"/>
  <c r="C369" i="32"/>
  <c r="H51" i="32"/>
  <c r="O14" i="31"/>
  <c r="E211" i="32"/>
  <c r="O46" i="31"/>
  <c r="G275" i="32"/>
  <c r="O62" i="31"/>
  <c r="AG85" i="24"/>
  <c r="CE48" i="24"/>
  <c r="H44" i="31"/>
  <c r="C204" i="32"/>
  <c r="O15" i="31"/>
  <c r="I51" i="32"/>
  <c r="D147" i="32"/>
  <c r="O31" i="31"/>
  <c r="H275" i="32"/>
  <c r="O63" i="31"/>
  <c r="C371" i="32"/>
  <c r="O79" i="31"/>
  <c r="AI85" i="24"/>
  <c r="AE12" i="31"/>
  <c r="F58" i="32"/>
  <c r="H122" i="32"/>
  <c r="AE28" i="31"/>
  <c r="AE44" i="31"/>
  <c r="C218" i="32"/>
  <c r="C119" i="8"/>
  <c r="G204" i="32"/>
  <c r="H45" i="31"/>
  <c r="AT85" i="24"/>
  <c r="H300" i="32"/>
  <c r="H70" i="31"/>
  <c r="F49" i="32"/>
  <c r="M12" i="31"/>
  <c r="O16" i="31"/>
  <c r="C83" i="32"/>
  <c r="E147" i="32"/>
  <c r="O32" i="31"/>
  <c r="O48" i="31"/>
  <c r="G211" i="32"/>
  <c r="I275" i="32"/>
  <c r="O64" i="31"/>
  <c r="H29" i="31"/>
  <c r="I108" i="32"/>
  <c r="AD85" i="24"/>
  <c r="CE52" i="24"/>
  <c r="M14" i="31"/>
  <c r="H49" i="32"/>
  <c r="M35" i="31"/>
  <c r="H145" i="32"/>
  <c r="M60" i="31"/>
  <c r="E273" i="32"/>
  <c r="O17" i="31"/>
  <c r="D83" i="32"/>
  <c r="O33" i="31"/>
  <c r="F147" i="32"/>
  <c r="O49" i="31"/>
  <c r="H211" i="32"/>
  <c r="O65" i="31"/>
  <c r="C307" i="32"/>
  <c r="E371" i="32"/>
  <c r="C615" i="24"/>
  <c r="CD85" i="24"/>
  <c r="H58" i="32"/>
  <c r="AE14" i="31"/>
  <c r="E218" i="32"/>
  <c r="AE46" i="31"/>
  <c r="F7" i="6"/>
  <c r="E220" i="24"/>
  <c r="CP2" i="30"/>
  <c r="D416" i="24"/>
  <c r="F16" i="15"/>
  <c r="F39" i="15"/>
  <c r="AE17" i="31"/>
  <c r="D90" i="32"/>
  <c r="AE33" i="31"/>
  <c r="F154" i="32"/>
  <c r="D350" i="24"/>
  <c r="E241" i="32"/>
  <c r="M53" i="31"/>
  <c r="E19" i="32"/>
  <c r="O4" i="31"/>
  <c r="O36" i="31"/>
  <c r="I147" i="32"/>
  <c r="D243" i="32"/>
  <c r="O52" i="31"/>
  <c r="O5" i="31"/>
  <c r="F19" i="32"/>
  <c r="O21" i="31"/>
  <c r="H83" i="32"/>
  <c r="O37" i="31"/>
  <c r="C179" i="32"/>
  <c r="O53" i="31"/>
  <c r="E243" i="32"/>
  <c r="O69" i="31"/>
  <c r="G307" i="32"/>
  <c r="C68" i="8"/>
  <c r="M5" i="31"/>
  <c r="F17" i="32"/>
  <c r="M21" i="31"/>
  <c r="H81" i="32"/>
  <c r="C177" i="32"/>
  <c r="M37" i="31"/>
  <c r="M69" i="31"/>
  <c r="G305" i="32"/>
  <c r="G83" i="32"/>
  <c r="O20" i="31"/>
  <c r="AE5" i="31"/>
  <c r="F26" i="32"/>
  <c r="AE21" i="31"/>
  <c r="H90" i="32"/>
  <c r="AE37" i="31"/>
  <c r="C186" i="32"/>
  <c r="AE22" i="31"/>
  <c r="I90" i="32"/>
  <c r="AE38" i="31"/>
  <c r="D186" i="32"/>
  <c r="F20" i="15"/>
  <c r="O6" i="31"/>
  <c r="G19" i="32"/>
  <c r="D179" i="32"/>
  <c r="O38" i="31"/>
  <c r="F243" i="32"/>
  <c r="O54" i="31"/>
  <c r="AE7" i="31"/>
  <c r="H26" i="32"/>
  <c r="C122" i="32"/>
  <c r="AE23" i="31"/>
  <c r="AE39" i="31"/>
  <c r="E186" i="32"/>
  <c r="D341" i="24"/>
  <c r="C87" i="8" s="1"/>
  <c r="C85" i="8"/>
  <c r="O23" i="31"/>
  <c r="C115" i="32"/>
  <c r="E179" i="32"/>
  <c r="O39" i="31"/>
  <c r="G243" i="32"/>
  <c r="O55" i="31"/>
  <c r="AE8" i="31"/>
  <c r="I26" i="32"/>
  <c r="AE24" i="31"/>
  <c r="D122" i="32"/>
  <c r="AE40" i="31"/>
  <c r="F186" i="32"/>
  <c r="F37" i="15"/>
  <c r="F307" i="32"/>
  <c r="AE9" i="31"/>
  <c r="C58" i="32"/>
  <c r="AE25" i="31"/>
  <c r="E122" i="32"/>
  <c r="AE41" i="31"/>
  <c r="G186" i="32"/>
  <c r="F18" i="15"/>
  <c r="F43" i="15"/>
  <c r="D5" i="7"/>
  <c r="H307" i="32"/>
  <c r="O9" i="31"/>
  <c r="C51" i="32"/>
  <c r="O25" i="31"/>
  <c r="E115" i="32"/>
  <c r="O41" i="31"/>
  <c r="G179" i="32"/>
  <c r="I243" i="32"/>
  <c r="O57" i="31"/>
  <c r="O73" i="31"/>
  <c r="D339" i="32"/>
  <c r="F69" i="15"/>
  <c r="H19" i="32"/>
  <c r="I83" i="32"/>
  <c r="I307" i="32"/>
  <c r="D12" i="33"/>
  <c r="O10" i="31"/>
  <c r="D51" i="32"/>
  <c r="O26" i="31"/>
  <c r="F115" i="32"/>
  <c r="O42" i="31"/>
  <c r="H179" i="32"/>
  <c r="O58" i="31"/>
  <c r="C275" i="32"/>
  <c r="O74" i="31"/>
  <c r="E339" i="32"/>
  <c r="BN2" i="30"/>
  <c r="C117" i="8"/>
  <c r="D612" i="24"/>
  <c r="F38" i="15"/>
  <c r="F51" i="32"/>
  <c r="O12" i="31"/>
  <c r="O28" i="31"/>
  <c r="H115" i="32"/>
  <c r="C211" i="32"/>
  <c r="O44" i="31"/>
  <c r="E275" i="32"/>
  <c r="O60" i="31"/>
  <c r="O76" i="31"/>
  <c r="G339" i="32"/>
  <c r="AE13" i="31"/>
  <c r="G58" i="32"/>
  <c r="AE29" i="31"/>
  <c r="I122" i="32"/>
  <c r="AE45" i="31"/>
  <c r="D218" i="32"/>
  <c r="C113" i="8"/>
  <c r="D58" i="32"/>
  <c r="F122" i="32"/>
  <c r="AE26" i="31"/>
  <c r="AE42" i="31"/>
  <c r="H186" i="32"/>
  <c r="F35" i="15"/>
  <c r="AE11" i="31"/>
  <c r="E58" i="32"/>
  <c r="AE43" i="31"/>
  <c r="I186" i="32"/>
  <c r="F33" i="15"/>
  <c r="F30" i="15"/>
  <c r="G122" i="32"/>
  <c r="F28" i="15"/>
  <c r="DF2" i="30"/>
  <c r="D615" i="34"/>
  <c r="C715" i="34"/>
  <c r="C648" i="34"/>
  <c r="M716" i="34" s="1"/>
  <c r="I277" i="32" l="1"/>
  <c r="C679" i="24"/>
  <c r="C638" i="24"/>
  <c r="C78" i="15"/>
  <c r="G78" i="15" s="1"/>
  <c r="C26" i="15"/>
  <c r="G26" i="15" s="1"/>
  <c r="C696" i="24"/>
  <c r="C43" i="15"/>
  <c r="G43" i="15" s="1"/>
  <c r="C680" i="24"/>
  <c r="C619" i="24"/>
  <c r="C27" i="15"/>
  <c r="G27" i="15" s="1"/>
  <c r="C622" i="24"/>
  <c r="C373" i="32"/>
  <c r="C631" i="24"/>
  <c r="C713" i="24"/>
  <c r="C57" i="15"/>
  <c r="G57" i="15" s="1"/>
  <c r="C60" i="15"/>
  <c r="C61" i="15"/>
  <c r="C710" i="24"/>
  <c r="C51" i="15"/>
  <c r="G51" i="15" s="1"/>
  <c r="D181" i="32"/>
  <c r="C704" i="24"/>
  <c r="I21" i="32"/>
  <c r="C21" i="15"/>
  <c r="G21" i="15" s="1"/>
  <c r="C674" i="24"/>
  <c r="I309" i="32"/>
  <c r="C640" i="24"/>
  <c r="C84" i="15"/>
  <c r="G84" i="15" s="1"/>
  <c r="C683" i="24"/>
  <c r="D85" i="32"/>
  <c r="C30" i="15"/>
  <c r="E245" i="32"/>
  <c r="C66" i="15"/>
  <c r="G66" i="15" s="1"/>
  <c r="C632" i="24"/>
  <c r="D53" i="32"/>
  <c r="C23" i="15"/>
  <c r="G23" i="15" s="1"/>
  <c r="C676" i="24"/>
  <c r="C245" i="32"/>
  <c r="C64" i="15"/>
  <c r="G64" i="15" s="1"/>
  <c r="C628" i="24"/>
  <c r="I149" i="32"/>
  <c r="C49" i="15"/>
  <c r="C702" i="24"/>
  <c r="F341" i="32"/>
  <c r="C644" i="24"/>
  <c r="C88" i="15"/>
  <c r="G88" i="15" s="1"/>
  <c r="H245" i="32"/>
  <c r="C69" i="15"/>
  <c r="C614" i="24"/>
  <c r="C41" i="15"/>
  <c r="H117" i="32"/>
  <c r="C694" i="24"/>
  <c r="G309" i="32"/>
  <c r="C82" i="15"/>
  <c r="G82" i="15" s="1"/>
  <c r="C626" i="24"/>
  <c r="C86" i="15"/>
  <c r="G86" i="15" s="1"/>
  <c r="C642" i="24"/>
  <c r="D341" i="32"/>
  <c r="C695" i="24"/>
  <c r="I117" i="32"/>
  <c r="C42" i="15"/>
  <c r="G277" i="32"/>
  <c r="C635" i="24"/>
  <c r="C75" i="15"/>
  <c r="G75" i="15" s="1"/>
  <c r="D213" i="32"/>
  <c r="C711" i="24"/>
  <c r="C58" i="15"/>
  <c r="G58" i="15" s="1"/>
  <c r="I181" i="32"/>
  <c r="C56" i="15"/>
  <c r="G56" i="15" s="1"/>
  <c r="C709" i="24"/>
  <c r="C53" i="32"/>
  <c r="C675" i="24"/>
  <c r="C22" i="15"/>
  <c r="G22" i="15" s="1"/>
  <c r="G181" i="32"/>
  <c r="C707" i="24"/>
  <c r="C54" i="15"/>
  <c r="G54" i="15" s="1"/>
  <c r="C28" i="15"/>
  <c r="C681" i="24"/>
  <c r="I53" i="32"/>
  <c r="E181" i="32"/>
  <c r="C52" i="15"/>
  <c r="G52" i="15" s="1"/>
  <c r="C705" i="24"/>
  <c r="G341" i="32"/>
  <c r="C645" i="24"/>
  <c r="C89" i="15"/>
  <c r="G89" i="15" s="1"/>
  <c r="C85" i="15"/>
  <c r="G85" i="15" s="1"/>
  <c r="C341" i="32"/>
  <c r="C641" i="24"/>
  <c r="C65" i="15"/>
  <c r="G65" i="15" s="1"/>
  <c r="D245" i="32"/>
  <c r="C630" i="24"/>
  <c r="G21" i="32"/>
  <c r="C672" i="24"/>
  <c r="C19" i="15"/>
  <c r="G19" i="15" s="1"/>
  <c r="G149" i="32"/>
  <c r="C47" i="15"/>
  <c r="C700" i="24"/>
  <c r="E373" i="32"/>
  <c r="C94" i="15"/>
  <c r="G94" i="15" s="1"/>
  <c r="C686" i="24"/>
  <c r="C33" i="15"/>
  <c r="G85" i="32"/>
  <c r="F181" i="32"/>
  <c r="C53" i="15"/>
  <c r="G53" i="15" s="1"/>
  <c r="C706" i="24"/>
  <c r="I245" i="32"/>
  <c r="C629" i="24"/>
  <c r="C70" i="15"/>
  <c r="G70" i="15" s="1"/>
  <c r="C50" i="8"/>
  <c r="D352" i="24"/>
  <c r="C103" i="8" s="1"/>
  <c r="F309" i="24"/>
  <c r="C37" i="15"/>
  <c r="D117" i="32"/>
  <c r="C690" i="24"/>
  <c r="H181" i="32"/>
  <c r="C55" i="15"/>
  <c r="G55" i="15" s="1"/>
  <c r="C708" i="24"/>
  <c r="H341" i="32"/>
  <c r="C646" i="24"/>
  <c r="C90" i="15"/>
  <c r="G90" i="15" s="1"/>
  <c r="I378" i="32"/>
  <c r="K612" i="24"/>
  <c r="D21" i="32"/>
  <c r="C16" i="15"/>
  <c r="C669" i="24"/>
  <c r="H277" i="32"/>
  <c r="C76" i="15"/>
  <c r="G76" i="15" s="1"/>
  <c r="C637" i="24"/>
  <c r="C120" i="8"/>
  <c r="D367" i="24"/>
  <c r="C691" i="24"/>
  <c r="E117" i="32"/>
  <c r="C38" i="15"/>
  <c r="F277" i="32"/>
  <c r="C74" i="15"/>
  <c r="G74" i="15" s="1"/>
  <c r="C617" i="24"/>
  <c r="E213" i="32"/>
  <c r="C59" i="15"/>
  <c r="G59" i="15" s="1"/>
  <c r="C712" i="24"/>
  <c r="C181" i="32"/>
  <c r="C50" i="15"/>
  <c r="C703" i="24"/>
  <c r="C117" i="32"/>
  <c r="C36" i="15"/>
  <c r="C689" i="24"/>
  <c r="H213" i="32"/>
  <c r="C616" i="24"/>
  <c r="C62" i="15"/>
  <c r="D149" i="32"/>
  <c r="C697" i="24"/>
  <c r="C44" i="15"/>
  <c r="G44" i="15" s="1"/>
  <c r="I341" i="32"/>
  <c r="C91" i="15"/>
  <c r="G91" i="15" s="1"/>
  <c r="C647" i="24"/>
  <c r="F117" i="32"/>
  <c r="C692" i="24"/>
  <c r="C39" i="15"/>
  <c r="E85" i="32"/>
  <c r="C31" i="15"/>
  <c r="G31" i="15" s="1"/>
  <c r="C684" i="24"/>
  <c r="F85" i="32"/>
  <c r="C32" i="15"/>
  <c r="G32" i="15" s="1"/>
  <c r="C685" i="24"/>
  <c r="G245" i="32"/>
  <c r="C624" i="24"/>
  <c r="C68" i="15"/>
  <c r="G68" i="15" s="1"/>
  <c r="I85" i="32"/>
  <c r="C35" i="15"/>
  <c r="C688" i="24"/>
  <c r="C167" i="8"/>
  <c r="D26" i="33"/>
  <c r="E414" i="24"/>
  <c r="D309" i="32"/>
  <c r="C79" i="15"/>
  <c r="G79" i="15" s="1"/>
  <c r="C627" i="24"/>
  <c r="C40" i="15"/>
  <c r="G40" i="15" s="1"/>
  <c r="C693" i="24"/>
  <c r="G117" i="32"/>
  <c r="F245" i="32"/>
  <c r="C633" i="24"/>
  <c r="C67" i="15"/>
  <c r="G67" i="15" s="1"/>
  <c r="H21" i="32"/>
  <c r="C20" i="15"/>
  <c r="C673" i="24"/>
  <c r="C620" i="24"/>
  <c r="C93" i="15"/>
  <c r="G93" i="15" s="1"/>
  <c r="D373" i="32"/>
  <c r="F21" i="32"/>
  <c r="C18" i="15"/>
  <c r="C671" i="24"/>
  <c r="C137" i="8"/>
  <c r="E380" i="24"/>
  <c r="E341" i="32"/>
  <c r="C87" i="15"/>
  <c r="G87" i="15" s="1"/>
  <c r="C643" i="24"/>
  <c r="E277" i="32"/>
  <c r="C73" i="15"/>
  <c r="G73" i="15" s="1"/>
  <c r="C634" i="24"/>
  <c r="H85" i="32"/>
  <c r="C34" i="15"/>
  <c r="C687" i="24"/>
  <c r="C81" i="15"/>
  <c r="G81" i="15" s="1"/>
  <c r="C623" i="24"/>
  <c r="F309" i="32"/>
  <c r="F16" i="6"/>
  <c r="F234" i="24"/>
  <c r="C45" i="15"/>
  <c r="C698" i="24"/>
  <c r="E149" i="32"/>
  <c r="F149" i="32"/>
  <c r="C46" i="15"/>
  <c r="G46" i="15" s="1"/>
  <c r="C699" i="24"/>
  <c r="C85" i="32"/>
  <c r="C29" i="15"/>
  <c r="G29" i="15" s="1"/>
  <c r="C682" i="24"/>
  <c r="C277" i="32"/>
  <c r="C618" i="24"/>
  <c r="C71" i="15"/>
  <c r="G71" i="15" s="1"/>
  <c r="C21" i="32"/>
  <c r="C15" i="15"/>
  <c r="C668" i="24"/>
  <c r="CE85" i="24"/>
  <c r="I213" i="32"/>
  <c r="C63" i="15"/>
  <c r="C625" i="24"/>
  <c r="H149" i="32"/>
  <c r="C701" i="24"/>
  <c r="C48" i="15"/>
  <c r="D704" i="34"/>
  <c r="D688" i="34"/>
  <c r="D672" i="34"/>
  <c r="D616" i="34"/>
  <c r="D698" i="34"/>
  <c r="D682" i="34"/>
  <c r="D623" i="34"/>
  <c r="D711" i="34"/>
  <c r="D695" i="34"/>
  <c r="D679" i="34"/>
  <c r="D702" i="34"/>
  <c r="D686" i="34"/>
  <c r="D670" i="34"/>
  <c r="D647" i="34"/>
  <c r="D645" i="34"/>
  <c r="D629" i="34"/>
  <c r="D626" i="34"/>
  <c r="D621" i="34"/>
  <c r="D700" i="34"/>
  <c r="D684" i="34"/>
  <c r="D668" i="34"/>
  <c r="D628" i="34"/>
  <c r="D618" i="34"/>
  <c r="D709" i="34"/>
  <c r="D707" i="34"/>
  <c r="D703" i="34"/>
  <c r="D701" i="34"/>
  <c r="D697" i="34"/>
  <c r="D646" i="34"/>
  <c r="D638" i="34"/>
  <c r="D630" i="34"/>
  <c r="D620" i="34"/>
  <c r="D716" i="34"/>
  <c r="D713" i="34"/>
  <c r="D643" i="34"/>
  <c r="D635" i="34"/>
  <c r="D674" i="34"/>
  <c r="D692" i="34"/>
  <c r="D680" i="34"/>
  <c r="D678" i="34"/>
  <c r="D640" i="34"/>
  <c r="D632" i="34"/>
  <c r="D708" i="34"/>
  <c r="D696" i="34"/>
  <c r="D694" i="34"/>
  <c r="D689" i="34"/>
  <c r="D683" i="34"/>
  <c r="D644" i="34"/>
  <c r="D636" i="34"/>
  <c r="D690" i="34"/>
  <c r="D710" i="34"/>
  <c r="D687" i="34"/>
  <c r="D624" i="34"/>
  <c r="D634" i="34"/>
  <c r="D676" i="34"/>
  <c r="D706" i="34"/>
  <c r="D693" i="34"/>
  <c r="D673" i="34"/>
  <c r="D712" i="34"/>
  <c r="D631" i="34"/>
  <c r="D617" i="34"/>
  <c r="D691" i="34"/>
  <c r="D681" i="34"/>
  <c r="D625" i="34"/>
  <c r="D675" i="34"/>
  <c r="D642" i="34"/>
  <c r="D669" i="34"/>
  <c r="D619" i="34"/>
  <c r="D685" i="34"/>
  <c r="D641" i="34"/>
  <c r="D671" i="34"/>
  <c r="D699" i="34"/>
  <c r="D633" i="34"/>
  <c r="D622" i="34"/>
  <c r="D677" i="34"/>
  <c r="D627" i="34"/>
  <c r="D639" i="34"/>
  <c r="D637" i="34"/>
  <c r="D705" i="34"/>
  <c r="C678" i="24"/>
  <c r="F53" i="32"/>
  <c r="C25" i="15"/>
  <c r="G25" i="15" s="1"/>
  <c r="D277" i="32"/>
  <c r="C636" i="24"/>
  <c r="C72" i="15"/>
  <c r="G72" i="15" s="1"/>
  <c r="C17" i="15"/>
  <c r="E21" i="32"/>
  <c r="C670" i="24"/>
  <c r="E309" i="32"/>
  <c r="C621" i="24"/>
  <c r="C80" i="15"/>
  <c r="G80" i="15" s="1"/>
  <c r="H27" i="15" l="1"/>
  <c r="I27" i="15" s="1"/>
  <c r="H43" i="15"/>
  <c r="I43" i="15" s="1"/>
  <c r="G45" i="15"/>
  <c r="H45" i="15"/>
  <c r="I45" i="15" s="1"/>
  <c r="C715" i="24"/>
  <c r="D615" i="24"/>
  <c r="C648" i="24"/>
  <c r="M716" i="24" s="1"/>
  <c r="C716" i="24"/>
  <c r="I373" i="32"/>
  <c r="H47" i="15"/>
  <c r="I47" i="15" s="1"/>
  <c r="G47" i="15"/>
  <c r="G69" i="15"/>
  <c r="H69" i="15" s="1"/>
  <c r="G63" i="15"/>
  <c r="H63" i="15" s="1"/>
  <c r="G39" i="15"/>
  <c r="H39" i="15"/>
  <c r="I39" i="15" s="1"/>
  <c r="H28" i="15"/>
  <c r="I28" i="15" s="1"/>
  <c r="G28" i="15"/>
  <c r="G16" i="15"/>
  <c r="H16" i="15" s="1"/>
  <c r="H42" i="15"/>
  <c r="I42" i="15" s="1"/>
  <c r="G42" i="15"/>
  <c r="D715" i="34"/>
  <c r="E623" i="34"/>
  <c r="G34" i="15"/>
  <c r="H34" i="15"/>
  <c r="I34" i="15" s="1"/>
  <c r="H35" i="15"/>
  <c r="I35" i="15" s="1"/>
  <c r="G35" i="15"/>
  <c r="H49" i="15"/>
  <c r="I49" i="15" s="1"/>
  <c r="G49" i="15"/>
  <c r="H30" i="15"/>
  <c r="I30" i="15" s="1"/>
  <c r="G30" i="15"/>
  <c r="G36" i="15"/>
  <c r="H36" i="15"/>
  <c r="I36" i="15" s="1"/>
  <c r="G18" i="15"/>
  <c r="H18" i="15" s="1"/>
  <c r="H50" i="15"/>
  <c r="I50" i="15" s="1"/>
  <c r="G50" i="15"/>
  <c r="G17" i="15"/>
  <c r="H17" i="15" s="1"/>
  <c r="G20" i="15"/>
  <c r="H20" i="15" s="1"/>
  <c r="H41" i="15"/>
  <c r="I41" i="15" s="1"/>
  <c r="G41" i="15"/>
  <c r="E612" i="34"/>
  <c r="H38" i="15"/>
  <c r="I38" i="15" s="1"/>
  <c r="G38" i="15"/>
  <c r="G37" i="15"/>
  <c r="H37" i="15"/>
  <c r="I37" i="15" s="1"/>
  <c r="G15" i="15"/>
  <c r="H15" i="15"/>
  <c r="G33" i="15"/>
  <c r="H33" i="15"/>
  <c r="I33" i="15" s="1"/>
  <c r="G48" i="15"/>
  <c r="H48" i="15"/>
  <c r="I48" i="15" s="1"/>
  <c r="C121" i="8"/>
  <c r="D384" i="24"/>
  <c r="D708" i="24" l="1"/>
  <c r="D692" i="24"/>
  <c r="D701" i="24"/>
  <c r="D680" i="24"/>
  <c r="D681" i="24"/>
  <c r="D672" i="24"/>
  <c r="D616" i="24"/>
  <c r="D716" i="24"/>
  <c r="D710" i="24"/>
  <c r="D705" i="24"/>
  <c r="D684" i="24"/>
  <c r="D669" i="24"/>
  <c r="D627" i="24"/>
  <c r="D703" i="24"/>
  <c r="D643" i="24"/>
  <c r="D634" i="24"/>
  <c r="D699" i="24"/>
  <c r="D679" i="24"/>
  <c r="D636" i="24"/>
  <c r="D647" i="24"/>
  <c r="D618" i="24"/>
  <c r="D697" i="24"/>
  <c r="D695" i="24"/>
  <c r="D693" i="24"/>
  <c r="D686" i="24"/>
  <c r="D677" i="24"/>
  <c r="D638" i="24"/>
  <c r="D631" i="24"/>
  <c r="D625" i="24"/>
  <c r="D712" i="24"/>
  <c r="D617" i="24"/>
  <c r="D691" i="24"/>
  <c r="D640" i="24"/>
  <c r="D633" i="24"/>
  <c r="D682" i="24"/>
  <c r="D670" i="24"/>
  <c r="D628" i="24"/>
  <c r="D706" i="24"/>
  <c r="D704" i="24"/>
  <c r="D675" i="24"/>
  <c r="D642" i="24"/>
  <c r="D635" i="24"/>
  <c r="D624" i="24"/>
  <c r="D685" i="24"/>
  <c r="D678" i="24"/>
  <c r="D639" i="24"/>
  <c r="D630" i="24"/>
  <c r="D668" i="24"/>
  <c r="D622" i="24"/>
  <c r="D690" i="24"/>
  <c r="D646" i="24"/>
  <c r="D641" i="24"/>
  <c r="D621" i="24"/>
  <c r="D694" i="24"/>
  <c r="D674" i="24"/>
  <c r="D711" i="24"/>
  <c r="D707" i="24"/>
  <c r="D702" i="24"/>
  <c r="D698" i="24"/>
  <c r="D620" i="24"/>
  <c r="D689" i="24"/>
  <c r="D673" i="24"/>
  <c r="D619" i="24"/>
  <c r="D645" i="24"/>
  <c r="D629" i="24"/>
  <c r="D700" i="24"/>
  <c r="D696" i="24"/>
  <c r="D688" i="24"/>
  <c r="D644" i="24"/>
  <c r="D676" i="24"/>
  <c r="D713" i="24"/>
  <c r="D709" i="24"/>
  <c r="D687" i="24"/>
  <c r="D637" i="24"/>
  <c r="D626" i="24"/>
  <c r="D671" i="24"/>
  <c r="D683" i="24"/>
  <c r="D623" i="24"/>
  <c r="D632" i="24"/>
  <c r="E701" i="34"/>
  <c r="E685" i="34"/>
  <c r="E669" i="34"/>
  <c r="E627" i="34"/>
  <c r="E711" i="34"/>
  <c r="E695" i="34"/>
  <c r="E679" i="34"/>
  <c r="E708" i="34"/>
  <c r="E692" i="34"/>
  <c r="E676" i="34"/>
  <c r="E716" i="34"/>
  <c r="E699" i="34"/>
  <c r="E683" i="34"/>
  <c r="E643" i="34"/>
  <c r="E641" i="34"/>
  <c r="E639" i="34"/>
  <c r="E637" i="34"/>
  <c r="E635" i="34"/>
  <c r="E633" i="34"/>
  <c r="E631" i="34"/>
  <c r="E713" i="34"/>
  <c r="E697" i="34"/>
  <c r="E681" i="34"/>
  <c r="E646" i="34"/>
  <c r="E638" i="34"/>
  <c r="E630" i="34"/>
  <c r="E626" i="34"/>
  <c r="E680" i="34"/>
  <c r="E678" i="34"/>
  <c r="E672" i="34"/>
  <c r="E668" i="34"/>
  <c r="E640" i="34"/>
  <c r="E632" i="34"/>
  <c r="E690" i="34"/>
  <c r="E686" i="34"/>
  <c r="E682" i="34"/>
  <c r="E645" i="34"/>
  <c r="E629" i="34"/>
  <c r="E625" i="34"/>
  <c r="E706" i="34"/>
  <c r="E702" i="34"/>
  <c r="E698" i="34"/>
  <c r="E693" i="34"/>
  <c r="E691" i="34"/>
  <c r="E687" i="34"/>
  <c r="E710" i="34"/>
  <c r="E707" i="34"/>
  <c r="E624" i="34"/>
  <c r="E634" i="34"/>
  <c r="E700" i="34"/>
  <c r="E673" i="34"/>
  <c r="E670" i="34"/>
  <c r="E647" i="34"/>
  <c r="E703" i="34"/>
  <c r="E642" i="34"/>
  <c r="E712" i="34"/>
  <c r="E636" i="34"/>
  <c r="E684" i="34"/>
  <c r="E675" i="34"/>
  <c r="E696" i="34"/>
  <c r="E674" i="34"/>
  <c r="E628" i="34"/>
  <c r="E689" i="34"/>
  <c r="E704" i="34"/>
  <c r="E709" i="34"/>
  <c r="E644" i="34"/>
  <c r="E671" i="34"/>
  <c r="E688" i="34"/>
  <c r="E677" i="34"/>
  <c r="E694" i="34"/>
  <c r="E705" i="34"/>
  <c r="C138" i="8"/>
  <c r="D417" i="24"/>
  <c r="D715" i="24" l="1"/>
  <c r="E623" i="24"/>
  <c r="C168" i="8"/>
  <c r="D421" i="24"/>
  <c r="E612" i="24"/>
  <c r="E715" i="34"/>
  <c r="F624" i="34"/>
  <c r="E705" i="24" l="1"/>
  <c r="E704" i="24"/>
  <c r="E677" i="24"/>
  <c r="E716" i="24"/>
  <c r="E710" i="24"/>
  <c r="E684" i="24"/>
  <c r="E669" i="24"/>
  <c r="E627" i="24"/>
  <c r="E700" i="24"/>
  <c r="E687" i="24"/>
  <c r="E688" i="24"/>
  <c r="E681" i="24"/>
  <c r="E674" i="24"/>
  <c r="E645" i="24"/>
  <c r="E629" i="24"/>
  <c r="E647" i="24"/>
  <c r="E625" i="24"/>
  <c r="E697" i="24"/>
  <c r="E695" i="24"/>
  <c r="E693" i="24"/>
  <c r="E686" i="24"/>
  <c r="E638" i="24"/>
  <c r="E631" i="24"/>
  <c r="E712" i="24"/>
  <c r="E672" i="24"/>
  <c r="E708" i="24"/>
  <c r="E691" i="24"/>
  <c r="E640" i="24"/>
  <c r="E633" i="24"/>
  <c r="E706" i="24"/>
  <c r="E682" i="24"/>
  <c r="E670" i="24"/>
  <c r="E628" i="24"/>
  <c r="E675" i="24"/>
  <c r="E642" i="24"/>
  <c r="E635" i="24"/>
  <c r="E624" i="24"/>
  <c r="F624" i="24" s="1"/>
  <c r="F701" i="24" s="1"/>
  <c r="E702" i="24"/>
  <c r="E689" i="24"/>
  <c r="E711" i="24"/>
  <c r="E694" i="24"/>
  <c r="E676" i="24"/>
  <c r="E699" i="24"/>
  <c r="E690" i="24"/>
  <c r="E678" i="24"/>
  <c r="E646" i="24"/>
  <c r="E641" i="24"/>
  <c r="E703" i="24"/>
  <c r="E636" i="24"/>
  <c r="E707" i="24"/>
  <c r="E698" i="24"/>
  <c r="E630" i="24"/>
  <c r="E673" i="24"/>
  <c r="E685" i="24"/>
  <c r="E668" i="24"/>
  <c r="E644" i="24"/>
  <c r="E639" i="24"/>
  <c r="E701" i="24"/>
  <c r="E709" i="24"/>
  <c r="E692" i="24"/>
  <c r="E680" i="24"/>
  <c r="E634" i="24"/>
  <c r="E696" i="24"/>
  <c r="E713" i="24"/>
  <c r="E643" i="24"/>
  <c r="E637" i="24"/>
  <c r="E626" i="24"/>
  <c r="E632" i="24"/>
  <c r="E671" i="24"/>
  <c r="E683" i="24"/>
  <c r="E679" i="24"/>
  <c r="F702" i="24"/>
  <c r="F707" i="24"/>
  <c r="F693" i="24"/>
  <c r="F690" i="24"/>
  <c r="F705" i="24"/>
  <c r="F700" i="24"/>
  <c r="F687" i="24"/>
  <c r="F695" i="24"/>
  <c r="F697" i="24"/>
  <c r="F686" i="24"/>
  <c r="F638" i="24"/>
  <c r="F631" i="24"/>
  <c r="F712" i="24"/>
  <c r="F677" i="24"/>
  <c r="F672" i="24"/>
  <c r="F710" i="24"/>
  <c r="F708" i="24"/>
  <c r="F691" i="24"/>
  <c r="F670" i="24"/>
  <c r="F628" i="24"/>
  <c r="F675" i="24"/>
  <c r="F642" i="24"/>
  <c r="F635" i="24"/>
  <c r="F704" i="24"/>
  <c r="F689" i="24"/>
  <c r="F680" i="24"/>
  <c r="F673" i="24"/>
  <c r="F637" i="24"/>
  <c r="F678" i="24"/>
  <c r="F646" i="24"/>
  <c r="F703" i="24"/>
  <c r="F698" i="24"/>
  <c r="F694" i="24"/>
  <c r="F674" i="24"/>
  <c r="F630" i="24"/>
  <c r="F711" i="24"/>
  <c r="F716" i="24"/>
  <c r="F685" i="24"/>
  <c r="F627" i="24"/>
  <c r="F626" i="24"/>
  <c r="F629" i="24"/>
  <c r="F634" i="24"/>
  <c r="F676" i="24"/>
  <c r="F696" i="24"/>
  <c r="F668" i="24"/>
  <c r="F713" i="24"/>
  <c r="F692" i="24"/>
  <c r="F683" i="24"/>
  <c r="F647" i="24"/>
  <c r="C172" i="8"/>
  <c r="D424" i="24"/>
  <c r="C177" i="8" s="1"/>
  <c r="F698" i="34"/>
  <c r="F682" i="34"/>
  <c r="F708" i="34"/>
  <c r="F692" i="34"/>
  <c r="F676" i="34"/>
  <c r="F705" i="34"/>
  <c r="F689" i="34"/>
  <c r="F673" i="34"/>
  <c r="F712" i="34"/>
  <c r="F696" i="34"/>
  <c r="F680" i="34"/>
  <c r="F710" i="34"/>
  <c r="F694" i="34"/>
  <c r="F678" i="34"/>
  <c r="F646" i="34"/>
  <c r="F711" i="34"/>
  <c r="F626" i="34"/>
  <c r="F716" i="34"/>
  <c r="F713" i="34"/>
  <c r="F643" i="34"/>
  <c r="F635" i="34"/>
  <c r="F674" i="34"/>
  <c r="F670" i="34"/>
  <c r="F690" i="34"/>
  <c r="F686" i="34"/>
  <c r="F645" i="34"/>
  <c r="F629" i="34"/>
  <c r="F625" i="34"/>
  <c r="F688" i="34"/>
  <c r="F684" i="34"/>
  <c r="F637" i="34"/>
  <c r="F704" i="34"/>
  <c r="F700" i="34"/>
  <c r="F642" i="34"/>
  <c r="F634" i="34"/>
  <c r="F685" i="34"/>
  <c r="F681" i="34"/>
  <c r="F641" i="34"/>
  <c r="F633" i="34"/>
  <c r="F627" i="34"/>
  <c r="F687" i="34"/>
  <c r="F630" i="34"/>
  <c r="F697" i="34"/>
  <c r="F647" i="34"/>
  <c r="F706" i="34"/>
  <c r="F703" i="34"/>
  <c r="F693" i="34"/>
  <c r="F683" i="34"/>
  <c r="F638" i="34"/>
  <c r="F702" i="34"/>
  <c r="F699" i="34"/>
  <c r="F691" i="34"/>
  <c r="F677" i="34"/>
  <c r="F671" i="34"/>
  <c r="F669" i="34"/>
  <c r="F679" i="34"/>
  <c r="F636" i="34"/>
  <c r="F628" i="34"/>
  <c r="F707" i="34"/>
  <c r="F701" i="34"/>
  <c r="F668" i="34"/>
  <c r="F709" i="34"/>
  <c r="F672" i="34"/>
  <c r="F644" i="34"/>
  <c r="F632" i="34"/>
  <c r="F640" i="34"/>
  <c r="F631" i="34"/>
  <c r="F675" i="34"/>
  <c r="F639" i="34"/>
  <c r="F695" i="34"/>
  <c r="F688" i="24" l="1"/>
  <c r="F644" i="24"/>
  <c r="F625" i="24"/>
  <c r="F639" i="24"/>
  <c r="F636" i="24"/>
  <c r="F632" i="24"/>
  <c r="F706" i="24"/>
  <c r="F669" i="24"/>
  <c r="F641" i="24"/>
  <c r="F643" i="24"/>
  <c r="F671" i="24"/>
  <c r="F640" i="24"/>
  <c r="F699" i="24"/>
  <c r="G625" i="24"/>
  <c r="F682" i="24"/>
  <c r="F681" i="24"/>
  <c r="F633" i="24"/>
  <c r="F679" i="24"/>
  <c r="F645" i="24"/>
  <c r="F709" i="24"/>
  <c r="F684" i="24"/>
  <c r="F715" i="34"/>
  <c r="G625" i="34"/>
  <c r="E715" i="24"/>
  <c r="F715" i="24" l="1"/>
  <c r="G677" i="24"/>
  <c r="G637" i="24"/>
  <c r="G674" i="24"/>
  <c r="G697" i="24"/>
  <c r="G672" i="24"/>
  <c r="G702" i="24"/>
  <c r="G636" i="24"/>
  <c r="G627" i="24"/>
  <c r="G642" i="24"/>
  <c r="G712" i="24"/>
  <c r="G633" i="24"/>
  <c r="G680" i="24"/>
  <c r="G630" i="24"/>
  <c r="G701" i="24"/>
  <c r="G676" i="24"/>
  <c r="G708" i="24"/>
  <c r="G673" i="24"/>
  <c r="G711" i="24"/>
  <c r="G688" i="24"/>
  <c r="G693" i="24"/>
  <c r="G716" i="24"/>
  <c r="G691" i="24"/>
  <c r="G644" i="24"/>
  <c r="G707" i="24"/>
  <c r="G705" i="24"/>
  <c r="G699" i="24"/>
  <c r="G684" i="24"/>
  <c r="G700" i="24"/>
  <c r="G686" i="24"/>
  <c r="G632" i="24"/>
  <c r="G704" i="24"/>
  <c r="G710" i="24"/>
  <c r="G640" i="24"/>
  <c r="G698" i="24"/>
  <c r="G685" i="24"/>
  <c r="G679" i="24"/>
  <c r="G643" i="24"/>
  <c r="G689" i="24"/>
  <c r="G696" i="24"/>
  <c r="G706" i="24"/>
  <c r="G668" i="24"/>
  <c r="G645" i="24"/>
  <c r="G671" i="24"/>
  <c r="G631" i="24"/>
  <c r="G687" i="24"/>
  <c r="G682" i="24"/>
  <c r="G646" i="24"/>
  <c r="G681" i="24"/>
  <c r="G678" i="24"/>
  <c r="G695" i="24"/>
  <c r="G670" i="24"/>
  <c r="G692" i="24"/>
  <c r="G639" i="24"/>
  <c r="G709" i="24"/>
  <c r="G694" i="24"/>
  <c r="G713" i="24"/>
  <c r="G628" i="24"/>
  <c r="G683" i="24"/>
  <c r="G629" i="24"/>
  <c r="G703" i="24"/>
  <c r="G690" i="24"/>
  <c r="G675" i="24"/>
  <c r="G626" i="24"/>
  <c r="G634" i="24"/>
  <c r="G638" i="24"/>
  <c r="G647" i="24"/>
  <c r="G635" i="24"/>
  <c r="G641" i="24"/>
  <c r="G669" i="24"/>
  <c r="G711" i="34"/>
  <c r="G695" i="34"/>
  <c r="G679" i="34"/>
  <c r="G705" i="34"/>
  <c r="G689" i="34"/>
  <c r="G673" i="34"/>
  <c r="G702" i="34"/>
  <c r="G686" i="34"/>
  <c r="G670" i="34"/>
  <c r="G647" i="34"/>
  <c r="G645" i="34"/>
  <c r="G629" i="34"/>
  <c r="G626" i="34"/>
  <c r="G709" i="34"/>
  <c r="G693" i="34"/>
  <c r="G677" i="34"/>
  <c r="G707" i="34"/>
  <c r="G691" i="34"/>
  <c r="G675" i="34"/>
  <c r="G644" i="34"/>
  <c r="G642" i="34"/>
  <c r="G640" i="34"/>
  <c r="G638" i="34"/>
  <c r="G636" i="34"/>
  <c r="G634" i="34"/>
  <c r="G632" i="34"/>
  <c r="G630" i="34"/>
  <c r="G716" i="34"/>
  <c r="G713" i="34"/>
  <c r="G643" i="34"/>
  <c r="G635" i="34"/>
  <c r="G674" i="34"/>
  <c r="G676" i="34"/>
  <c r="G672" i="34"/>
  <c r="G668" i="34"/>
  <c r="G692" i="34"/>
  <c r="G688" i="34"/>
  <c r="G684" i="34"/>
  <c r="G682" i="34"/>
  <c r="G637" i="34"/>
  <c r="G706" i="34"/>
  <c r="G696" i="34"/>
  <c r="G694" i="34"/>
  <c r="G712" i="34"/>
  <c r="G710" i="34"/>
  <c r="G703" i="34"/>
  <c r="G699" i="34"/>
  <c r="G700" i="34"/>
  <c r="G697" i="34"/>
  <c r="G683" i="34"/>
  <c r="G628" i="34"/>
  <c r="G646" i="34"/>
  <c r="G681" i="34"/>
  <c r="G671" i="34"/>
  <c r="G704" i="34"/>
  <c r="G701" i="34"/>
  <c r="G639" i="34"/>
  <c r="G708" i="34"/>
  <c r="G680" i="34"/>
  <c r="G669" i="34"/>
  <c r="G690" i="34"/>
  <c r="G685" i="34"/>
  <c r="G641" i="34"/>
  <c r="G678" i="34"/>
  <c r="G698" i="34"/>
  <c r="G687" i="34"/>
  <c r="G631" i="34"/>
  <c r="G633" i="34"/>
  <c r="G627" i="34"/>
  <c r="G715" i="24" l="1"/>
  <c r="H628" i="24"/>
  <c r="G715" i="34"/>
  <c r="H628" i="34"/>
  <c r="H631" i="24" l="1"/>
  <c r="H644" i="24"/>
  <c r="H674" i="24"/>
  <c r="H683" i="24"/>
  <c r="H668" i="24"/>
  <c r="H695" i="24"/>
  <c r="H637" i="24"/>
  <c r="H636" i="24"/>
  <c r="H671" i="24"/>
  <c r="H712" i="24"/>
  <c r="H647" i="24"/>
  <c r="H691" i="24"/>
  <c r="H711" i="24"/>
  <c r="H696" i="24"/>
  <c r="H640" i="24"/>
  <c r="H646" i="24"/>
  <c r="H632" i="24"/>
  <c r="H641" i="24"/>
  <c r="H692" i="24"/>
  <c r="H713" i="24"/>
  <c r="H633" i="24"/>
  <c r="H700" i="24"/>
  <c r="H645" i="24"/>
  <c r="H634" i="24"/>
  <c r="H699" i="24"/>
  <c r="H684" i="24"/>
  <c r="H710" i="24"/>
  <c r="H698" i="24"/>
  <c r="H681" i="24"/>
  <c r="H680" i="24"/>
  <c r="H716" i="24"/>
  <c r="H706" i="24"/>
  <c r="H687" i="24"/>
  <c r="H629" i="24"/>
  <c r="I629" i="24" s="1"/>
  <c r="H689" i="24"/>
  <c r="H686" i="24"/>
  <c r="H690" i="24"/>
  <c r="H682" i="24"/>
  <c r="H685" i="24"/>
  <c r="H677" i="24"/>
  <c r="H643" i="24"/>
  <c r="H705" i="24"/>
  <c r="H676" i="24"/>
  <c r="H670" i="24"/>
  <c r="H678" i="24"/>
  <c r="H693" i="24"/>
  <c r="H704" i="24"/>
  <c r="H697" i="24"/>
  <c r="H708" i="24"/>
  <c r="H675" i="24"/>
  <c r="H639" i="24"/>
  <c r="H669" i="24"/>
  <c r="H672" i="24"/>
  <c r="H703" i="24"/>
  <c r="H642" i="24"/>
  <c r="H630" i="24"/>
  <c r="H701" i="24"/>
  <c r="H679" i="24"/>
  <c r="H635" i="24"/>
  <c r="H707" i="24"/>
  <c r="H688" i="24"/>
  <c r="H709" i="24"/>
  <c r="H638" i="24"/>
  <c r="H673" i="24"/>
  <c r="H694" i="24"/>
  <c r="H702" i="24"/>
  <c r="H708" i="34"/>
  <c r="H692" i="34"/>
  <c r="H676" i="34"/>
  <c r="H702" i="34"/>
  <c r="H686" i="34"/>
  <c r="H670" i="34"/>
  <c r="H647" i="34"/>
  <c r="H645" i="34"/>
  <c r="H629" i="34"/>
  <c r="H716" i="34"/>
  <c r="H699" i="34"/>
  <c r="H683" i="34"/>
  <c r="H643" i="34"/>
  <c r="H641" i="34"/>
  <c r="H639" i="34"/>
  <c r="H637" i="34"/>
  <c r="H635" i="34"/>
  <c r="H633" i="34"/>
  <c r="H631" i="34"/>
  <c r="H706" i="34"/>
  <c r="H690" i="34"/>
  <c r="H674" i="34"/>
  <c r="H704" i="34"/>
  <c r="H688" i="34"/>
  <c r="H672" i="34"/>
  <c r="H668" i="34"/>
  <c r="H680" i="34"/>
  <c r="H678" i="34"/>
  <c r="H640" i="34"/>
  <c r="H632" i="34"/>
  <c r="H696" i="34"/>
  <c r="H694" i="34"/>
  <c r="H700" i="34"/>
  <c r="H698" i="34"/>
  <c r="H709" i="34"/>
  <c r="H707" i="34"/>
  <c r="H705" i="34"/>
  <c r="H701" i="34"/>
  <c r="H697" i="34"/>
  <c r="H695" i="34"/>
  <c r="H634" i="34"/>
  <c r="H703" i="34"/>
  <c r="H693" i="34"/>
  <c r="H673" i="34"/>
  <c r="H638" i="34"/>
  <c r="H713" i="34"/>
  <c r="H642" i="34"/>
  <c r="H679" i="34"/>
  <c r="H675" i="34"/>
  <c r="H669" i="34"/>
  <c r="H711" i="34"/>
  <c r="H684" i="34"/>
  <c r="H677" i="34"/>
  <c r="H644" i="34"/>
  <c r="H691" i="34"/>
  <c r="H630" i="34"/>
  <c r="H685" i="34"/>
  <c r="H636" i="34"/>
  <c r="H712" i="34"/>
  <c r="H689" i="34"/>
  <c r="H687" i="34"/>
  <c r="H710" i="34"/>
  <c r="H681" i="34"/>
  <c r="H671" i="34"/>
  <c r="H682" i="34"/>
  <c r="H646" i="34"/>
  <c r="I703" i="24" l="1"/>
  <c r="I670" i="24"/>
  <c r="I641" i="24"/>
  <c r="I684" i="24"/>
  <c r="I686" i="24"/>
  <c r="I685" i="24"/>
  <c r="I690" i="24"/>
  <c r="I704" i="24"/>
  <c r="I692" i="24"/>
  <c r="I635" i="24"/>
  <c r="I712" i="24"/>
  <c r="I707" i="24"/>
  <c r="I678" i="24"/>
  <c r="I672" i="24"/>
  <c r="I673" i="24"/>
  <c r="I691" i="24"/>
  <c r="I642" i="24"/>
  <c r="I630" i="24"/>
  <c r="I702" i="24"/>
  <c r="I634" i="24"/>
  <c r="I695" i="24"/>
  <c r="I708" i="24"/>
  <c r="I644" i="24"/>
  <c r="I676" i="24"/>
  <c r="I680" i="24"/>
  <c r="I696" i="24"/>
  <c r="I643" i="24"/>
  <c r="I677" i="24"/>
  <c r="I698" i="24"/>
  <c r="I668" i="24"/>
  <c r="I706" i="24"/>
  <c r="I699" i="24"/>
  <c r="I689" i="24"/>
  <c r="I674" i="24"/>
  <c r="I631" i="24"/>
  <c r="I683" i="24"/>
  <c r="I637" i="24"/>
  <c r="I709" i="24"/>
  <c r="I710" i="24"/>
  <c r="I671" i="24"/>
  <c r="I675" i="24"/>
  <c r="I633" i="24"/>
  <c r="I669" i="24"/>
  <c r="I679" i="24"/>
  <c r="I638" i="24"/>
  <c r="I646" i="24"/>
  <c r="I705" i="24"/>
  <c r="I682" i="24"/>
  <c r="I632" i="24"/>
  <c r="I700" i="24"/>
  <c r="I647" i="24"/>
  <c r="I716" i="24"/>
  <c r="I645" i="24"/>
  <c r="I693" i="24"/>
  <c r="I713" i="24"/>
  <c r="I697" i="24"/>
  <c r="I687" i="24"/>
  <c r="I640" i="24"/>
  <c r="I636" i="24"/>
  <c r="I639" i="24"/>
  <c r="I681" i="24"/>
  <c r="I701" i="24"/>
  <c r="I688" i="24"/>
  <c r="I711" i="24"/>
  <c r="I694" i="24"/>
  <c r="H715" i="24"/>
  <c r="H715" i="34"/>
  <c r="I629" i="34"/>
  <c r="I715" i="24" l="1"/>
  <c r="J630" i="24"/>
  <c r="I705" i="34"/>
  <c r="I689" i="34"/>
  <c r="I673" i="34"/>
  <c r="I716" i="34"/>
  <c r="I699" i="34"/>
  <c r="I683" i="34"/>
  <c r="I643" i="34"/>
  <c r="I641" i="34"/>
  <c r="I639" i="34"/>
  <c r="I637" i="34"/>
  <c r="I635" i="34"/>
  <c r="I633" i="34"/>
  <c r="I631" i="34"/>
  <c r="I712" i="34"/>
  <c r="I696" i="34"/>
  <c r="I680" i="34"/>
  <c r="I703" i="34"/>
  <c r="I687" i="34"/>
  <c r="I671" i="34"/>
  <c r="I701" i="34"/>
  <c r="I685" i="34"/>
  <c r="I669" i="34"/>
  <c r="I674" i="34"/>
  <c r="I668" i="34"/>
  <c r="I678" i="34"/>
  <c r="I676" i="34"/>
  <c r="I672" i="34"/>
  <c r="I670" i="34"/>
  <c r="I640" i="34"/>
  <c r="I632" i="34"/>
  <c r="I690" i="34"/>
  <c r="I684" i="34"/>
  <c r="I682" i="34"/>
  <c r="I706" i="34"/>
  <c r="I700" i="34"/>
  <c r="I698" i="34"/>
  <c r="I710" i="34"/>
  <c r="I708" i="34"/>
  <c r="I704" i="34"/>
  <c r="I702" i="34"/>
  <c r="I642" i="34"/>
  <c r="I634" i="34"/>
  <c r="I646" i="34"/>
  <c r="I638" i="34"/>
  <c r="I630" i="34"/>
  <c r="I697" i="34"/>
  <c r="I693" i="34"/>
  <c r="I647" i="34"/>
  <c r="I713" i="34"/>
  <c r="I686" i="34"/>
  <c r="I679" i="34"/>
  <c r="I709" i="34"/>
  <c r="I644" i="34"/>
  <c r="I694" i="34"/>
  <c r="I691" i="34"/>
  <c r="I636" i="34"/>
  <c r="I707" i="34"/>
  <c r="I695" i="34"/>
  <c r="I692" i="34"/>
  <c r="I681" i="34"/>
  <c r="I688" i="34"/>
  <c r="I677" i="34"/>
  <c r="I675" i="34"/>
  <c r="I711" i="34"/>
  <c r="I645" i="34"/>
  <c r="J685" i="24" l="1"/>
  <c r="J682" i="24"/>
  <c r="J673" i="24"/>
  <c r="J691" i="24"/>
  <c r="J637" i="24"/>
  <c r="J716" i="24"/>
  <c r="J676" i="24"/>
  <c r="J684" i="24"/>
  <c r="J632" i="24"/>
  <c r="J670" i="24"/>
  <c r="J702" i="24"/>
  <c r="J635" i="24"/>
  <c r="J711" i="24"/>
  <c r="J689" i="24"/>
  <c r="J639" i="24"/>
  <c r="J677" i="24"/>
  <c r="J694" i="24"/>
  <c r="J701" i="24"/>
  <c r="J710" i="24"/>
  <c r="J642" i="24"/>
  <c r="J692" i="24"/>
  <c r="J700" i="24"/>
  <c r="J672" i="24"/>
  <c r="J678" i="24"/>
  <c r="J647" i="24"/>
  <c r="J693" i="24"/>
  <c r="J703" i="24"/>
  <c r="J713" i="24"/>
  <c r="J643" i="24"/>
  <c r="J633" i="24"/>
  <c r="J636" i="24"/>
  <c r="J671" i="24"/>
  <c r="J681" i="24"/>
  <c r="J644" i="24"/>
  <c r="J695" i="24"/>
  <c r="J680" i="24"/>
  <c r="J669" i="24"/>
  <c r="J712" i="24"/>
  <c r="J646" i="24"/>
  <c r="J705" i="24"/>
  <c r="J688" i="24"/>
  <c r="J704" i="24"/>
  <c r="J668" i="24"/>
  <c r="J690" i="24"/>
  <c r="J634" i="24"/>
  <c r="J674" i="24"/>
  <c r="J640" i="24"/>
  <c r="J687" i="24"/>
  <c r="J683" i="24"/>
  <c r="J709" i="24"/>
  <c r="J686" i="24"/>
  <c r="J696" i="24"/>
  <c r="J638" i="24"/>
  <c r="J707" i="24"/>
  <c r="J679" i="24"/>
  <c r="J641" i="24"/>
  <c r="J699" i="24"/>
  <c r="J697" i="24"/>
  <c r="J706" i="24"/>
  <c r="J675" i="24"/>
  <c r="J631" i="24"/>
  <c r="J708" i="24"/>
  <c r="J645" i="24"/>
  <c r="J698" i="24"/>
  <c r="I715" i="34"/>
  <c r="J630" i="34"/>
  <c r="J715" i="24" l="1"/>
  <c r="L647" i="24"/>
  <c r="K644" i="24"/>
  <c r="J702" i="34"/>
  <c r="J686" i="34"/>
  <c r="J670" i="34"/>
  <c r="J647" i="34"/>
  <c r="J645" i="34"/>
  <c r="J712" i="34"/>
  <c r="J696" i="34"/>
  <c r="J680" i="34"/>
  <c r="J709" i="34"/>
  <c r="J693" i="34"/>
  <c r="J677" i="34"/>
  <c r="J700" i="34"/>
  <c r="J684" i="34"/>
  <c r="J668" i="34"/>
  <c r="J698" i="34"/>
  <c r="J682" i="34"/>
  <c r="J678" i="34"/>
  <c r="J676" i="34"/>
  <c r="J672" i="34"/>
  <c r="J640" i="34"/>
  <c r="J632" i="34"/>
  <c r="J690" i="34"/>
  <c r="J694" i="34"/>
  <c r="J692" i="34"/>
  <c r="J688" i="34"/>
  <c r="J710" i="34"/>
  <c r="J708" i="34"/>
  <c r="J704" i="34"/>
  <c r="J642" i="34"/>
  <c r="J634" i="34"/>
  <c r="J675" i="34"/>
  <c r="J671" i="34"/>
  <c r="J639" i="34"/>
  <c r="J631" i="34"/>
  <c r="J713" i="34"/>
  <c r="J711" i="34"/>
  <c r="J703" i="34"/>
  <c r="J683" i="34"/>
  <c r="J673" i="34"/>
  <c r="J643" i="34"/>
  <c r="J638" i="34"/>
  <c r="J706" i="34"/>
  <c r="J679" i="34"/>
  <c r="J689" i="34"/>
  <c r="J633" i="34"/>
  <c r="J685" i="34"/>
  <c r="J641" i="34"/>
  <c r="J701" i="34"/>
  <c r="J707" i="34"/>
  <c r="J687" i="34"/>
  <c r="J674" i="34"/>
  <c r="J697" i="34"/>
  <c r="J669" i="34"/>
  <c r="J636" i="34"/>
  <c r="J695" i="34"/>
  <c r="J635" i="34"/>
  <c r="J681" i="34"/>
  <c r="J644" i="34"/>
  <c r="J637" i="34"/>
  <c r="J691" i="34"/>
  <c r="J699" i="34"/>
  <c r="J716" i="34"/>
  <c r="J705" i="34"/>
  <c r="J646" i="34"/>
  <c r="L673" i="24" l="1"/>
  <c r="L702" i="24"/>
  <c r="L709" i="24"/>
  <c r="L695" i="24"/>
  <c r="L698" i="24"/>
  <c r="M698" i="24" s="1"/>
  <c r="E151" i="32" s="1"/>
  <c r="L672" i="24"/>
  <c r="M672" i="24" s="1"/>
  <c r="G23" i="32" s="1"/>
  <c r="L688" i="24"/>
  <c r="M688" i="24" s="1"/>
  <c r="I87" i="32" s="1"/>
  <c r="L670" i="24"/>
  <c r="L703" i="24"/>
  <c r="M703" i="24" s="1"/>
  <c r="C183" i="32" s="1"/>
  <c r="L700" i="24"/>
  <c r="M700" i="24" s="1"/>
  <c r="G151" i="32" s="1"/>
  <c r="L679" i="24"/>
  <c r="M679" i="24" s="1"/>
  <c r="L708" i="24"/>
  <c r="L705" i="24"/>
  <c r="M705" i="24" s="1"/>
  <c r="E183" i="32" s="1"/>
  <c r="L687" i="24"/>
  <c r="M687" i="24" s="1"/>
  <c r="H87" i="32" s="1"/>
  <c r="L704" i="24"/>
  <c r="M704" i="24" s="1"/>
  <c r="D183" i="32" s="1"/>
  <c r="L694" i="24"/>
  <c r="M694" i="24" s="1"/>
  <c r="H119" i="32" s="1"/>
  <c r="L682" i="24"/>
  <c r="L693" i="24"/>
  <c r="L685" i="24"/>
  <c r="L711" i="24"/>
  <c r="L690" i="24"/>
  <c r="L716" i="24"/>
  <c r="L697" i="24"/>
  <c r="L701" i="24"/>
  <c r="L692" i="24"/>
  <c r="L713" i="24"/>
  <c r="M713" i="24" s="1"/>
  <c r="F215" i="32" s="1"/>
  <c r="L683" i="24"/>
  <c r="L684" i="24"/>
  <c r="M684" i="24" s="1"/>
  <c r="E87" i="32" s="1"/>
  <c r="L706" i="24"/>
  <c r="L707" i="24"/>
  <c r="L677" i="24"/>
  <c r="M677" i="24" s="1"/>
  <c r="L689" i="24"/>
  <c r="L675" i="24"/>
  <c r="L712" i="24"/>
  <c r="L669" i="24"/>
  <c r="M669" i="24" s="1"/>
  <c r="D23" i="32" s="1"/>
  <c r="L699" i="24"/>
  <c r="L696" i="24"/>
  <c r="L691" i="24"/>
  <c r="M691" i="24" s="1"/>
  <c r="L678" i="24"/>
  <c r="L671" i="24"/>
  <c r="L676" i="24"/>
  <c r="L681" i="24"/>
  <c r="M681" i="24" s="1"/>
  <c r="I55" i="32" s="1"/>
  <c r="L710" i="24"/>
  <c r="M710" i="24" s="1"/>
  <c r="C215" i="32" s="1"/>
  <c r="L674" i="24"/>
  <c r="M674" i="24" s="1"/>
  <c r="I23" i="32" s="1"/>
  <c r="L680" i="24"/>
  <c r="M680" i="24" s="1"/>
  <c r="H55" i="32" s="1"/>
  <c r="L686" i="24"/>
  <c r="M686" i="24" s="1"/>
  <c r="G87" i="32" s="1"/>
  <c r="L668" i="24"/>
  <c r="K689" i="24"/>
  <c r="K688" i="24"/>
  <c r="K698" i="24"/>
  <c r="K700" i="24"/>
  <c r="K685" i="24"/>
  <c r="K677" i="24"/>
  <c r="K690" i="24"/>
  <c r="K694" i="24"/>
  <c r="K703" i="24"/>
  <c r="K674" i="24"/>
  <c r="K711" i="24"/>
  <c r="K706" i="24"/>
  <c r="K696" i="24"/>
  <c r="K699" i="24"/>
  <c r="K708" i="24"/>
  <c r="K701" i="24"/>
  <c r="K682" i="24"/>
  <c r="K686" i="24"/>
  <c r="K672" i="24"/>
  <c r="K710" i="24"/>
  <c r="K684" i="24"/>
  <c r="K705" i="24"/>
  <c r="K679" i="24"/>
  <c r="K709" i="24"/>
  <c r="K695" i="24"/>
  <c r="K692" i="24"/>
  <c r="K671" i="24"/>
  <c r="K668" i="24"/>
  <c r="K678" i="24"/>
  <c r="K670" i="24"/>
  <c r="K683" i="24"/>
  <c r="K716" i="24"/>
  <c r="K676" i="24"/>
  <c r="K669" i="24"/>
  <c r="K687" i="24"/>
  <c r="K712" i="24"/>
  <c r="K675" i="24"/>
  <c r="K691" i="24"/>
  <c r="K713" i="24"/>
  <c r="K697" i="24"/>
  <c r="K681" i="24"/>
  <c r="K704" i="24"/>
  <c r="K680" i="24"/>
  <c r="K673" i="24"/>
  <c r="K702" i="24"/>
  <c r="K707" i="24"/>
  <c r="K693" i="24"/>
  <c r="L647" i="34"/>
  <c r="J715" i="34"/>
  <c r="K644" i="34"/>
  <c r="M706" i="24" l="1"/>
  <c r="F183" i="32" s="1"/>
  <c r="M707" i="24"/>
  <c r="G183" i="32" s="1"/>
  <c r="M689" i="24"/>
  <c r="C119" i="32" s="1"/>
  <c r="M676" i="24"/>
  <c r="D55" i="32" s="1"/>
  <c r="K715" i="24"/>
  <c r="M683" i="24"/>
  <c r="D87" i="32" s="1"/>
  <c r="M692" i="24"/>
  <c r="M690" i="24"/>
  <c r="D119" i="32" s="1"/>
  <c r="M711" i="24"/>
  <c r="D215" i="32" s="1"/>
  <c r="M702" i="24"/>
  <c r="I151" i="32" s="1"/>
  <c r="L715" i="24"/>
  <c r="M668" i="24"/>
  <c r="M708" i="24"/>
  <c r="H183" i="32" s="1"/>
  <c r="M671" i="24"/>
  <c r="F23" i="32" s="1"/>
  <c r="M701" i="24"/>
  <c r="H151" i="32" s="1"/>
  <c r="M670" i="24"/>
  <c r="E23" i="32" s="1"/>
  <c r="M678" i="24"/>
  <c r="M697" i="24"/>
  <c r="D151" i="32" s="1"/>
  <c r="E119" i="32"/>
  <c r="E55" i="32"/>
  <c r="M696" i="24"/>
  <c r="C151" i="32" s="1"/>
  <c r="M699" i="24"/>
  <c r="F151" i="32" s="1"/>
  <c r="M695" i="24"/>
  <c r="I119" i="32" s="1"/>
  <c r="M685" i="24"/>
  <c r="F87" i="32" s="1"/>
  <c r="M709" i="24"/>
  <c r="I183" i="32" s="1"/>
  <c r="M712" i="24"/>
  <c r="E215" i="32" s="1"/>
  <c r="M693" i="24"/>
  <c r="M675" i="24"/>
  <c r="C55" i="32" s="1"/>
  <c r="M682" i="24"/>
  <c r="C87" i="32" s="1"/>
  <c r="M673" i="24"/>
  <c r="H23" i="32" s="1"/>
  <c r="K716" i="34"/>
  <c r="K699" i="34"/>
  <c r="K683" i="34"/>
  <c r="K709" i="34"/>
  <c r="K693" i="34"/>
  <c r="K677" i="34"/>
  <c r="K706" i="34"/>
  <c r="K690" i="34"/>
  <c r="K674" i="34"/>
  <c r="K713" i="34"/>
  <c r="K697" i="34"/>
  <c r="K681" i="34"/>
  <c r="K711" i="34"/>
  <c r="K695" i="34"/>
  <c r="K679" i="34"/>
  <c r="K670" i="34"/>
  <c r="K694" i="34"/>
  <c r="K692" i="34"/>
  <c r="K688" i="34"/>
  <c r="K684" i="34"/>
  <c r="K682" i="34"/>
  <c r="K680" i="34"/>
  <c r="K686" i="34"/>
  <c r="K702" i="34"/>
  <c r="K712" i="34"/>
  <c r="K673" i="34"/>
  <c r="K669" i="34"/>
  <c r="K703" i="34"/>
  <c r="K700" i="34"/>
  <c r="K676" i="34"/>
  <c r="K689" i="34"/>
  <c r="K696" i="34"/>
  <c r="K705" i="34"/>
  <c r="K672" i="34"/>
  <c r="K707" i="34"/>
  <c r="K704" i="34"/>
  <c r="K687" i="34"/>
  <c r="K668" i="34"/>
  <c r="K715" i="34" s="1"/>
  <c r="K708" i="34"/>
  <c r="K685" i="34"/>
  <c r="K701" i="34"/>
  <c r="K678" i="34"/>
  <c r="K698" i="34"/>
  <c r="K675" i="34"/>
  <c r="K671" i="34"/>
  <c r="K710" i="34"/>
  <c r="K691" i="34"/>
  <c r="L712" i="34"/>
  <c r="M712" i="34" s="1"/>
  <c r="L696" i="34"/>
  <c r="L680" i="34"/>
  <c r="L706" i="34"/>
  <c r="L690" i="34"/>
  <c r="M690" i="34" s="1"/>
  <c r="L674" i="34"/>
  <c r="M674" i="34" s="1"/>
  <c r="L703" i="34"/>
  <c r="L687" i="34"/>
  <c r="M687" i="34" s="1"/>
  <c r="L671" i="34"/>
  <c r="L710" i="34"/>
  <c r="L694" i="34"/>
  <c r="M694" i="34" s="1"/>
  <c r="L678" i="34"/>
  <c r="M678" i="34" s="1"/>
  <c r="L708" i="34"/>
  <c r="M708" i="34" s="1"/>
  <c r="L692" i="34"/>
  <c r="M692" i="34" s="1"/>
  <c r="L676" i="34"/>
  <c r="L688" i="34"/>
  <c r="M688" i="34" s="1"/>
  <c r="L684" i="34"/>
  <c r="M684" i="34" s="1"/>
  <c r="L682" i="34"/>
  <c r="M682" i="34" s="1"/>
  <c r="L686" i="34"/>
  <c r="L704" i="34"/>
  <c r="M704" i="34" s="1"/>
  <c r="L700" i="34"/>
  <c r="L698" i="34"/>
  <c r="L675" i="34"/>
  <c r="L691" i="34"/>
  <c r="L677" i="34"/>
  <c r="M677" i="34" s="1"/>
  <c r="L693" i="34"/>
  <c r="M693" i="34" s="1"/>
  <c r="L683" i="34"/>
  <c r="M683" i="34" s="1"/>
  <c r="L673" i="34"/>
  <c r="M673" i="34" s="1"/>
  <c r="L713" i="34"/>
  <c r="M713" i="34" s="1"/>
  <c r="L679" i="34"/>
  <c r="L689" i="34"/>
  <c r="L670" i="34"/>
  <c r="L709" i="34"/>
  <c r="M709" i="34" s="1"/>
  <c r="L668" i="34"/>
  <c r="L702" i="34"/>
  <c r="M702" i="34" s="1"/>
  <c r="L685" i="34"/>
  <c r="M685" i="34" s="1"/>
  <c r="L707" i="34"/>
  <c r="M707" i="34" s="1"/>
  <c r="L701" i="34"/>
  <c r="M701" i="34" s="1"/>
  <c r="L695" i="34"/>
  <c r="L672" i="34"/>
  <c r="M672" i="34" s="1"/>
  <c r="L681" i="34"/>
  <c r="L699" i="34"/>
  <c r="M699" i="34" s="1"/>
  <c r="L697" i="34"/>
  <c r="L716" i="34"/>
  <c r="L705" i="34"/>
  <c r="M705" i="34" s="1"/>
  <c r="L669" i="34"/>
  <c r="M669" i="34" s="1"/>
  <c r="L711" i="34"/>
  <c r="M711" i="34" s="1"/>
  <c r="C23" i="32" l="1"/>
  <c r="M715" i="24"/>
  <c r="F119" i="32"/>
  <c r="F55" i="32"/>
  <c r="G55" i="32"/>
  <c r="G119" i="32"/>
  <c r="M710" i="34"/>
  <c r="M681" i="34"/>
  <c r="M671" i="34"/>
  <c r="M679" i="34"/>
  <c r="M675" i="34"/>
  <c r="M703" i="34"/>
  <c r="M676" i="34"/>
  <c r="M697" i="34"/>
  <c r="M689" i="34"/>
  <c r="M700" i="34"/>
  <c r="M691" i="34"/>
  <c r="M706" i="34"/>
  <c r="M686" i="34"/>
  <c r="M680" i="34"/>
  <c r="M670" i="34"/>
  <c r="M695" i="34"/>
  <c r="M698" i="34"/>
  <c r="L715" i="34"/>
  <c r="M668" i="34"/>
  <c r="M715" i="34" s="1"/>
  <c r="M696" i="3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tc={45C3D507-6667-4D38-B65D-5054D0F9A505}</author>
    <author>tc={A2BF38F2-C546-4643-88CB-F2E30D065AD0}</author>
  </authors>
  <commentList>
    <comment ref="A15" authorId="0" shapeId="0" xr:uid="{45C3D507-6667-4D38-B65D-5054D0F9A505}">
      <text>
        <t>[Threaded comment]
Your version of Excel allows you to read this threaded comment; however, any edits to it will get removed if the file is opened in a newer version of Excel. Learn more: https://go.microsoft.com/fwlink/?linkid=870924
Comment:
    50100.RC473</t>
      </text>
    </comment>
    <comment ref="A29" authorId="1" shapeId="0" xr:uid="{A2BF38F2-C546-4643-88CB-F2E30D065AD0}">
      <text>
        <t>[Threaded comment]
Your version of Excel allows you to read this threaded comment; however, any edits to it will get removed if the file is opened in a newer version of Excel. Learn more: https://go.microsoft.com/fwlink/?linkid=870924
Comment:
    80200.SC222</t>
      </text>
    </comment>
  </commentList>
</comments>
</file>

<file path=xl/sharedStrings.xml><?xml version="1.0" encoding="utf-8"?>
<sst xmlns="http://schemas.openxmlformats.org/spreadsheetml/2006/main" count="4701" uniqueCount="1371">
  <si>
    <t>DOH 689-182 February 2024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</si>
  <si>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</si>
  <si>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</si>
  <si>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</si>
  <si>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>
      <t>E2SHB 1272 Requirements:</t>
    </r>
    <r>
      <rPr>
        <sz val="11"/>
        <color theme="1"/>
        <rFont val="Calibri"/>
        <family val="2"/>
        <scheme val="minor"/>
      </rPr>
      <t xml:space="preserve"> This template has been updated to reflect E2SHB 1272 reporting requirements.</t>
    </r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</si>
  <si>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</si>
  <si>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</si>
  <si>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</si>
  <si>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</si>
  <si>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</si>
  <si>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</si>
  <si>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</si>
  <si>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</si>
  <si>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</si>
  <si>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</si>
  <si>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</si>
  <si>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</si>
  <si>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</si>
  <si>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</si>
  <si>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</si>
  <si>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</si>
  <si>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</si>
  <si>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</si>
  <si>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</si>
  <si>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</si>
  <si>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</si>
  <si>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</si>
  <si>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</si>
  <si>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within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</si>
  <si>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</si>
  <si>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within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</si>
  <si>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</si>
  <si>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</si>
  <si>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</si>
  <si>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</si>
  <si>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</si>
  <si>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</si>
  <si>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</si>
  <si>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</si>
  <si>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</si>
  <si>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</si>
  <si>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</si>
  <si>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</si>
  <si>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</si>
  <si>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</si>
  <si>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</si>
  <si>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</si>
  <si>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</si>
  <si>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</si>
  <si>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</si>
  <si>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</si>
  <si>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</si>
  <si>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</si>
  <si>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</si>
  <si>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</si>
  <si>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</si>
  <si>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</si>
  <si>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</si>
  <si>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</si>
  <si>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</si>
  <si>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</si>
  <si>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</si>
  <si>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</si>
  <si>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</si>
  <si>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</si>
  <si>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</si>
  <si>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</si>
  <si>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</si>
  <si>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</si>
  <si>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</si>
  <si>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</si>
  <si>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</si>
  <si>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</si>
  <si>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</si>
  <si>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</si>
  <si>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</si>
  <si>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</si>
  <si>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</si>
  <si>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</si>
  <si>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</si>
  <si>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</si>
  <si>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</si>
  <si>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</si>
  <si>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</si>
  <si>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</si>
  <si>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</si>
  <si>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</si>
  <si>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</si>
  <si>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</si>
  <si>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</si>
  <si>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</si>
  <si>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</si>
  <si>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</si>
  <si>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</si>
  <si>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</si>
  <si>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</si>
  <si>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</si>
  <si>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</si>
  <si>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</si>
  <si>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</si>
  <si>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</si>
  <si>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</si>
  <si>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</si>
  <si>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</si>
  <si>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</si>
  <si>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</si>
  <si>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</si>
  <si>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</si>
  <si>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</si>
  <si>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</si>
  <si>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</si>
  <si>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</si>
  <si>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</si>
  <si>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</si>
  <si>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</si>
  <si>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</si>
  <si>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</si>
  <si>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</si>
  <si>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</si>
  <si>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</si>
  <si>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</si>
  <si>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</si>
  <si>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</si>
  <si>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</si>
  <si>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</si>
  <si>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</si>
  <si>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</si>
  <si>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</si>
  <si>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</si>
  <si>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</si>
  <si>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</si>
  <si>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</si>
  <si>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</si>
  <si>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</si>
  <si>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</si>
  <si>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</si>
  <si>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</si>
  <si>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</si>
  <si>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</si>
  <si>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</si>
  <si>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</si>
  <si>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</si>
  <si>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</si>
  <si>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</si>
  <si>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</si>
  <si>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</si>
  <si>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</si>
  <si>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</si>
  <si>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</si>
  <si>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</si>
  <si>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</si>
  <si>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</si>
  <si>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</si>
  <si>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</si>
  <si>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</si>
  <si>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</si>
  <si>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</si>
  <si>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</si>
  <si>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</si>
  <si>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</si>
  <si>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</si>
  <si>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</si>
  <si>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</si>
  <si>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</si>
  <si>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</si>
  <si>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</si>
  <si>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</si>
  <si>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</si>
  <si>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</si>
  <si>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</si>
  <si>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</si>
  <si>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</si>
  <si>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</si>
  <si>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</si>
  <si>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</si>
  <si>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</si>
  <si>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</si>
  <si>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</si>
  <si>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</si>
  <si>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</si>
  <si>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</si>
  <si>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</si>
  <si>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</si>
  <si>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</si>
  <si>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</si>
  <si>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</si>
  <si>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</si>
  <si>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</si>
  <si>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</si>
  <si>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</si>
  <si>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</si>
  <si>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</si>
  <si>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</si>
  <si>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</si>
  <si>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</si>
  <si>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</si>
  <si>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</si>
  <si>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</si>
  <si>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</si>
  <si>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</si>
  <si>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</si>
  <si>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</si>
  <si>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</si>
  <si>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</si>
  <si>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</si>
  <si>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</si>
  <si>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</si>
  <si>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</si>
  <si>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</si>
  <si>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</si>
  <si>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</si>
  <si>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</si>
  <si>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</si>
  <si>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</si>
  <si>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</si>
  <si>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</si>
  <si>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</si>
  <si>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</si>
  <si>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</si>
  <si>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</si>
  <si>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</si>
  <si>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</si>
  <si>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</si>
  <si>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</si>
  <si>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</si>
  <si>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</si>
  <si>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</si>
  <si>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</si>
  <si>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</si>
  <si>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</si>
  <si>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</si>
  <si>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</si>
  <si>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</si>
  <si>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</si>
  <si>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</si>
  <si>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</si>
  <si>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</si>
  <si>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</si>
  <si>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</si>
  <si>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</si>
  <si>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</si>
  <si>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</si>
  <si>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</si>
  <si>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</si>
  <si>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</si>
  <si>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</si>
  <si>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</si>
  <si>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</si>
  <si>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</si>
  <si>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</si>
  <si>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</si>
  <si>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</si>
  <si>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</si>
  <si>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</si>
  <si>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</si>
  <si>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</si>
  <si>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</si>
  <si>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</si>
  <si>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</si>
  <si>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</si>
  <si>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</si>
  <si>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</si>
  <si>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</si>
  <si>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</si>
  <si>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</si>
  <si>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</si>
  <si>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</si>
  <si>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</si>
  <si>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</si>
  <si>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</si>
  <si>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</si>
  <si>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</si>
  <si>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</si>
  <si>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</si>
  <si>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</si>
  <si>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</si>
  <si>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</si>
  <si>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</si>
  <si>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</si>
  <si>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</si>
  <si>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</si>
  <si>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</si>
  <si>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</si>
  <si>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</si>
  <si>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</si>
  <si>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</si>
  <si>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</si>
  <si>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</si>
  <si>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</si>
  <si>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</si>
  <si>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</si>
  <si>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</si>
  <si>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</si>
  <si>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</si>
  <si>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</si>
  <si>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</si>
  <si>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12/31/2024</t>
  </si>
  <si>
    <t/>
  </si>
  <si>
    <t>License Number</t>
  </si>
  <si>
    <t>:</t>
  </si>
  <si>
    <t>176</t>
  </si>
  <si>
    <t>Hospital Name</t>
  </si>
  <si>
    <t>Tacoma General / Allenmore</t>
  </si>
  <si>
    <t>Mailing Address</t>
  </si>
  <si>
    <t>City</t>
  </si>
  <si>
    <t xml:space="preserve">Tacoma  </t>
  </si>
  <si>
    <t>State</t>
  </si>
  <si>
    <t>WA</t>
  </si>
  <si>
    <t>Zip</t>
  </si>
  <si>
    <t>County</t>
  </si>
  <si>
    <t>Pierce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</si>
  <si>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</si>
  <si>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</si>
  <si>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</si>
  <si>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</si>
  <si>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</si>
  <si>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</si>
  <si>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</si>
  <si>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</si>
  <si>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</si>
  <si>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</si>
  <si>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</si>
  <si>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</si>
  <si>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</si>
  <si>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</si>
  <si>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</si>
  <si>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</si>
  <si>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</si>
  <si>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</si>
  <si>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</si>
  <si>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</si>
  <si>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</si>
  <si>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</si>
  <si>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</si>
  <si>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</si>
  <si>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</si>
  <si>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</si>
  <si>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</si>
  <si>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</si>
  <si>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</si>
  <si>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</si>
  <si>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</si>
  <si>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</si>
  <si>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</si>
  <si>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</si>
  <si>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</si>
  <si>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</si>
  <si>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</si>
  <si>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</si>
  <si>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</si>
  <si>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</si>
  <si>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</si>
  <si>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</si>
  <si>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</si>
  <si>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</si>
  <si>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</si>
  <si>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</si>
  <si>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</si>
  <si>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</si>
  <si>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</si>
  <si>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</si>
  <si>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</si>
  <si>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</si>
  <si>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</si>
  <si>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</si>
  <si>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</si>
  <si>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</si>
  <si>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</si>
  <si>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</si>
  <si>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</si>
  <si>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</si>
  <si>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</si>
  <si>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</si>
  <si>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</si>
  <si>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</si>
  <si>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</si>
  <si>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</si>
  <si>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</si>
  <si>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</si>
  <si>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</si>
  <si>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</si>
  <si>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</si>
  <si>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</si>
  <si>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</si>
  <si>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</si>
  <si>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</si>
  <si>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</si>
  <si>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</si>
  <si>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</si>
  <si>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 xml:space="preserve"> 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</si>
  <si>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</si>
  <si>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</si>
  <si>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</si>
  <si>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</si>
  <si>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</si>
  <si>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</si>
  <si>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</si>
  <si>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</si>
  <si>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</si>
  <si>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</si>
  <si>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</si>
  <si>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</si>
  <si>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</si>
  <si>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</si>
  <si>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</si>
  <si>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</si>
  <si>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</si>
  <si>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</si>
  <si>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</si>
  <si>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</si>
  <si>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</si>
  <si>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</si>
  <si>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</si>
  <si>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</si>
  <si>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</si>
  <si>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</si>
  <si>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</si>
  <si>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</si>
  <si>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</si>
  <si>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</si>
  <si>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</si>
  <si>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</si>
  <si>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</si>
  <si>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</si>
  <si>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</si>
  <si>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</si>
  <si>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</si>
  <si>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</si>
  <si>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</si>
  <si>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</si>
  <si>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</si>
  <si>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</si>
  <si>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</si>
  <si>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</si>
  <si>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</si>
  <si>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</si>
  <si>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</si>
  <si>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</si>
  <si>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</si>
  <si>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</si>
  <si>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</si>
  <si>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</si>
  <si>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</si>
  <si>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</si>
  <si>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</si>
  <si>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</si>
  <si>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</si>
  <si>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</si>
  <si>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</si>
  <si>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</si>
  <si>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</si>
  <si>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</si>
  <si>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</si>
  <si>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</si>
  <si>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</si>
  <si>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</si>
  <si>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</si>
  <si>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</si>
  <si>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</si>
  <si>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</si>
  <si>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</si>
  <si>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</si>
  <si>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</si>
  <si>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</si>
  <si>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</si>
  <si>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</si>
  <si>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</si>
  <si>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</si>
  <si>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</si>
  <si>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</si>
  <si>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</si>
  <si>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</si>
  <si>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</si>
  <si>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</si>
  <si>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</si>
  <si>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</si>
  <si>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</si>
  <si>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</si>
  <si>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</si>
  <si>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</si>
  <si>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</si>
  <si>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</si>
  <si>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</si>
  <si>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</si>
  <si>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</si>
  <si>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</si>
  <si>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</si>
  <si>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</si>
  <si>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</si>
  <si>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</si>
  <si>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</si>
  <si>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</si>
  <si>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</si>
  <si>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</si>
  <si>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</si>
  <si>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</si>
  <si>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</si>
  <si>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</si>
  <si>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</si>
  <si>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</si>
  <si>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</si>
  <si>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</si>
  <si>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</si>
  <si>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</si>
  <si>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</si>
  <si>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</si>
  <si>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</si>
  <si>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</si>
  <si>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</si>
  <si>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</si>
  <si>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</si>
  <si>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</si>
  <si>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</si>
  <si>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</si>
  <si>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</si>
  <si>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</si>
  <si>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</si>
  <si>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</si>
  <si>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</si>
  <si>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</si>
  <si>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</si>
  <si>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</si>
  <si>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</si>
  <si>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</si>
  <si>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</si>
  <si>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</si>
  <si>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</si>
  <si>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</si>
  <si>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</si>
  <si>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</si>
  <si>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</si>
  <si>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</si>
  <si>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</si>
  <si>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</si>
  <si>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</si>
  <si>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</si>
  <si>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To request this document in another format, call 1-800-525-0127. Deaf or hard of hearing customers, please call 711 (Washington Relay) or email doh.information@doh.wa.gov.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</si>
  <si>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</si>
  <si>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</si>
  <si>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</si>
  <si>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</si>
  <si>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</si>
  <si>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</si>
  <si>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</si>
  <si>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</si>
  <si>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</si>
  <si>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</si>
  <si>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</si>
  <si>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</si>
  <si>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</si>
  <si>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</si>
  <si>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</si>
  <si>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</si>
  <si>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</si>
  <si>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</si>
  <si>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</si>
  <si>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</si>
  <si>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</si>
  <si>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</si>
  <si>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</si>
  <si>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</si>
  <si>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</si>
  <si>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</si>
  <si>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</si>
  <si>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</si>
  <si>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</si>
  <si>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</si>
  <si>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</si>
  <si>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</si>
  <si>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</si>
  <si>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</si>
  <si>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</si>
  <si>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</si>
  <si>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</si>
  <si>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</si>
  <si>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</si>
  <si>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</si>
  <si>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</si>
  <si>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</si>
  <si>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</si>
  <si>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</si>
  <si>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</si>
  <si>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</si>
  <si>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</si>
  <si>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</si>
  <si>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</si>
  <si>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</si>
  <si>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</si>
  <si>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</si>
  <si>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</si>
  <si>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</si>
  <si>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</si>
  <si>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</si>
  <si>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</si>
  <si>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</si>
  <si>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</si>
  <si>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</si>
  <si>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</si>
  <si>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</si>
  <si>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</si>
  <si>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</si>
  <si>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</si>
  <si>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</si>
  <si>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</si>
  <si>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</si>
  <si>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</si>
  <si>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</si>
  <si>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</si>
  <si>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</si>
  <si>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</si>
  <si>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</si>
  <si>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</si>
  <si>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</si>
  <si>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</si>
  <si>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</si>
  <si>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</si>
  <si>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</si>
  <si>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</si>
  <si>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</si>
  <si>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</si>
  <si>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</si>
  <si>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</si>
  <si>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</si>
  <si>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</si>
  <si>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</si>
  <si>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</si>
  <si>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</si>
  <si>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</si>
  <si>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</si>
  <si>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</si>
  <si>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</si>
  <si>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</si>
  <si>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</si>
  <si>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</si>
  <si>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</si>
  <si>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</si>
  <si>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</si>
  <si>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</si>
  <si>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</si>
  <si>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</si>
  <si>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</si>
  <si>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</si>
  <si>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</si>
  <si>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</si>
  <si>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</si>
  <si>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</si>
  <si>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</si>
  <si>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</si>
  <si>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</si>
  <si>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</si>
  <si>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</si>
  <si>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</si>
  <si>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</si>
  <si>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</si>
  <si>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</si>
  <si>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</si>
  <si>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</si>
  <si>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</si>
  <si>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</si>
  <si>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</si>
  <si>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</si>
  <si>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</si>
  <si>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</si>
  <si>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</si>
  <si>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</si>
  <si>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</si>
  <si>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</si>
  <si>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</si>
  <si>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</si>
  <si>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</si>
  <si>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</si>
  <si>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</si>
  <si>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</si>
  <si>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</si>
  <si>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</si>
  <si>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</si>
  <si>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</si>
  <si>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</si>
  <si>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</si>
  <si>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</si>
  <si>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</si>
  <si>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</si>
  <si>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</si>
  <si>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</si>
  <si>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</si>
  <si>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</si>
  <si>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</si>
  <si>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</si>
  <si>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</si>
  <si>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</si>
  <si>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</si>
  <si>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</si>
  <si>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</si>
  <si>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</si>
  <si>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</si>
  <si>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</si>
  <si>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</si>
  <si>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</si>
  <si>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</si>
  <si>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</si>
  <si>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</si>
  <si>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</si>
  <si>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</si>
  <si>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</si>
  <si>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</si>
  <si>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</si>
  <si>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</si>
  <si>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</si>
  <si>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</si>
  <si>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</si>
  <si>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</si>
  <si>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</si>
  <si>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</si>
  <si>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</si>
  <si>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</si>
  <si>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</si>
  <si>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</si>
  <si>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</si>
  <si>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</si>
  <si>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</si>
  <si>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</si>
  <si>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</si>
  <si>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</si>
  <si>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</si>
  <si>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</si>
  <si>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</si>
  <si>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</si>
  <si>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</si>
  <si>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</si>
  <si>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</si>
  <si>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</si>
  <si>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</si>
  <si>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</si>
  <si>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</si>
  <si>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</si>
  <si>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</si>
  <si>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</si>
  <si>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</si>
  <si>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</si>
  <si>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</si>
  <si>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</si>
  <si>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</si>
  <si>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</si>
  <si>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</si>
  <si>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</si>
  <si>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</si>
  <si>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</si>
  <si>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</si>
  <si>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</si>
  <si>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</si>
  <si>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</si>
  <si>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</si>
  <si>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</si>
  <si>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</si>
  <si>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</si>
  <si>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</si>
  <si>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</si>
  <si>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</si>
  <si>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</si>
  <si>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</si>
  <si>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</si>
  <si>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</si>
  <si>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</si>
  <si>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</si>
  <si>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</si>
  <si>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</si>
  <si>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</si>
  <si>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</si>
  <si>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</si>
  <si>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</si>
  <si>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</si>
  <si>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</si>
  <si>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</si>
  <si>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</si>
  <si>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</si>
  <si>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</si>
  <si>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</si>
  <si>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</si>
  <si>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</si>
  <si>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</si>
  <si>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</si>
  <si>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</si>
  <si>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</si>
  <si>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</si>
  <si>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</si>
  <si>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</si>
  <si>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</si>
  <si>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</si>
  <si>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</si>
  <si>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</si>
  <si>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</si>
  <si>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</si>
  <si>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</si>
  <si>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</si>
  <si>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</si>
  <si>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</si>
  <si>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</si>
  <si>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</si>
  <si>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</si>
  <si>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</si>
  <si>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</si>
  <si>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</si>
  <si>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</si>
  <si>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</si>
  <si>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</si>
  <si>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</si>
  <si>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</si>
  <si>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</si>
  <si>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</si>
  <si>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</si>
  <si>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</si>
  <si>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</si>
  <si>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</si>
  <si>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</si>
  <si>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E380 of the Data tab if you're required to provide a response.</t>
  </si>
  <si>
    <t>2. For Other Noncategorized Expenses: Report line items and amounts within "Other Noncategorized Expenses" that either have a value of $1,000,000 or more;</t>
  </si>
  <si>
    <t>or represent 1% or more of the total revenues. A prompt will appear in Cell E414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</si>
  <si>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</si>
  <si>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</si>
  <si>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</si>
  <si>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</si>
  <si>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</si>
  <si>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</si>
  <si>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</si>
  <si>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</si>
  <si>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</si>
  <si>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</si>
  <si>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</si>
  <si>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</si>
  <si>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</si>
  <si>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</si>
  <si>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</si>
  <si>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</si>
  <si>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</si>
  <si>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</si>
  <si>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</si>
  <si>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</si>
  <si>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</si>
  <si>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</si>
  <si>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</si>
  <si>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</si>
  <si>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</si>
  <si>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</si>
  <si>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</si>
  <si>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</si>
  <si>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</si>
  <si>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</si>
  <si>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</si>
  <si>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</si>
  <si>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</si>
  <si>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</si>
  <si>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</si>
  <si>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</si>
  <si>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</si>
  <si>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</si>
  <si>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</si>
  <si>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</si>
  <si>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</si>
  <si>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</si>
  <si>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</si>
  <si>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</si>
  <si>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</si>
  <si>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</si>
  <si>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</si>
  <si>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</si>
  <si>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</si>
  <si>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</si>
  <si>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</si>
  <si>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</si>
  <si>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</si>
  <si>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</si>
  <si>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</si>
  <si>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</si>
  <si>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</si>
  <si>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</si>
  <si>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</si>
  <si>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</si>
  <si>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</si>
  <si>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</si>
  <si>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</si>
  <si>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</si>
  <si>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</si>
  <si>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</si>
  <si>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</si>
  <si>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</si>
  <si>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</si>
  <si>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</si>
  <si>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</si>
  <si>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</si>
  <si>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</si>
  <si>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</si>
  <si>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</si>
  <si>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</si>
  <si>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</si>
  <si>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</si>
  <si>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</si>
  <si>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</si>
  <si>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</si>
  <si>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</si>
  <si>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</si>
  <si>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</si>
  <si>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</si>
  <si>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</si>
  <si>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</si>
  <si>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</si>
  <si>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</si>
  <si>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</si>
  <si>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</si>
  <si>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</si>
  <si>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</si>
  <si>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</si>
  <si>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</si>
  <si>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</si>
  <si>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</si>
  <si>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</si>
  <si>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</si>
  <si>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</si>
  <si>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</si>
  <si>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</si>
  <si>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</si>
  <si>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</si>
  <si>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</si>
  <si>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</si>
  <si>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</si>
  <si>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</si>
  <si>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</si>
  <si>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</si>
  <si>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</si>
  <si>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</si>
  <si>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</si>
  <si>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</si>
  <si>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</si>
  <si>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</si>
  <si>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</si>
  <si>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</si>
  <si>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</si>
  <si>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</si>
  <si>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</si>
  <si>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</si>
  <si>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</si>
  <si>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</si>
  <si>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</si>
  <si>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</si>
  <si>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</si>
  <si>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</si>
  <si>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</si>
  <si>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</si>
  <si>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</si>
  <si>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</si>
  <si>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</si>
  <si>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</si>
  <si>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</si>
  <si>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</si>
  <si>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</si>
  <si>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</si>
  <si>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</si>
  <si>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</si>
  <si>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</si>
  <si>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</si>
  <si>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</si>
  <si>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</si>
  <si>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</si>
  <si>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</si>
  <si>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</si>
  <si>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</si>
  <si>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</si>
  <si>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</si>
  <si>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</si>
  <si>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</si>
  <si>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</si>
  <si>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</si>
  <si>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</si>
  <si>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</si>
  <si>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</si>
  <si>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</si>
  <si>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</si>
  <si>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</si>
  <si>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</si>
  <si>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</si>
  <si>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</si>
  <si>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</si>
  <si>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</si>
  <si>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</si>
  <si>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</si>
  <si>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</si>
  <si>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</si>
  <si>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</si>
  <si>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</si>
  <si>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</si>
  <si>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</si>
  <si>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</si>
  <si>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</si>
  <si>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</si>
  <si>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</si>
  <si>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</si>
  <si>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</si>
  <si>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</si>
  <si>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</si>
  <si>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</si>
  <si>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</si>
  <si>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</si>
  <si>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</si>
  <si>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</si>
  <si>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</si>
  <si>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</si>
  <si>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</si>
  <si>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</si>
  <si>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</si>
  <si>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</si>
  <si>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</si>
  <si>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</si>
  <si>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</si>
  <si>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</si>
  <si>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</si>
  <si>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</si>
  <si>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</si>
  <si>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</si>
  <si>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</si>
  <si>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</si>
  <si>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</si>
  <si>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</si>
  <si>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</si>
  <si>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</si>
  <si>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</si>
  <si>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</si>
  <si>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</si>
  <si>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</si>
  <si>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</si>
  <si>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</si>
  <si>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</si>
  <si>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</si>
  <si>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</si>
  <si>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</si>
  <si>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</si>
  <si>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</si>
  <si>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</si>
  <si>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</si>
  <si>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</si>
  <si>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</si>
  <si>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</si>
  <si>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</si>
  <si>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</si>
  <si>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</si>
  <si>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</si>
  <si>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</si>
  <si>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</si>
  <si>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</si>
  <si>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</si>
  <si>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</si>
  <si>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</si>
  <si>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</si>
  <si>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</si>
  <si>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E2SHB 1272 Requirements:</t>
  </si>
  <si>
    <t>This template has been updated to reflect E2SHB 1272 reporting requirements.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</si>
  <si>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</si>
  <si>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</si>
  <si>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#VALUE!</t>
  </si>
  <si>
    <t>12/31/2023</t>
  </si>
  <si>
    <t>John Vinyard</t>
  </si>
  <si>
    <t>john.vinyard@multicare.org</t>
  </si>
  <si>
    <t>PY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</si>
  <si>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</si>
  <si>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</si>
  <si>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</si>
  <si>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</si>
  <si>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</si>
  <si>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</si>
  <si>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</si>
  <si>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</si>
  <si>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</si>
  <si>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</si>
  <si>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</si>
  <si>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</si>
  <si>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</si>
  <si>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</si>
  <si>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</si>
  <si>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</si>
  <si>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</si>
  <si>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</si>
  <si>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</si>
  <si>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</si>
  <si>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</si>
  <si>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</si>
  <si>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</si>
  <si>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</si>
  <si>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</si>
  <si>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</si>
  <si>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</si>
  <si>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</si>
  <si>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</si>
  <si>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</si>
  <si>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</si>
  <si>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</si>
  <si>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</si>
  <si>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</si>
  <si>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</si>
  <si>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</si>
  <si>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</si>
  <si>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</si>
  <si>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</si>
  <si>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</si>
  <si>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</si>
  <si>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</si>
  <si>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</si>
  <si>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</si>
  <si>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</si>
  <si>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</si>
  <si>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</si>
  <si>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</si>
  <si>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</si>
  <si>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</si>
  <si>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</si>
  <si>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</si>
  <si>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</si>
  <si>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</si>
  <si>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</si>
  <si>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</si>
  <si>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</si>
  <si>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</si>
  <si>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</si>
  <si>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</si>
  <si>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</si>
  <si>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</si>
  <si>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</si>
  <si>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</si>
  <si>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</si>
  <si>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</si>
  <si>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</si>
  <si>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</si>
  <si>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</si>
  <si>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</si>
  <si>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</si>
  <si>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</si>
  <si>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</si>
  <si>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</si>
  <si>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</si>
  <si>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</si>
  <si>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</si>
  <si>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</si>
  <si>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</si>
  <si>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</si>
  <si>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</si>
  <si>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</si>
  <si>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</si>
  <si>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</si>
  <si>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</si>
  <si>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</si>
  <si>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</si>
  <si>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</si>
  <si>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</si>
  <si>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</si>
  <si>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</si>
  <si>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</si>
  <si>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</si>
  <si>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</si>
  <si>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</si>
  <si>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</si>
  <si>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</si>
  <si>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</si>
  <si>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</si>
  <si>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</si>
  <si>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</si>
  <si>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</si>
  <si>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</si>
  <si>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</si>
  <si>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</si>
  <si>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</si>
  <si>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</si>
  <si>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</si>
  <si>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</si>
  <si>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</si>
  <si>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</si>
  <si>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</si>
  <si>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</si>
  <si>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</si>
  <si>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</si>
  <si>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</si>
  <si>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</si>
  <si>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</si>
  <si>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</si>
  <si>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</si>
  <si>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</si>
  <si>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</si>
  <si>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</si>
  <si>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</si>
  <si>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</si>
  <si>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</si>
  <si>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</si>
  <si>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</si>
  <si>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</si>
  <si>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</si>
  <si>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</si>
  <si>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</si>
  <si>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</si>
  <si>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</si>
  <si>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</si>
  <si>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</si>
  <si>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</si>
  <si>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</si>
  <si>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</si>
  <si>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</si>
  <si>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</si>
  <si>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</si>
  <si>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</si>
  <si>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</si>
  <si>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</si>
  <si>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</si>
  <si>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</si>
  <si>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</si>
  <si>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</si>
  <si>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</si>
  <si>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</si>
  <si>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</si>
  <si>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</si>
  <si>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</si>
  <si>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</si>
  <si>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</si>
  <si>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</si>
  <si>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</si>
  <si>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</si>
  <si>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</si>
  <si>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</si>
  <si>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</si>
  <si>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</si>
  <si>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</si>
  <si>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</si>
  <si>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</si>
  <si>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</si>
  <si>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</si>
  <si>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</si>
  <si>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</si>
  <si>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</si>
  <si>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</si>
  <si>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</si>
  <si>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</si>
  <si>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</si>
  <si>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</si>
  <si>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</si>
  <si>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</si>
  <si>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</si>
  <si>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</si>
  <si>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</si>
  <si>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</si>
  <si>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</si>
  <si>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</si>
  <si>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</si>
  <si>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</si>
  <si>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</si>
  <si>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</si>
  <si>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</si>
  <si>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</si>
  <si>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</si>
  <si>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</si>
  <si>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</si>
  <si>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</si>
  <si>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</si>
  <si>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</si>
  <si>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</si>
  <si>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</si>
  <si>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</si>
  <si>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</si>
  <si>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</si>
  <si>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</si>
  <si>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</si>
  <si>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</si>
  <si>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</si>
  <si>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</si>
  <si>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</si>
  <si>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</si>
  <si>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</si>
  <si>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</si>
  <si>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</si>
  <si>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</si>
  <si>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</si>
  <si>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</si>
  <si>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</si>
  <si>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</si>
  <si>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</si>
  <si>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</si>
  <si>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</si>
  <si>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</si>
  <si>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</si>
  <si>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</si>
  <si>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</si>
  <si>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</si>
  <si>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</si>
  <si>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</si>
  <si>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</si>
  <si>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</si>
  <si>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</si>
  <si>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</si>
  <si>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</si>
  <si>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</si>
  <si>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</si>
  <si>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</si>
  <si>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</si>
  <si>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</si>
  <si>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</si>
  <si>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</si>
  <si>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</si>
  <si>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</si>
  <si>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</si>
  <si>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</si>
  <si>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</si>
  <si>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</si>
  <si>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</si>
  <si>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</si>
  <si>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</si>
  <si>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</si>
  <si>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</si>
  <si>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</si>
  <si>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</si>
  <si>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</si>
  <si>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</si>
  <si>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</si>
  <si>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</si>
  <si>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</si>
  <si>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</si>
  <si>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</si>
  <si>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</si>
  <si>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</si>
  <si>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</si>
  <si>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</si>
  <si>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</si>
  <si>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</si>
  <si>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</si>
  <si>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</si>
  <si>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</si>
  <si>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</si>
  <si>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</si>
  <si>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</si>
  <si>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</si>
  <si>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</si>
  <si>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</si>
  <si>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</si>
  <si>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</si>
  <si>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</si>
  <si>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</si>
  <si>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</si>
  <si>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</si>
  <si>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</si>
  <si>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</si>
  <si>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</si>
  <si>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</si>
  <si>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</si>
  <si>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</si>
  <si>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</si>
  <si>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</si>
  <si>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</si>
  <si>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</si>
  <si>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</si>
  <si>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</si>
  <si>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</si>
  <si>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</si>
  <si>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</si>
  <si>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</si>
  <si>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</si>
  <si>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</si>
  <si>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</si>
  <si>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</si>
  <si>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</si>
  <si>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</si>
  <si>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</si>
  <si>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</si>
  <si>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</si>
  <si>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</si>
  <si>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</si>
  <si>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Standardization of cost center mapping to DOH depts</t>
  </si>
  <si>
    <t>Misc non-patient revenues</t>
  </si>
  <si>
    <t>Safety Net Assessment Program cost</t>
  </si>
  <si>
    <t>Matt Scherer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</si>
</sst>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  <numFmt numFmtId="170" formatCode="_(* #,##0.0000_);_(* \(#,##0.0000\);_(* &quot;-&quot;??_);_(@_)"/>
    <numFmt numFmtId="171" formatCode="_(* #,##0_);_(* \(#,##0\);_(* &quot;-&quot;??_);_(@_)"/>
  </numFmts>
  <fonts count="56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9"/>
      <name val="Calibri"/>
      <family val="2"/>
    </font>
    <font>
      <b/>
      <sz val="11"/>
      <color rgb="FFD2000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00FF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  <fill>
      <patternFill patternType="solid">
        <fgColor rgb="FFFF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977">
    <xf numFmtId="37" fontId="0" fillId="0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38" fillId="23" borderId="0"/>
    <xf numFmtId="0" fontId="5" fillId="23" borderId="0"/>
    <xf numFmtId="0" fontId="5" fillId="23" borderId="0"/>
    <xf numFmtId="0" fontId="5" fillId="24" borderId="0"/>
    <xf numFmtId="0" fontId="5" fillId="24" borderId="0"/>
    <xf numFmtId="0" fontId="5" fillId="24" borderId="0"/>
    <xf numFmtId="0" fontId="5" fillId="24" borderId="0"/>
    <xf numFmtId="0" fontId="38" fillId="24" borderId="0"/>
    <xf numFmtId="0" fontId="5" fillId="24" borderId="0"/>
    <xf numFmtId="0" fontId="5" fillId="24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38" fillId="25" borderId="0"/>
    <xf numFmtId="0" fontId="5" fillId="25" borderId="0"/>
    <xf numFmtId="0" fontId="5" fillId="25" borderId="0"/>
    <xf numFmtId="0" fontId="5" fillId="26" borderId="0"/>
    <xf numFmtId="0" fontId="5" fillId="26" borderId="0"/>
    <xf numFmtId="0" fontId="5" fillId="26" borderId="0"/>
    <xf numFmtId="0" fontId="5" fillId="26" borderId="0"/>
    <xf numFmtId="0" fontId="38" fillId="26" borderId="0"/>
    <xf numFmtId="0" fontId="5" fillId="26" borderId="0"/>
    <xf numFmtId="0" fontId="5" fillId="26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38" fillId="27" borderId="0"/>
    <xf numFmtId="0" fontId="5" fillId="27" borderId="0"/>
    <xf numFmtId="0" fontId="5" fillId="27" borderId="0"/>
    <xf numFmtId="0" fontId="5" fillId="28" borderId="0"/>
    <xf numFmtId="0" fontId="5" fillId="28" borderId="0"/>
    <xf numFmtId="0" fontId="5" fillId="28" borderId="0"/>
    <xf numFmtId="0" fontId="5" fillId="28" borderId="0"/>
    <xf numFmtId="0" fontId="38" fillId="28" borderId="0"/>
    <xf numFmtId="0" fontId="5" fillId="28" borderId="0"/>
    <xf numFmtId="0" fontId="5" fillId="28" borderId="0"/>
    <xf numFmtId="43" fontId="10" fillId="0" borderId="0"/>
    <xf numFmtId="41" fontId="10" fillId="0" borderId="0"/>
    <xf numFmtId="41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43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39" fillId="0" borderId="0"/>
    <xf numFmtId="43" fontId="5" fillId="0" borderId="0"/>
    <xf numFmtId="43" fontId="39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2" fontId="10" fillId="0" borderId="0"/>
    <xf numFmtId="42" fontId="10" fillId="0" borderId="0"/>
    <xf numFmtId="44" fontId="10" fillId="0" borderId="0"/>
    <xf numFmtId="44" fontId="10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0" fontId="11" fillId="0" borderId="0">
      <alignment vertical="top"/>
      <protection locked="0"/>
    </xf>
    <xf numFmtId="0" fontId="35" fillId="0" borderId="0"/>
    <xf numFmtId="0" fontId="35" fillId="0" borderId="0"/>
    <xf numFmtId="0" fontId="11" fillId="0" borderId="0">
      <alignment vertical="top"/>
      <protection locked="0"/>
    </xf>
    <xf numFmtId="0" fontId="37" fillId="29" borderId="0"/>
    <xf numFmtId="0" fontId="41" fillId="29" borderId="0"/>
    <xf numFmtId="0" fontId="37" fillId="29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43" fillId="0" borderId="0"/>
    <xf numFmtId="0" fontId="13" fillId="0" borderId="0"/>
    <xf numFmtId="0" fontId="5" fillId="0" borderId="0"/>
    <xf numFmtId="0" fontId="10" fillId="0" borderId="0"/>
    <xf numFmtId="0" fontId="39" fillId="0" borderId="0"/>
    <xf numFmtId="0" fontId="10" fillId="0" borderId="0"/>
    <xf numFmtId="0" fontId="39" fillId="0" borderId="0"/>
    <xf numFmtId="0" fontId="10" fillId="0" borderId="0"/>
    <xf numFmtId="169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3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5" fillId="0" borderId="0"/>
    <xf numFmtId="0" fontId="39" fillId="0" borderId="0"/>
    <xf numFmtId="0" fontId="5" fillId="0" borderId="0"/>
    <xf numFmtId="0" fontId="6" fillId="0" borderId="0"/>
    <xf numFmtId="0" fontId="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9" fontId="5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0" fontId="36" fillId="0" borderId="0"/>
    <xf numFmtId="0" fontId="42" fillId="0" borderId="0"/>
    <xf numFmtId="0" fontId="36" fillId="0" borderId="0"/>
  </cellStyleXfs>
  <cellXfs count="344">
    <xf numFmtId="37" fontId="0" fillId="0" borderId="0" xfId="0"/>
    <xf numFmtId="37" fontId="12" fillId="0" borderId="0" xfId="0" applyFont="1"/>
    <xf numFmtId="37" fontId="12" fillId="0" borderId="0" xfId="0" applyFont="1" applyAlignment="1">
      <alignment horizontal="left"/>
    </xf>
    <xf numFmtId="1" fontId="12" fillId="0" borderId="0" xfId="0" applyNumberFormat="1" applyFont="1" applyAlignment="1">
      <alignment horizontal="center"/>
    </xf>
    <xf numFmtId="37" fontId="12" fillId="0" borderId="0" xfId="0" applyFont="1" applyAlignment="1">
      <alignment horizontal="center"/>
    </xf>
    <xf numFmtId="37" fontId="12" fillId="0" borderId="0" xfId="0" quotePrefix="1" applyFont="1" applyAlignment="1">
      <alignment horizontal="center"/>
    </xf>
    <xf numFmtId="10" fontId="12" fillId="0" borderId="0" xfId="0" applyNumberFormat="1" applyFont="1"/>
    <xf numFmtId="49" fontId="12" fillId="0" borderId="0" xfId="0" quotePrefix="1" applyNumberFormat="1" applyFont="1"/>
    <xf numFmtId="37" fontId="14" fillId="0" borderId="0" xfId="0" applyFont="1" applyAlignment="1" applyProtection="1">
      <alignment horizontal="center"/>
      <protection locked="0"/>
    </xf>
    <xf numFmtId="37" fontId="15" fillId="0" borderId="0" xfId="0" applyFont="1"/>
    <xf numFmtId="37" fontId="16" fillId="0" borderId="0" xfId="0" applyFont="1" applyAlignment="1">
      <alignment horizontal="center"/>
    </xf>
    <xf numFmtId="37" fontId="16" fillId="0" borderId="0" xfId="0" applyFont="1"/>
    <xf numFmtId="37" fontId="16" fillId="0" borderId="0" xfId="0" applyFont="1" applyAlignment="1">
      <alignment horizontal="left"/>
    </xf>
    <xf numFmtId="38" fontId="16" fillId="0" borderId="0" xfId="0" applyNumberFormat="1" applyFont="1"/>
    <xf numFmtId="37" fontId="16" fillId="0" borderId="0" xfId="0" quotePrefix="1" applyFont="1" applyAlignment="1">
      <alignment horizontal="left"/>
    </xf>
    <xf numFmtId="37" fontId="17" fillId="0" borderId="0" xfId="631" applyNumberFormat="1" applyFont="1" applyAlignment="1" applyProtection="1"/>
    <xf numFmtId="37" fontId="16" fillId="3" borderId="0" xfId="0" applyFont="1" applyFill="1"/>
    <xf numFmtId="38" fontId="16" fillId="3" borderId="0" xfId="0" applyNumberFormat="1" applyFont="1" applyFill="1" applyAlignment="1">
      <alignment horizontal="center"/>
    </xf>
    <xf numFmtId="37" fontId="16" fillId="3" borderId="0" xfId="0" applyFont="1" applyFill="1" applyAlignment="1">
      <alignment horizontal="center"/>
    </xf>
    <xf numFmtId="37" fontId="16" fillId="3" borderId="0" xfId="0" quotePrefix="1" applyFont="1" applyFill="1" applyAlignment="1">
      <alignment horizontal="center"/>
    </xf>
    <xf numFmtId="37" fontId="16" fillId="3" borderId="0" xfId="0" quotePrefix="1" applyFont="1" applyFill="1"/>
    <xf numFmtId="37" fontId="16" fillId="3" borderId="0" xfId="0" quotePrefix="1" applyFont="1" applyFill="1" applyAlignment="1">
      <alignment horizontal="left"/>
    </xf>
    <xf numFmtId="38" fontId="16" fillId="3" borderId="0" xfId="0" applyNumberFormat="1" applyFont="1" applyFill="1"/>
    <xf numFmtId="165" fontId="16" fillId="3" borderId="0" xfId="0" applyNumberFormat="1" applyFont="1" applyFill="1" applyAlignment="1">
      <alignment horizontal="center"/>
    </xf>
    <xf numFmtId="37" fontId="16" fillId="3" borderId="0" xfId="0" quotePrefix="1" applyFont="1" applyFill="1" applyAlignment="1">
      <alignment horizontal="fill"/>
    </xf>
    <xf numFmtId="37" fontId="16" fillId="7" borderId="0" xfId="0" applyFont="1" applyFill="1"/>
    <xf numFmtId="37" fontId="16" fillId="7" borderId="0" xfId="0" quotePrefix="1" applyFont="1" applyFill="1" applyAlignment="1">
      <alignment horizontal="left" indent="1"/>
    </xf>
    <xf numFmtId="43" fontId="16" fillId="3" borderId="0" xfId="547" applyFont="1" applyFill="1"/>
    <xf numFmtId="37" fontId="16" fillId="3" borderId="0" xfId="547" quotePrefix="1" applyNumberFormat="1" applyFont="1" applyFill="1" applyAlignment="1">
      <alignment horizontal="fill"/>
    </xf>
    <xf numFmtId="39" fontId="16" fillId="3" borderId="0" xfId="0" applyNumberFormat="1" applyFont="1" applyFill="1"/>
    <xf numFmtId="37" fontId="16" fillId="3" borderId="0" xfId="0" applyFont="1" applyFill="1" applyAlignment="1">
      <alignment horizontal="centerContinuous"/>
    </xf>
    <xf numFmtId="37" fontId="16" fillId="7" borderId="0" xfId="0" quotePrefix="1" applyFont="1" applyFill="1" applyAlignment="1">
      <alignment horizontal="left"/>
    </xf>
    <xf numFmtId="37" fontId="16" fillId="7" borderId="0" xfId="0" applyFont="1" applyFill="1" applyAlignment="1">
      <alignment horizontal="right"/>
    </xf>
    <xf numFmtId="37" fontId="16" fillId="7" borderId="0" xfId="0" applyFont="1" applyFill="1" applyAlignment="1">
      <alignment horizontal="left"/>
    </xf>
    <xf numFmtId="37" fontId="18" fillId="3" borderId="0" xfId="0" applyFont="1" applyFill="1" applyAlignment="1">
      <alignment horizontal="centerContinuous"/>
    </xf>
    <xf numFmtId="37" fontId="16" fillId="3" borderId="0" xfId="0" applyFont="1" applyFill="1" applyAlignment="1">
      <alignment horizontal="right"/>
    </xf>
    <xf numFmtId="38" fontId="16" fillId="3" borderId="0" xfId="0" applyNumberFormat="1" applyFont="1" applyFill="1" applyAlignment="1">
      <alignment horizontal="right"/>
    </xf>
    <xf numFmtId="37" fontId="16" fillId="3" borderId="0" xfId="0" quotePrefix="1" applyFont="1" applyFill="1" applyAlignment="1">
      <alignment horizontal="centerContinuous"/>
    </xf>
    <xf numFmtId="37" fontId="18" fillId="3" borderId="0" xfId="0" quotePrefix="1" applyFont="1" applyFill="1" applyAlignment="1">
      <alignment horizontal="left"/>
    </xf>
    <xf numFmtId="37" fontId="18" fillId="3" borderId="0" xfId="0" applyFont="1" applyFill="1" applyAlignment="1">
      <alignment horizontal="center"/>
    </xf>
    <xf numFmtId="38" fontId="18" fillId="3" borderId="0" xfId="0" applyNumberFormat="1" applyFont="1" applyFill="1" applyAlignment="1">
      <alignment horizontal="center"/>
    </xf>
    <xf numFmtId="38" fontId="18" fillId="3" borderId="0" xfId="0" applyNumberFormat="1" applyFont="1" applyFill="1"/>
    <xf numFmtId="37" fontId="18" fillId="3" borderId="0" xfId="0" applyFont="1" applyFill="1"/>
    <xf numFmtId="37" fontId="16" fillId="3" borderId="0" xfId="0" applyFont="1" applyFill="1" applyAlignment="1">
      <alignment horizontal="left"/>
    </xf>
    <xf numFmtId="38" fontId="18" fillId="3" borderId="8" xfId="0" applyNumberFormat="1" applyFont="1" applyFill="1" applyBorder="1" applyAlignment="1" applyProtection="1">
      <alignment horizontal="center"/>
      <protection locked="0"/>
    </xf>
    <xf numFmtId="37" fontId="18" fillId="7" borderId="0" xfId="0" applyFont="1" applyFill="1" applyAlignment="1">
      <alignment horizontal="centerContinuous"/>
    </xf>
    <xf numFmtId="37" fontId="16" fillId="7" borderId="0" xfId="0" applyFont="1" applyFill="1" applyAlignment="1">
      <alignment horizontal="left" indent="1"/>
    </xf>
    <xf numFmtId="10" fontId="16" fillId="0" borderId="0" xfId="939" applyNumberFormat="1" applyFont="1"/>
    <xf numFmtId="37" fontId="16" fillId="7" borderId="0" xfId="0" applyFont="1" applyFill="1" applyAlignment="1">
      <alignment horizontal="left" indent="2"/>
    </xf>
    <xf numFmtId="37" fontId="16" fillId="7" borderId="0" xfId="0" quotePrefix="1" applyFont="1" applyFill="1" applyAlignment="1">
      <alignment horizontal="left" indent="2"/>
    </xf>
    <xf numFmtId="39" fontId="16" fillId="0" borderId="0" xfId="0" applyNumberFormat="1" applyFont="1"/>
    <xf numFmtId="10" fontId="16" fillId="0" borderId="0" xfId="0" applyNumberFormat="1" applyFont="1"/>
    <xf numFmtId="1" fontId="16" fillId="0" borderId="0" xfId="0" applyNumberFormat="1" applyFont="1" applyAlignment="1">
      <alignment horizontal="center"/>
    </xf>
    <xf numFmtId="37" fontId="16" fillId="0" borderId="0" xfId="0" applyFont="1" applyAlignment="1">
      <alignment horizontal="right"/>
    </xf>
    <xf numFmtId="37" fontId="19" fillId="0" borderId="0" xfId="0" applyFont="1"/>
    <xf numFmtId="37" fontId="14" fillId="0" borderId="0" xfId="0" applyFont="1" applyAlignment="1">
      <alignment horizontal="center"/>
    </xf>
    <xf numFmtId="37" fontId="16" fillId="0" borderId="0" xfId="0" quotePrefix="1" applyFont="1"/>
    <xf numFmtId="37" fontId="20" fillId="0" borderId="0" xfId="0" applyFont="1" applyAlignment="1">
      <alignment vertical="center" readingOrder="1"/>
    </xf>
    <xf numFmtId="37" fontId="22" fillId="0" borderId="0" xfId="0" applyFont="1" applyAlignment="1">
      <alignment vertical="center" readingOrder="1"/>
    </xf>
    <xf numFmtId="37" fontId="23" fillId="0" borderId="0" xfId="0" quotePrefix="1" applyFont="1"/>
    <xf numFmtId="37" fontId="23" fillId="0" borderId="0" xfId="0" applyFont="1"/>
    <xf numFmtId="37" fontId="12" fillId="0" borderId="0" xfId="0" quotePrefix="1" applyFont="1" applyAlignment="1">
      <alignment horizontal="right"/>
    </xf>
    <xf numFmtId="37" fontId="12" fillId="0" borderId="0" xfId="0" applyFont="1" applyAlignment="1">
      <alignment horizontal="centerContinuous"/>
    </xf>
    <xf numFmtId="37" fontId="24" fillId="0" borderId="1" xfId="0" applyFont="1" applyBorder="1"/>
    <xf numFmtId="37" fontId="24" fillId="0" borderId="8" xfId="0" applyFont="1" applyBorder="1"/>
    <xf numFmtId="37" fontId="12" fillId="0" borderId="6" xfId="0" applyFont="1" applyBorder="1"/>
    <xf numFmtId="37" fontId="12" fillId="0" borderId="8" xfId="0" applyFont="1" applyBorder="1"/>
    <xf numFmtId="37" fontId="24" fillId="0" borderId="2" xfId="0" applyFont="1" applyBorder="1"/>
    <xf numFmtId="37" fontId="24" fillId="0" borderId="13" xfId="0" applyFont="1" applyBorder="1"/>
    <xf numFmtId="37" fontId="24" fillId="0" borderId="0" xfId="0" applyFont="1"/>
    <xf numFmtId="37" fontId="24" fillId="0" borderId="4" xfId="0" applyFont="1" applyBorder="1"/>
    <xf numFmtId="37" fontId="12" fillId="0" borderId="13" xfId="0" applyFont="1" applyBorder="1"/>
    <xf numFmtId="37" fontId="12" fillId="0" borderId="10" xfId="0" applyFont="1" applyBorder="1"/>
    <xf numFmtId="37" fontId="24" fillId="0" borderId="14" xfId="0" applyFont="1" applyBorder="1" applyAlignment="1">
      <alignment horizontal="centerContinuous"/>
    </xf>
    <xf numFmtId="37" fontId="24" fillId="0" borderId="2" xfId="0" applyFont="1" applyBorder="1" applyAlignment="1">
      <alignment horizontal="centerContinuous"/>
    </xf>
    <xf numFmtId="37" fontId="24" fillId="0" borderId="8" xfId="0" applyFont="1" applyBorder="1" applyAlignment="1">
      <alignment horizontal="centerContinuous"/>
    </xf>
    <xf numFmtId="37" fontId="12" fillId="0" borderId="8" xfId="0" applyFont="1" applyBorder="1" applyAlignment="1">
      <alignment horizontal="centerContinuous"/>
    </xf>
    <xf numFmtId="37" fontId="12" fillId="0" borderId="2" xfId="0" applyFont="1" applyBorder="1" applyAlignment="1">
      <alignment horizontal="centerContinuous"/>
    </xf>
    <xf numFmtId="37" fontId="24" fillId="0" borderId="1" xfId="0" applyFont="1" applyBorder="1" applyAlignment="1">
      <alignment horizontal="center"/>
    </xf>
    <xf numFmtId="37" fontId="24" fillId="0" borderId="2" xfId="0" applyFont="1" applyBorder="1" applyAlignment="1">
      <alignment horizontal="center"/>
    </xf>
    <xf numFmtId="37" fontId="24" fillId="0" borderId="2" xfId="0" quotePrefix="1" applyFont="1" applyBorder="1" applyAlignment="1">
      <alignment horizontal="left"/>
    </xf>
    <xf numFmtId="37" fontId="24" fillId="0" borderId="12" xfId="0" applyFont="1" applyBorder="1"/>
    <xf numFmtId="37" fontId="12" fillId="0" borderId="4" xfId="0" applyFont="1" applyBorder="1"/>
    <xf numFmtId="37" fontId="24" fillId="0" borderId="8" xfId="0" quotePrefix="1" applyFont="1" applyBorder="1" applyAlignment="1">
      <alignment horizontal="left"/>
    </xf>
    <xf numFmtId="37" fontId="12" fillId="0" borderId="2" xfId="0" applyFont="1" applyBorder="1"/>
    <xf numFmtId="37" fontId="12" fillId="0" borderId="3" xfId="0" applyFont="1" applyBorder="1"/>
    <xf numFmtId="37" fontId="24" fillId="0" borderId="0" xfId="0" applyFont="1" applyAlignment="1">
      <alignment horizontal="left"/>
    </xf>
    <xf numFmtId="37" fontId="12" fillId="2" borderId="0" xfId="0" applyFont="1" applyFill="1"/>
    <xf numFmtId="37" fontId="12" fillId="2" borderId="4" xfId="0" applyFont="1" applyFill="1" applyBorder="1"/>
    <xf numFmtId="37" fontId="12" fillId="0" borderId="9" xfId="0" applyFont="1" applyBorder="1"/>
    <xf numFmtId="37" fontId="24" fillId="0" borderId="12" xfId="0" applyFont="1" applyBorder="1" applyAlignment="1">
      <alignment horizontal="left"/>
    </xf>
    <xf numFmtId="37" fontId="24" fillId="0" borderId="10" xfId="0" applyFont="1" applyBorder="1" applyAlignment="1">
      <alignment horizontal="right"/>
    </xf>
    <xf numFmtId="37" fontId="12" fillId="2" borderId="12" xfId="0" applyFont="1" applyFill="1" applyBorder="1"/>
    <xf numFmtId="37" fontId="12" fillId="2" borderId="10" xfId="0" applyFont="1" applyFill="1" applyBorder="1"/>
    <xf numFmtId="37" fontId="16" fillId="0" borderId="0" xfId="0" quotePrefix="1" applyFont="1" applyAlignment="1">
      <alignment horizontal="right"/>
    </xf>
    <xf numFmtId="37" fontId="16" fillId="0" borderId="16" xfId="0" applyFont="1" applyBorder="1"/>
    <xf numFmtId="37" fontId="16" fillId="0" borderId="17" xfId="0" applyFont="1" applyBorder="1"/>
    <xf numFmtId="37" fontId="16" fillId="0" borderId="18" xfId="0" applyFont="1" applyBorder="1"/>
    <xf numFmtId="37" fontId="16" fillId="0" borderId="19" xfId="0" applyFont="1" applyBorder="1"/>
    <xf numFmtId="37" fontId="16" fillId="0" borderId="20" xfId="0" applyFont="1" applyBorder="1"/>
    <xf numFmtId="37" fontId="16" fillId="0" borderId="21" xfId="0" applyFont="1" applyBorder="1"/>
    <xf numFmtId="37" fontId="16" fillId="0" borderId="22" xfId="0" applyFont="1" applyBorder="1"/>
    <xf numFmtId="37" fontId="16" fillId="0" borderId="23" xfId="0" applyFont="1" applyBorder="1"/>
    <xf numFmtId="37" fontId="16" fillId="0" borderId="17" xfId="0" applyFont="1" applyBorder="1" applyAlignment="1">
      <alignment horizontal="center"/>
    </xf>
    <xf numFmtId="37" fontId="16" fillId="0" borderId="17" xfId="0" applyFont="1" applyBorder="1" applyAlignment="1">
      <alignment horizontal="right"/>
    </xf>
    <xf numFmtId="37" fontId="16" fillId="0" borderId="24" xfId="0" applyFont="1" applyBorder="1"/>
    <xf numFmtId="37" fontId="16" fillId="0" borderId="8" xfId="0" applyFont="1" applyBorder="1"/>
    <xf numFmtId="37" fontId="16" fillId="0" borderId="8" xfId="0" applyFont="1" applyBorder="1" applyAlignment="1">
      <alignment horizontal="center"/>
    </xf>
    <xf numFmtId="37" fontId="16" fillId="0" borderId="25" xfId="0" applyFont="1" applyBorder="1"/>
    <xf numFmtId="37" fontId="16" fillId="0" borderId="26" xfId="0" applyFont="1" applyBorder="1"/>
    <xf numFmtId="37" fontId="16" fillId="0" borderId="6" xfId="0" applyFont="1" applyBorder="1"/>
    <xf numFmtId="37" fontId="16" fillId="0" borderId="27" xfId="0" applyFont="1" applyBorder="1"/>
    <xf numFmtId="37" fontId="16" fillId="0" borderId="28" xfId="0" quotePrefix="1" applyFont="1" applyBorder="1" applyAlignment="1">
      <alignment horizontal="left"/>
    </xf>
    <xf numFmtId="37" fontId="16" fillId="0" borderId="12" xfId="0" applyFont="1" applyBorder="1"/>
    <xf numFmtId="37" fontId="16" fillId="0" borderId="29" xfId="0" applyFont="1" applyBorder="1"/>
    <xf numFmtId="37" fontId="16" fillId="0" borderId="28" xfId="0" applyFont="1" applyBorder="1" applyAlignment="1">
      <alignment horizontal="center"/>
    </xf>
    <xf numFmtId="37" fontId="16" fillId="0" borderId="30" xfId="0" applyFont="1" applyBorder="1"/>
    <xf numFmtId="37" fontId="16" fillId="0" borderId="31" xfId="0" applyFont="1" applyBorder="1"/>
    <xf numFmtId="37" fontId="16" fillId="0" borderId="31" xfId="0" applyFont="1" applyBorder="1" applyAlignment="1">
      <alignment horizontal="center"/>
    </xf>
    <xf numFmtId="37" fontId="16" fillId="0" borderId="32" xfId="0" applyFont="1" applyBorder="1"/>
    <xf numFmtId="37" fontId="24" fillId="0" borderId="0" xfId="0" quotePrefix="1" applyFont="1" applyAlignment="1">
      <alignment horizontal="left"/>
    </xf>
    <xf numFmtId="37" fontId="24" fillId="0" borderId="5" xfId="0" applyFont="1" applyBorder="1" applyAlignment="1">
      <alignment horizontal="centerContinuous"/>
    </xf>
    <xf numFmtId="37" fontId="12" fillId="0" borderId="6" xfId="0" applyFont="1" applyBorder="1" applyAlignment="1">
      <alignment horizontal="centerContinuous"/>
    </xf>
    <xf numFmtId="37" fontId="12" fillId="0" borderId="7" xfId="0" applyFont="1" applyBorder="1" applyAlignment="1">
      <alignment horizontal="centerContinuous"/>
    </xf>
    <xf numFmtId="37" fontId="24" fillId="0" borderId="11" xfId="0" applyFont="1" applyBorder="1"/>
    <xf numFmtId="37" fontId="24" fillId="0" borderId="2" xfId="0" quotePrefix="1" applyFont="1" applyBorder="1" applyAlignment="1">
      <alignment horizontal="centerContinuous"/>
    </xf>
    <xf numFmtId="37" fontId="24" fillId="0" borderId="3" xfId="0" applyFont="1" applyBorder="1" applyAlignment="1">
      <alignment horizontal="center"/>
    </xf>
    <xf numFmtId="37" fontId="24" fillId="0" borderId="2" xfId="0" quotePrefix="1" applyFont="1" applyBorder="1"/>
    <xf numFmtId="37" fontId="24" fillId="0" borderId="13" xfId="0" applyFont="1" applyBorder="1" applyAlignment="1">
      <alignment horizontal="center"/>
    </xf>
    <xf numFmtId="37" fontId="24" fillId="0" borderId="0" xfId="0" quotePrefix="1" applyFont="1"/>
    <xf numFmtId="37" fontId="24" fillId="0" borderId="4" xfId="0" quotePrefix="1" applyFont="1" applyBorder="1"/>
    <xf numFmtId="37" fontId="24" fillId="0" borderId="13" xfId="0" applyFont="1" applyBorder="1" applyAlignment="1">
      <alignment horizontal="centerContinuous"/>
    </xf>
    <xf numFmtId="37" fontId="12" fillId="0" borderId="4" xfId="0" applyFont="1" applyBorder="1" applyAlignment="1">
      <alignment horizontal="centerContinuous"/>
    </xf>
    <xf numFmtId="37" fontId="24" fillId="0" borderId="7" xfId="0" applyFont="1" applyBorder="1" applyAlignment="1">
      <alignment horizontal="centerContinuous"/>
    </xf>
    <xf numFmtId="37" fontId="24" fillId="0" borderId="14" xfId="0" applyFont="1" applyBorder="1" applyAlignment="1">
      <alignment horizontal="left"/>
    </xf>
    <xf numFmtId="37" fontId="12" fillId="0" borderId="12" xfId="0" applyFont="1" applyBorder="1"/>
    <xf numFmtId="37" fontId="12" fillId="0" borderId="7" xfId="0" applyFont="1" applyBorder="1"/>
    <xf numFmtId="37" fontId="12" fillId="0" borderId="15" xfId="0" applyFont="1" applyBorder="1"/>
    <xf numFmtId="37" fontId="24" fillId="0" borderId="12" xfId="0" quotePrefix="1" applyFont="1" applyBorder="1" applyAlignment="1">
      <alignment horizontal="left"/>
    </xf>
    <xf numFmtId="37" fontId="12" fillId="0" borderId="12" xfId="0" quotePrefix="1" applyFont="1" applyBorder="1"/>
    <xf numFmtId="37" fontId="12" fillId="0" borderId="12" xfId="0" quotePrefix="1" applyFont="1" applyBorder="1" applyAlignment="1">
      <alignment horizontal="left"/>
    </xf>
    <xf numFmtId="37" fontId="24" fillId="0" borderId="0" xfId="0" applyFont="1" applyAlignment="1">
      <alignment horizontal="centerContinuous"/>
    </xf>
    <xf numFmtId="37" fontId="24" fillId="0" borderId="0" xfId="0" quotePrefix="1" applyFont="1" applyAlignment="1">
      <alignment horizontal="center"/>
    </xf>
    <xf numFmtId="37" fontId="24" fillId="0" borderId="9" xfId="0" quotePrefix="1" applyFont="1" applyBorder="1"/>
    <xf numFmtId="37" fontId="24" fillId="0" borderId="9" xfId="0" applyFont="1" applyBorder="1"/>
    <xf numFmtId="37" fontId="12" fillId="0" borderId="1" xfId="0" applyFont="1" applyBorder="1"/>
    <xf numFmtId="37" fontId="24" fillId="0" borderId="4" xfId="0" applyFont="1" applyBorder="1" applyAlignment="1">
      <alignment horizontal="centerContinuous"/>
    </xf>
    <xf numFmtId="37" fontId="24" fillId="0" borderId="6" xfId="0" applyFont="1" applyBorder="1" applyAlignment="1">
      <alignment horizontal="centerContinuous"/>
    </xf>
    <xf numFmtId="37" fontId="24" fillId="0" borderId="1" xfId="0" applyFont="1" applyBorder="1" applyAlignment="1">
      <alignment horizontal="centerContinuous"/>
    </xf>
    <xf numFmtId="37" fontId="12" fillId="0" borderId="0" xfId="0" quotePrefix="1" applyFont="1" applyAlignment="1">
      <alignment horizontal="left"/>
    </xf>
    <xf numFmtId="37" fontId="24" fillId="0" borderId="7" xfId="0" applyFont="1" applyBorder="1"/>
    <xf numFmtId="37" fontId="24" fillId="0" borderId="7" xfId="0" applyFont="1" applyBorder="1" applyAlignment="1">
      <alignment horizontal="center"/>
    </xf>
    <xf numFmtId="37" fontId="24" fillId="0" borderId="3" xfId="0" applyFont="1" applyBorder="1"/>
    <xf numFmtId="37" fontId="24" fillId="0" borderId="4" xfId="0" applyFont="1" applyBorder="1" applyAlignment="1">
      <alignment horizontal="center"/>
    </xf>
    <xf numFmtId="37" fontId="24" fillId="0" borderId="3" xfId="0" applyFont="1" applyBorder="1" applyAlignment="1">
      <alignment horizontal="centerContinuous"/>
    </xf>
    <xf numFmtId="37" fontId="24" fillId="2" borderId="2" xfId="0" applyFont="1" applyFill="1" applyBorder="1"/>
    <xf numFmtId="37" fontId="24" fillId="0" borderId="10" xfId="0" applyFont="1" applyBorder="1"/>
    <xf numFmtId="37" fontId="24" fillId="0" borderId="10" xfId="0" applyFont="1" applyBorder="1" applyAlignment="1">
      <alignment horizontal="center"/>
    </xf>
    <xf numFmtId="164" fontId="24" fillId="0" borderId="2" xfId="0" applyNumberFormat="1" applyFont="1" applyBorder="1"/>
    <xf numFmtId="37" fontId="24" fillId="0" borderId="0" xfId="0" applyFont="1" applyAlignment="1">
      <alignment horizontal="center"/>
    </xf>
    <xf numFmtId="164" fontId="24" fillId="0" borderId="2" xfId="0" applyNumberFormat="1" applyFont="1" applyBorder="1" applyAlignment="1">
      <alignment horizontal="right"/>
    </xf>
    <xf numFmtId="164" fontId="24" fillId="0" borderId="1" xfId="0" applyNumberFormat="1" applyFont="1" applyBorder="1"/>
    <xf numFmtId="164" fontId="24" fillId="0" borderId="3" xfId="0" applyNumberFormat="1" applyFont="1" applyBorder="1"/>
    <xf numFmtId="164" fontId="24" fillId="0" borderId="2" xfId="0" quotePrefix="1" applyNumberFormat="1" applyFont="1" applyBorder="1" applyAlignment="1">
      <alignment horizontal="left"/>
    </xf>
    <xf numFmtId="37" fontId="24" fillId="0" borderId="14" xfId="0" applyFont="1" applyBorder="1" applyAlignment="1">
      <alignment horizontal="center"/>
    </xf>
    <xf numFmtId="37" fontId="24" fillId="0" borderId="8" xfId="0" applyFont="1" applyBorder="1" applyAlignment="1">
      <alignment horizontal="center"/>
    </xf>
    <xf numFmtId="37" fontId="24" fillId="0" borderId="14" xfId="0" applyFont="1" applyBorder="1"/>
    <xf numFmtId="37" fontId="12" fillId="0" borderId="14" xfId="0" applyFont="1" applyBorder="1"/>
    <xf numFmtId="37" fontId="25" fillId="0" borderId="0" xfId="0" applyFont="1" applyAlignment="1">
      <alignment horizontal="centerContinuous"/>
    </xf>
    <xf numFmtId="37" fontId="16" fillId="0" borderId="0" xfId="0" applyFont="1" applyAlignment="1">
      <alignment horizontal="centerContinuous"/>
    </xf>
    <xf numFmtId="37" fontId="25" fillId="0" borderId="0" xfId="0" applyFont="1"/>
    <xf numFmtId="37" fontId="25" fillId="0" borderId="5" xfId="0" applyFont="1" applyBorder="1"/>
    <xf numFmtId="37" fontId="25" fillId="0" borderId="6" xfId="0" quotePrefix="1" applyFont="1" applyBorder="1" applyAlignment="1">
      <alignment horizontal="centerContinuous"/>
    </xf>
    <xf numFmtId="37" fontId="25" fillId="0" borderId="7" xfId="0" applyFont="1" applyBorder="1" applyAlignment="1">
      <alignment horizontal="centerContinuous"/>
    </xf>
    <xf numFmtId="37" fontId="25" fillId="0" borderId="1" xfId="0" applyFont="1" applyBorder="1"/>
    <xf numFmtId="37" fontId="25" fillId="0" borderId="2" xfId="0" applyFont="1" applyBorder="1" applyAlignment="1">
      <alignment horizontal="centerContinuous"/>
    </xf>
    <xf numFmtId="37" fontId="25" fillId="0" borderId="2" xfId="0" applyFont="1" applyBorder="1"/>
    <xf numFmtId="37" fontId="25" fillId="0" borderId="8" xfId="0" applyFont="1" applyBorder="1" applyAlignment="1">
      <alignment horizontal="centerContinuous"/>
    </xf>
    <xf numFmtId="37" fontId="25" fillId="0" borderId="8" xfId="0" applyFont="1" applyBorder="1"/>
    <xf numFmtId="37" fontId="25" fillId="0" borderId="9" xfId="0" applyFont="1" applyBorder="1"/>
    <xf numFmtId="37" fontId="25" fillId="0" borderId="10" xfId="0" applyFont="1" applyBorder="1"/>
    <xf numFmtId="37" fontId="25" fillId="0" borderId="11" xfId="0" applyFont="1" applyBorder="1"/>
    <xf numFmtId="37" fontId="25" fillId="0" borderId="6" xfId="0" applyFont="1" applyBorder="1" applyAlignment="1">
      <alignment horizontal="centerContinuous"/>
    </xf>
    <xf numFmtId="37" fontId="25" fillId="0" borderId="3" xfId="0" applyFont="1" applyBorder="1"/>
    <xf numFmtId="37" fontId="25" fillId="0" borderId="4" xfId="0" applyFont="1" applyBorder="1" applyAlignment="1">
      <alignment horizontal="centerContinuous"/>
    </xf>
    <xf numFmtId="37" fontId="25" fillId="0" borderId="2" xfId="0" quotePrefix="1" applyFont="1" applyBorder="1" applyAlignment="1">
      <alignment horizontal="center"/>
    </xf>
    <xf numFmtId="37" fontId="25" fillId="0" borderId="6" xfId="0" applyFont="1" applyBorder="1" applyAlignment="1">
      <alignment horizontal="center"/>
    </xf>
    <xf numFmtId="37" fontId="25" fillId="0" borderId="7" xfId="0" applyFont="1" applyBorder="1" applyAlignment="1">
      <alignment horizontal="center"/>
    </xf>
    <xf numFmtId="37" fontId="25" fillId="0" borderId="8" xfId="0" applyFont="1" applyBorder="1" applyAlignment="1">
      <alignment horizontal="left"/>
    </xf>
    <xf numFmtId="37" fontId="25" fillId="0" borderId="2" xfId="0" quotePrefix="1" applyFont="1" applyBorder="1"/>
    <xf numFmtId="37" fontId="9" fillId="0" borderId="2" xfId="0" applyFont="1" applyBorder="1"/>
    <xf numFmtId="37" fontId="9" fillId="0" borderId="2" xfId="0" quotePrefix="1" applyFont="1" applyBorder="1"/>
    <xf numFmtId="37" fontId="9" fillId="0" borderId="2" xfId="0" applyFont="1" applyBorder="1" applyAlignment="1">
      <alignment horizontal="left" indent="1"/>
    </xf>
    <xf numFmtId="37" fontId="25" fillId="0" borderId="2" xfId="0" applyFont="1" applyBorder="1" applyAlignment="1">
      <alignment horizontal="left" indent="1"/>
    </xf>
    <xf numFmtId="37" fontId="25" fillId="0" borderId="12" xfId="0" applyFont="1" applyBorder="1"/>
    <xf numFmtId="37" fontId="25" fillId="0" borderId="1" xfId="0" applyFont="1" applyBorder="1" applyAlignment="1">
      <alignment horizontal="right"/>
    </xf>
    <xf numFmtId="37" fontId="16" fillId="0" borderId="14" xfId="0" applyFont="1" applyBorder="1"/>
    <xf numFmtId="37" fontId="16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right"/>
    </xf>
    <xf numFmtId="1" fontId="16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2" fontId="16" fillId="0" borderId="0" xfId="0" applyNumberFormat="1" applyFont="1"/>
    <xf numFmtId="37" fontId="27" fillId="0" borderId="0" xfId="0" applyFont="1"/>
    <xf numFmtId="43" fontId="16" fillId="7" borderId="0" xfId="547" applyFont="1" applyFill="1"/>
    <xf numFmtId="37" fontId="21" fillId="7" borderId="0" xfId="0" applyFont="1" applyFill="1"/>
    <xf numFmtId="2" fontId="12" fillId="0" borderId="0" xfId="0" applyNumberFormat="1" applyFont="1"/>
    <xf numFmtId="37" fontId="27" fillId="0" borderId="0" xfId="0" applyFont="1" applyProtection="1">
      <protection locked="0"/>
    </xf>
    <xf numFmtId="2" fontId="16" fillId="3" borderId="0" xfId="0" quotePrefix="1" applyNumberFormat="1" applyFont="1" applyFill="1" applyAlignment="1">
      <alignment horizontal="left"/>
    </xf>
    <xf numFmtId="2" fontId="16" fillId="3" borderId="0" xfId="0" applyNumberFormat="1" applyFont="1" applyFill="1"/>
    <xf numFmtId="2" fontId="16" fillId="3" borderId="0" xfId="0" quotePrefix="1" applyNumberFormat="1" applyFont="1" applyFill="1" applyAlignment="1">
      <alignment horizontal="fill"/>
    </xf>
    <xf numFmtId="37" fontId="27" fillId="0" borderId="0" xfId="0" applyFont="1" applyAlignment="1">
      <alignment horizontal="center"/>
    </xf>
    <xf numFmtId="37" fontId="27" fillId="0" borderId="0" xfId="0" applyFont="1" applyAlignment="1">
      <alignment horizontal="left"/>
    </xf>
    <xf numFmtId="164" fontId="27" fillId="0" borderId="0" xfId="0" applyNumberFormat="1" applyFont="1"/>
    <xf numFmtId="37" fontId="27" fillId="0" borderId="0" xfId="0" quotePrefix="1" applyFont="1" applyAlignment="1">
      <alignment horizontal="left"/>
    </xf>
    <xf numFmtId="37" fontId="27" fillId="8" borderId="0" xfId="0" applyFont="1" applyFill="1"/>
    <xf numFmtId="37" fontId="26" fillId="0" borderId="0" xfId="0" applyFont="1"/>
    <xf numFmtId="164" fontId="27" fillId="0" borderId="0" xfId="0" applyNumberFormat="1" applyFont="1" applyAlignment="1">
      <alignment horizontal="left"/>
    </xf>
    <xf numFmtId="37" fontId="27" fillId="9" borderId="0" xfId="0" applyFont="1" applyFill="1"/>
    <xf numFmtId="37" fontId="27" fillId="9" borderId="0" xfId="0" applyFont="1" applyFill="1" applyAlignment="1">
      <alignment horizontal="center"/>
    </xf>
    <xf numFmtId="37" fontId="27" fillId="10" borderId="0" xfId="0" applyFont="1" applyFill="1"/>
    <xf numFmtId="37" fontId="27" fillId="10" borderId="0" xfId="0" applyFont="1" applyFill="1" applyAlignment="1">
      <alignment horizontal="left"/>
    </xf>
    <xf numFmtId="37" fontId="27" fillId="10" borderId="0" xfId="0" applyFont="1" applyFill="1" applyAlignment="1">
      <alignment horizontal="center"/>
    </xf>
    <xf numFmtId="39" fontId="27" fillId="10" borderId="0" xfId="0" applyNumberFormat="1" applyFont="1" applyFill="1"/>
    <xf numFmtId="39" fontId="27" fillId="9" borderId="0" xfId="0" applyNumberFormat="1" applyFont="1" applyFill="1"/>
    <xf numFmtId="37" fontId="16" fillId="7" borderId="0" xfId="0" quotePrefix="1" applyFont="1" applyFill="1" applyAlignment="1">
      <alignment horizontal="fill"/>
    </xf>
    <xf numFmtId="38" fontId="16" fillId="7" borderId="0" xfId="0" applyNumberFormat="1" applyFont="1" applyFill="1"/>
    <xf numFmtId="39" fontId="16" fillId="7" borderId="0" xfId="0" applyNumberFormat="1" applyFont="1" applyFill="1"/>
    <xf numFmtId="2" fontId="16" fillId="7" borderId="0" xfId="0" applyNumberFormat="1" applyFont="1" applyFill="1"/>
    <xf numFmtId="37" fontId="12" fillId="0" borderId="0" xfId="0" applyFont="1" applyAlignment="1">
      <alignment vertical="center"/>
    </xf>
    <xf numFmtId="37" fontId="12" fillId="0" borderId="1" xfId="0" applyFont="1" applyBorder="1" applyAlignment="1">
      <alignment vertical="center"/>
    </xf>
    <xf numFmtId="37" fontId="28" fillId="0" borderId="1" xfId="0" applyFont="1" applyBorder="1"/>
    <xf numFmtId="37" fontId="28" fillId="0" borderId="0" xfId="0" applyFont="1" applyAlignment="1">
      <alignment horizontal="centerContinuous"/>
    </xf>
    <xf numFmtId="37" fontId="29" fillId="0" borderId="0" xfId="0" applyFont="1" applyAlignment="1">
      <alignment horizontal="centerContinuous"/>
    </xf>
    <xf numFmtId="37" fontId="29" fillId="0" borderId="0" xfId="0" applyFont="1"/>
    <xf numFmtId="37" fontId="28" fillId="0" borderId="0" xfId="0" applyFont="1"/>
    <xf numFmtId="37" fontId="28" fillId="0" borderId="0" xfId="0" quotePrefix="1" applyFont="1" applyAlignment="1">
      <alignment horizontal="right"/>
    </xf>
    <xf numFmtId="37" fontId="29" fillId="0" borderId="0" xfId="0" quotePrefix="1" applyFont="1"/>
    <xf numFmtId="37" fontId="30" fillId="0" borderId="0" xfId="0" applyFont="1"/>
    <xf numFmtId="37" fontId="28" fillId="0" borderId="2" xfId="0" applyFont="1" applyBorder="1"/>
    <xf numFmtId="37" fontId="28" fillId="0" borderId="2" xfId="0" quotePrefix="1" applyFont="1" applyBorder="1" applyAlignment="1">
      <alignment horizontal="center"/>
    </xf>
    <xf numFmtId="37" fontId="28" fillId="0" borderId="2" xfId="0" applyFont="1" applyBorder="1" applyAlignment="1">
      <alignment horizontal="center"/>
    </xf>
    <xf numFmtId="37" fontId="28" fillId="0" borderId="3" xfId="0" applyFont="1" applyBorder="1"/>
    <xf numFmtId="37" fontId="28" fillId="0" borderId="4" xfId="0" applyFont="1" applyBorder="1"/>
    <xf numFmtId="37" fontId="28" fillId="0" borderId="4" xfId="0" quotePrefix="1" applyFont="1" applyBorder="1" applyAlignment="1">
      <alignment horizontal="center"/>
    </xf>
    <xf numFmtId="37" fontId="28" fillId="0" borderId="4" xfId="0" applyFont="1" applyBorder="1" applyAlignment="1">
      <alignment horizontal="center"/>
    </xf>
    <xf numFmtId="39" fontId="28" fillId="0" borderId="2" xfId="0" applyNumberFormat="1" applyFont="1" applyBorder="1"/>
    <xf numFmtId="37" fontId="28" fillId="0" borderId="2" xfId="0" quotePrefix="1" applyFont="1" applyBorder="1"/>
    <xf numFmtId="37" fontId="28" fillId="5" borderId="2" xfId="0" applyFont="1" applyFill="1" applyBorder="1"/>
    <xf numFmtId="37" fontId="28" fillId="6" borderId="2" xfId="0" applyFont="1" applyFill="1" applyBorder="1"/>
    <xf numFmtId="37" fontId="31" fillId="0" borderId="0" xfId="0" applyFont="1"/>
    <xf numFmtId="37" fontId="28" fillId="6" borderId="2" xfId="0" applyFont="1" applyFill="1" applyBorder="1" applyAlignment="1">
      <alignment horizontal="center"/>
    </xf>
    <xf numFmtId="37" fontId="32" fillId="0" borderId="0" xfId="0" applyFont="1"/>
    <xf numFmtId="37" fontId="28" fillId="0" borderId="2" xfId="0" quotePrefix="1" applyFont="1" applyBorder="1" applyAlignment="1">
      <alignment horizontal="left"/>
    </xf>
    <xf numFmtId="37" fontId="28" fillId="6" borderId="2" xfId="0" quotePrefix="1" applyFont="1" applyFill="1" applyBorder="1" applyAlignment="1">
      <alignment horizontal="center"/>
    </xf>
    <xf numFmtId="37" fontId="29" fillId="0" borderId="10" xfId="0" applyFont="1" applyBorder="1"/>
    <xf numFmtId="37" fontId="28" fillId="6" borderId="2" xfId="0" quotePrefix="1" applyFont="1" applyFill="1" applyBorder="1"/>
    <xf numFmtId="39" fontId="28" fillId="6" borderId="2" xfId="0" quotePrefix="1" applyNumberFormat="1" applyFont="1" applyFill="1" applyBorder="1" applyAlignment="1">
      <alignment horizontal="center"/>
    </xf>
    <xf numFmtId="3" fontId="28" fillId="0" borderId="2" xfId="0" applyNumberFormat="1" applyFont="1" applyBorder="1"/>
    <xf numFmtId="37" fontId="29" fillId="0" borderId="2" xfId="0" applyFont="1" applyBorder="1" applyAlignment="1">
      <alignment horizontal="center"/>
    </xf>
    <xf numFmtId="37" fontId="29" fillId="0" borderId="4" xfId="0" applyFont="1" applyBorder="1" applyAlignment="1">
      <alignment horizontal="center"/>
    </xf>
    <xf numFmtId="39" fontId="28" fillId="6" borderId="2" xfId="0" applyNumberFormat="1" applyFont="1" applyFill="1" applyBorder="1"/>
    <xf numFmtId="2" fontId="28" fillId="0" borderId="2" xfId="0" applyNumberFormat="1" applyFont="1" applyBorder="1"/>
    <xf numFmtId="3" fontId="28" fillId="6" borderId="2" xfId="0" applyNumberFormat="1" applyFont="1" applyFill="1" applyBorder="1"/>
    <xf numFmtId="37" fontId="16" fillId="7" borderId="0" xfId="547" applyNumberFormat="1" applyFont="1" applyFill="1"/>
    <xf numFmtId="0" fontId="16" fillId="3" borderId="0" xfId="0" quotePrefix="1" applyNumberFormat="1" applyFont="1" applyFill="1" applyAlignment="1">
      <alignment horizontal="fill"/>
    </xf>
    <xf numFmtId="39" fontId="16" fillId="3" borderId="0" xfId="0" quotePrefix="1" applyNumberFormat="1" applyFont="1" applyFill="1" applyAlignment="1">
      <alignment horizontal="fill"/>
    </xf>
    <xf numFmtId="0" fontId="17" fillId="0" borderId="0" xfId="631" applyFont="1">
      <alignment vertical="top"/>
      <protection locked="0"/>
    </xf>
    <xf numFmtId="37" fontId="44" fillId="0" borderId="0" xfId="0" applyFont="1"/>
    <xf numFmtId="37" fontId="45" fillId="0" borderId="0" xfId="0" applyFont="1"/>
    <xf numFmtId="37" fontId="46" fillId="0" borderId="0" xfId="0" applyFont="1"/>
    <xf numFmtId="37" fontId="47" fillId="0" borderId="0" xfId="0" applyFont="1"/>
    <xf numFmtId="2" fontId="16" fillId="0" borderId="0" xfId="0" applyNumberFormat="1" applyFont="1" applyAlignment="1">
      <alignment horizontal="right"/>
    </xf>
    <xf numFmtId="37" fontId="18" fillId="31" borderId="1" xfId="0" applyFont="1" applyFill="1" applyBorder="1" applyProtection="1">
      <protection locked="0"/>
    </xf>
    <xf numFmtId="37" fontId="18" fillId="31" borderId="1" xfId="0" quotePrefix="1" applyFont="1" applyFill="1" applyBorder="1" applyProtection="1">
      <protection locked="0"/>
    </xf>
    <xf numFmtId="2" fontId="18" fillId="31" borderId="1" xfId="547" quotePrefix="1" applyNumberFormat="1" applyFont="1" applyFill="1" applyBorder="1" applyProtection="1">
      <protection locked="0"/>
    </xf>
    <xf numFmtId="37" fontId="18" fillId="31" borderId="1" xfId="547" quotePrefix="1" applyNumberFormat="1" applyFont="1" applyFill="1" applyBorder="1" applyProtection="1">
      <protection locked="0"/>
    </xf>
    <xf numFmtId="37" fontId="18" fillId="31" borderId="1" xfId="547" applyNumberFormat="1" applyFont="1" applyFill="1" applyBorder="1" applyProtection="1">
      <protection locked="0"/>
    </xf>
    <xf numFmtId="2" fontId="18" fillId="31" borderId="1" xfId="0" quotePrefix="1" applyNumberFormat="1" applyFont="1" applyFill="1" applyBorder="1" applyProtection="1">
      <protection locked="0"/>
    </xf>
    <xf numFmtId="2" fontId="18" fillId="31" borderId="1" xfId="939" quotePrefix="1" applyNumberFormat="1" applyFont="1" applyFill="1" applyBorder="1" applyProtection="1">
      <protection locked="0"/>
    </xf>
    <xf numFmtId="2" fontId="18" fillId="31" borderId="1" xfId="547" applyNumberFormat="1" applyFont="1" applyFill="1" applyBorder="1" applyProtection="1">
      <protection locked="0"/>
    </xf>
    <xf numFmtId="37" fontId="18" fillId="31" borderId="1" xfId="939" quotePrefix="1" applyNumberFormat="1" applyFont="1" applyFill="1" applyBorder="1" applyProtection="1">
      <protection locked="0"/>
    </xf>
    <xf numFmtId="1" fontId="18" fillId="31" borderId="1" xfId="0" quotePrefix="1" applyNumberFormat="1" applyFont="1" applyFill="1" applyBorder="1" applyProtection="1">
      <protection locked="0"/>
    </xf>
    <xf numFmtId="37" fontId="18" fillId="30" borderId="1" xfId="0" quotePrefix="1" applyFont="1" applyFill="1" applyBorder="1" applyProtection="1">
      <protection locked="0"/>
    </xf>
    <xf numFmtId="167" fontId="18" fillId="30" borderId="1" xfId="0" quotePrefix="1" applyNumberFormat="1" applyFont="1" applyFill="1" applyBorder="1" applyProtection="1">
      <protection locked="0"/>
    </xf>
    <xf numFmtId="38" fontId="18" fillId="30" borderId="8" xfId="0" applyNumberFormat="1" applyFont="1" applyFill="1" applyBorder="1" applyProtection="1">
      <protection locked="0"/>
    </xf>
    <xf numFmtId="38" fontId="18" fillId="30" borderId="2" xfId="0" applyNumberFormat="1" applyFont="1" applyFill="1" applyBorder="1" applyProtection="1">
      <protection locked="0"/>
    </xf>
    <xf numFmtId="38" fontId="18" fillId="30" borderId="1" xfId="0" quotePrefix="1" applyNumberFormat="1" applyFont="1" applyFill="1" applyBorder="1" applyAlignment="1" applyProtection="1">
      <alignment horizontal="left"/>
      <protection locked="0"/>
    </xf>
    <xf numFmtId="38" fontId="18" fillId="30" borderId="14" xfId="0" applyNumberFormat="1" applyFont="1" applyFill="1" applyBorder="1" applyProtection="1">
      <protection locked="0"/>
    </xf>
    <xf numFmtId="38" fontId="18" fillId="30" borderId="14" xfId="0" quotePrefix="1" applyNumberFormat="1" applyFont="1" applyFill="1" applyBorder="1" applyProtection="1">
      <protection locked="0"/>
    </xf>
    <xf numFmtId="166" fontId="18" fillId="30" borderId="14" xfId="0" applyNumberFormat="1" applyFont="1" applyFill="1" applyBorder="1" applyAlignment="1" applyProtection="1">
      <alignment horizontal="left"/>
      <protection locked="0"/>
    </xf>
    <xf numFmtId="49" fontId="18" fillId="30" borderId="1" xfId="0" quotePrefix="1" applyNumberFormat="1" applyFont="1" applyFill="1" applyBorder="1" applyProtection="1">
      <protection locked="0"/>
    </xf>
    <xf numFmtId="168" fontId="18" fillId="30" borderId="1" xfId="0" quotePrefix="1" applyNumberFormat="1" applyFont="1" applyFill="1" applyBorder="1" applyAlignment="1" applyProtection="1">
      <alignment horizontal="left"/>
      <protection locked="0"/>
    </xf>
    <xf numFmtId="38" fontId="18" fillId="30" borderId="1" xfId="0" applyNumberFormat="1" applyFont="1" applyFill="1" applyBorder="1" applyProtection="1">
      <protection locked="0"/>
    </xf>
    <xf numFmtId="38" fontId="18" fillId="30" borderId="1" xfId="0" applyNumberFormat="1" applyFont="1" applyFill="1" applyBorder="1" applyAlignment="1" applyProtection="1">
      <alignment horizontal="right"/>
      <protection locked="0"/>
    </xf>
    <xf numFmtId="38" fontId="18" fillId="31" borderId="1" xfId="0" applyNumberFormat="1" applyFont="1" applyFill="1" applyBorder="1" applyProtection="1">
      <protection locked="0"/>
    </xf>
    <xf numFmtId="37" fontId="18" fillId="30" borderId="1" xfId="0" applyFont="1" applyFill="1" applyBorder="1" applyProtection="1">
      <protection locked="0"/>
    </xf>
    <xf numFmtId="38" fontId="26" fillId="30" borderId="1" xfId="0" applyNumberFormat="1" applyFont="1" applyFill="1" applyBorder="1" applyProtection="1">
      <protection locked="0"/>
    </xf>
    <xf numFmtId="38" fontId="18" fillId="30" borderId="1" xfId="0" applyNumberFormat="1" applyFont="1" applyFill="1" applyBorder="1" applyAlignment="1" applyProtection="1">
      <alignment horizontal="center"/>
      <protection locked="0"/>
    </xf>
    <xf numFmtId="37" fontId="16" fillId="30" borderId="0" xfId="0" applyFont="1" applyFill="1" applyProtection="1">
      <protection locked="0"/>
    </xf>
    <xf numFmtId="37" fontId="33" fillId="0" borderId="0" xfId="0" quotePrefix="1" applyFont="1" applyAlignment="1">
      <alignment horizontal="left"/>
    </xf>
    <xf numFmtId="37" fontId="8" fillId="0" borderId="0" xfId="0" applyFont="1"/>
    <xf numFmtId="38" fontId="8" fillId="0" borderId="0" xfId="0" applyNumberFormat="1" applyFont="1"/>
    <xf numFmtId="37" fontId="8" fillId="0" borderId="0" xfId="0" quotePrefix="1" applyFont="1" applyAlignment="1">
      <alignment horizontal="left"/>
    </xf>
    <xf numFmtId="37" fontId="7" fillId="0" borderId="0" xfId="0" quotePrefix="1" applyFont="1"/>
    <xf numFmtId="37" fontId="33" fillId="0" borderId="0" xfId="0" applyFont="1"/>
    <xf numFmtId="37" fontId="48" fillId="0" borderId="0" xfId="0" applyFont="1"/>
    <xf numFmtId="0" fontId="49" fillId="0" borderId="0" xfId="631" applyFont="1">
      <alignment vertical="top"/>
      <protection locked="0"/>
    </xf>
    <xf numFmtId="37" fontId="3" fillId="0" borderId="0" xfId="0" quotePrefix="1" applyFont="1" applyAlignment="1">
      <alignment vertical="center" readingOrder="1"/>
    </xf>
    <xf numFmtId="37" fontId="3" fillId="0" borderId="0" xfId="0" applyFont="1" applyAlignment="1">
      <alignment vertical="center" readingOrder="1"/>
    </xf>
    <xf numFmtId="37" fontId="12" fillId="0" borderId="0" xfId="0" quotePrefix="1" applyFont="1"/>
    <xf numFmtId="37" fontId="50" fillId="0" borderId="0" xfId="0" applyFont="1" applyAlignment="1">
      <alignment vertical="center"/>
    </xf>
    <xf numFmtId="37" fontId="51" fillId="0" borderId="0" xfId="0" applyFont="1"/>
    <xf numFmtId="0" fontId="17" fillId="0" borderId="0" xfId="630" applyNumberFormat="1" applyFont="1" applyAlignment="1" applyProtection="1">
      <alignment vertical="top"/>
      <protection locked="0"/>
    </xf>
    <xf numFmtId="37" fontId="17" fillId="0" borderId="0" xfId="630" applyNumberFormat="1" applyFont="1"/>
    <xf numFmtId="37" fontId="33" fillId="31" borderId="34" xfId="0" quotePrefix="1" applyFont="1" applyFill="1" applyBorder="1" applyAlignment="1">
      <alignment horizontal="left"/>
    </xf>
    <xf numFmtId="37" fontId="2" fillId="31" borderId="35" xfId="0" applyFont="1" applyFill="1" applyBorder="1"/>
    <xf numFmtId="38" fontId="2" fillId="31" borderId="35" xfId="0" applyNumberFormat="1" applyFont="1" applyFill="1" applyBorder="1"/>
    <xf numFmtId="37" fontId="2" fillId="31" borderId="36" xfId="0" applyFont="1" applyFill="1" applyBorder="1"/>
    <xf numFmtId="37" fontId="2" fillId="31" borderId="37" xfId="0" quotePrefix="1" applyFont="1" applyFill="1" applyBorder="1" applyAlignment="1">
      <alignment vertical="center" readingOrder="1"/>
    </xf>
    <xf numFmtId="37" fontId="2" fillId="31" borderId="0" xfId="0" quotePrefix="1" applyFont="1" applyFill="1" applyAlignment="1">
      <alignment horizontal="left"/>
    </xf>
    <xf numFmtId="38" fontId="2" fillId="31" borderId="0" xfId="0" applyNumberFormat="1" applyFont="1" applyFill="1"/>
    <xf numFmtId="37" fontId="2" fillId="31" borderId="0" xfId="0" applyFont="1" applyFill="1"/>
    <xf numFmtId="37" fontId="2" fillId="31" borderId="38" xfId="0" applyFont="1" applyFill="1" applyBorder="1"/>
    <xf numFmtId="37" fontId="2" fillId="31" borderId="37" xfId="0" quotePrefix="1" applyFont="1" applyFill="1" applyBorder="1"/>
    <xf numFmtId="37" fontId="2" fillId="31" borderId="37" xfId="0" applyFont="1" applyFill="1" applyBorder="1" applyAlignment="1">
      <alignment vertical="center" readingOrder="1"/>
    </xf>
    <xf numFmtId="37" fontId="2" fillId="31" borderId="39" xfId="0" quotePrefix="1" applyFont="1" applyFill="1" applyBorder="1"/>
    <xf numFmtId="37" fontId="2" fillId="31" borderId="40" xfId="0" applyFont="1" applyFill="1" applyBorder="1"/>
    <xf numFmtId="38" fontId="2" fillId="31" borderId="40" xfId="0" applyNumberFormat="1" applyFont="1" applyFill="1" applyBorder="1"/>
    <xf numFmtId="37" fontId="2" fillId="31" borderId="41" xfId="0" applyFont="1" applyFill="1" applyBorder="1"/>
    <xf numFmtId="0" fontId="16" fillId="3" borderId="0" xfId="0" applyNumberFormat="1" applyFont="1" applyFill="1" applyAlignment="1">
      <alignment horizontal="center"/>
    </xf>
    <xf numFmtId="37" fontId="52" fillId="31" borderId="1" xfId="0" applyFont="1" applyFill="1" applyBorder="1" applyProtection="1">
      <protection locked="0"/>
    </xf>
    <xf numFmtId="37" fontId="16" fillId="7" borderId="0" xfId="546" applyNumberFormat="1" applyFont="1" applyFill="1"/>
    <xf numFmtId="37" fontId="18" fillId="31" borderId="1" xfId="546" quotePrefix="1" applyNumberFormat="1" applyFont="1" applyFill="1" applyBorder="1" applyProtection="1">
      <protection locked="0"/>
    </xf>
    <xf numFmtId="43" fontId="16" fillId="3" borderId="0" xfId="546" applyNumberFormat="1" applyFont="1" applyFill="1"/>
    <xf numFmtId="43" fontId="16" fillId="7" borderId="0" xfId="546" applyNumberFormat="1" applyFont="1" applyFill="1"/>
    <xf numFmtId="37" fontId="16" fillId="3" borderId="0" xfId="546" quotePrefix="1" applyNumberFormat="1" applyFont="1" applyFill="1" applyAlignment="1">
      <alignment horizontal="fill"/>
    </xf>
    <xf numFmtId="37" fontId="53" fillId="32" borderId="42" xfId="0" applyFont="1" applyFill="1" applyBorder="1" applyAlignment="1">
      <alignment vertical="center"/>
    </xf>
    <xf numFmtId="37" fontId="18" fillId="4" borderId="1" xfId="0" applyFont="1" applyFill="1" applyBorder="1" applyProtection="1">
      <protection locked="0"/>
    </xf>
    <xf numFmtId="170" fontId="10" fillId="0" borderId="0" xfId="546" applyNumberFormat="1" applyFont="1" applyFill="1"/>
    <xf numFmtId="43" fontId="10" fillId="0" borderId="0" xfId="546" applyNumberFormat="1" applyFont="1" applyFill="1"/>
    <xf numFmtId="171" fontId="10" fillId="0" borderId="0" xfId="546" applyNumberFormat="1" applyFont="1" applyFill="1"/>
    <xf numFmtId="37" fontId="18" fillId="3" borderId="0" xfId="0" applyFont="1" applyFill="1" applyAlignment="1">
      <alignment horizontal="center" vertical="center"/>
    </xf>
    <xf numFmtId="0" fontId="49" fillId="0" borderId="0" xfId="631" applyFont="1" applyAlignment="1">
      <alignment horizontal="left" vertical="top" wrapText="1"/>
      <protection locked="0"/>
    </xf>
    <xf numFmtId="0" fontId="49" fillId="0" borderId="0" xfId="631" applyFont="1" applyAlignment="1">
      <alignment vertical="top" wrapText="1"/>
      <protection locked="0"/>
    </xf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958850</xdr:colOff>
      <xdr:row>0</xdr:row>
      <xdr:rowOff>0</xdr:rowOff>
    </xdr:from>
    <xdr:to>
      <xdr:col>5</xdr:col>
      <xdr:colOff>733425</xdr:colOff>
      <xdr:row>0</xdr:row>
      <xdr:rowOff>545410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0" y="0"/>
          <a:ext cx="1854200" cy="54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0</xdr:rowOff>
    </xdr:from>
    <xdr:to>
      <xdr:col>5</xdr:col>
      <xdr:colOff>771525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65BC7-6541-4120-AB33-F5862C21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0"/>
          <a:ext cx="1854200" cy="54541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Dan Wickens" id="{BEA472AB-3DF0-47E1-944A-C4F092C8E40F}" userId="S::djwickens@multicare.org::1eb839a9-4505-43a0-8e65-9b51af7ade74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5" dT="2025-06-24T21:57:12.73" personId="{BEA472AB-3DF0-47E1-944A-C4F092C8E40F}" id="{45C3D507-6667-4D38-B65D-5054D0F9A505}">
    <text>50100.RC473</text>
  </threadedComment>
  <threadedComment ref="A29" dT="2025-06-24T21:58:47.67" personId="{BEA472AB-3DF0-47E1-944A-C4F092C8E40F}" id="{A2BF38F2-C546-4643-88CB-F2E30D065AD0}">
    <text>80200.SC222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doh.information@doh.wa.gov" TargetMode="External"/><Relationship Id="rId3" Type="http://schemas.openxmlformats.org/officeDocument/2006/relationships/hyperlink" Target="https://mft.wa.gov/" TargetMode="External"/><Relationship Id="rId7" Type="http://schemas.openxmlformats.org/officeDocument/2006/relationships/hyperlink" Target="mailto:doh.information@doh.wa.gov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6" Type="http://schemas.openxmlformats.org/officeDocument/2006/relationships/hyperlink" Target="mailto:doh.information@doh.wa.gov" TargetMode="External"/><Relationship Id="rId5" Type="http://schemas.openxmlformats.org/officeDocument/2006/relationships/hyperlink" Target="mailto:doh.information@doh.wa.gov" TargetMode="External"/><Relationship Id="rId4" Type="http://schemas.openxmlformats.org/officeDocument/2006/relationships/hyperlink" Target="mailto:doh.information@doh.wa.gov" TargetMode="External"/><Relationship Id="rId9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="90" zoomScaleNormal="90" workbookViewId="0"/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05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11" t="s">
        <v>3</v>
      </c>
    </row>
    <row r="7" spans="1:5" x14ac:dyDescent="0.25">
      <c r="A7" s="304" t="s">
        <v>4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266" t="s">
        <v>23</v>
      </c>
      <c r="F30" s="15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299" t="s">
        <v>27</v>
      </c>
      <c r="B36" s="300"/>
      <c r="C36" s="301"/>
      <c r="D36" s="300"/>
      <c r="E36" s="300"/>
      <c r="F36" s="300"/>
      <c r="G36" s="300"/>
    </row>
    <row r="37" spans="1:83" x14ac:dyDescent="0.25">
      <c r="A37" s="307" t="s">
        <v>28</v>
      </c>
      <c r="B37" s="302"/>
      <c r="C37" s="301"/>
      <c r="D37" s="300"/>
      <c r="E37" s="300"/>
      <c r="F37" s="300"/>
      <c r="G37" s="300"/>
    </row>
    <row r="38" spans="1:83" x14ac:dyDescent="0.25">
      <c r="A38" s="303" t="s">
        <v>29</v>
      </c>
      <c r="B38" s="302"/>
      <c r="C38" s="301"/>
      <c r="D38" s="300"/>
      <c r="E38" s="300"/>
      <c r="F38" s="300"/>
      <c r="G38" s="300"/>
    </row>
    <row r="39" spans="1:83" x14ac:dyDescent="0.25">
      <c r="A39" s="308" t="s">
        <v>30</v>
      </c>
      <c r="B39" s="300"/>
      <c r="C39" s="301"/>
      <c r="D39" s="300"/>
      <c r="E39" s="300"/>
      <c r="F39" s="300"/>
      <c r="G39" s="300"/>
    </row>
    <row r="40" spans="1:83" x14ac:dyDescent="0.25">
      <c r="A40" s="303" t="s">
        <v>31</v>
      </c>
      <c r="B40" s="300"/>
      <c r="C40" s="301"/>
      <c r="D40" s="300"/>
      <c r="E40" s="300"/>
      <c r="F40" s="300"/>
      <c r="G40" s="300"/>
    </row>
    <row r="41" spans="1:83" x14ac:dyDescent="0.25">
      <c r="C41" s="13"/>
    </row>
    <row r="42" spans="1:83" x14ac:dyDescent="0.25">
      <c r="A42" s="11" t="s">
        <v>32</v>
      </c>
      <c r="C42" s="13"/>
      <c r="F42" s="15" t="s">
        <v>33</v>
      </c>
    </row>
    <row r="43" spans="1:83" x14ac:dyDescent="0.25">
      <c r="A43" s="15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/>
      <c r="C47" s="273">
        <v>14429985.779999999</v>
      </c>
      <c r="D47" s="273">
        <v>11056411.209999999</v>
      </c>
      <c r="E47" s="273">
        <v>2204547.33</v>
      </c>
      <c r="F47" s="273">
        <v>1276362.76</v>
      </c>
      <c r="G47" s="273">
        <v>0</v>
      </c>
      <c r="H47" s="273">
        <v>1628943.07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3577771.8400000003</v>
      </c>
      <c r="P47" s="273">
        <v>8307899.6200000001</v>
      </c>
      <c r="Q47" s="273">
        <v>505723.66</v>
      </c>
      <c r="R47" s="273">
        <v>2273999.0299999998</v>
      </c>
      <c r="S47" s="273">
        <v>1357289.7</v>
      </c>
      <c r="T47" s="273">
        <v>0</v>
      </c>
      <c r="U47" s="273">
        <v>8241244.1000000006</v>
      </c>
      <c r="V47" s="273">
        <v>0</v>
      </c>
      <c r="W47" s="273">
        <v>1031582.01</v>
      </c>
      <c r="X47" s="273">
        <v>772851.81</v>
      </c>
      <c r="Y47" s="273">
        <v>2211965.4300000002</v>
      </c>
      <c r="Z47" s="273">
        <v>0</v>
      </c>
      <c r="AA47" s="273">
        <v>147537.24</v>
      </c>
      <c r="AB47" s="273">
        <v>4920628.1500000004</v>
      </c>
      <c r="AC47" s="273">
        <v>1276819.81</v>
      </c>
      <c r="AD47" s="273">
        <v>0</v>
      </c>
      <c r="AE47" s="273">
        <v>0</v>
      </c>
      <c r="AF47" s="273">
        <v>154.31</v>
      </c>
      <c r="AG47" s="273">
        <v>6421964.6399999997</v>
      </c>
      <c r="AH47" s="273">
        <v>0</v>
      </c>
      <c r="AI47" s="273">
        <v>0</v>
      </c>
      <c r="AJ47" s="273">
        <v>1541434.3699999999</v>
      </c>
      <c r="AK47" s="273">
        <v>789216.87</v>
      </c>
      <c r="AL47" s="273">
        <v>210836.82</v>
      </c>
      <c r="AM47" s="273">
        <v>0</v>
      </c>
      <c r="AN47" s="273">
        <v>0</v>
      </c>
      <c r="AO47" s="273">
        <v>2685039.73</v>
      </c>
      <c r="AP47" s="273">
        <v>0</v>
      </c>
      <c r="AQ47" s="273">
        <v>0</v>
      </c>
      <c r="AR47" s="273">
        <v>64.34</v>
      </c>
      <c r="AS47" s="273">
        <v>0</v>
      </c>
      <c r="AT47" s="273">
        <v>0</v>
      </c>
      <c r="AU47" s="273">
        <v>0</v>
      </c>
      <c r="AV47" s="273">
        <v>819949.31</v>
      </c>
      <c r="AW47" s="273">
        <v>2569023.84</v>
      </c>
      <c r="AX47" s="273">
        <v>0</v>
      </c>
      <c r="AY47" s="273">
        <v>350689.91</v>
      </c>
      <c r="AZ47" s="273">
        <v>0</v>
      </c>
      <c r="BA47" s="273">
        <v>0</v>
      </c>
      <c r="BB47" s="273">
        <v>622297.32999999996</v>
      </c>
      <c r="BC47" s="273">
        <v>220491.4</v>
      </c>
      <c r="BD47" s="273">
        <v>0</v>
      </c>
      <c r="BE47" s="273">
        <v>261703.4</v>
      </c>
      <c r="BF47" s="273">
        <v>550153.91</v>
      </c>
      <c r="BG47" s="273">
        <v>0</v>
      </c>
      <c r="BH47" s="273">
        <v>0</v>
      </c>
      <c r="BI47" s="273">
        <v>259847.44</v>
      </c>
      <c r="BJ47" s="273">
        <v>0</v>
      </c>
      <c r="BK47" s="273">
        <v>0</v>
      </c>
      <c r="BL47" s="273">
        <v>721417.95</v>
      </c>
      <c r="BM47" s="273">
        <v>0</v>
      </c>
      <c r="BN47" s="273">
        <v>0</v>
      </c>
      <c r="BO47" s="273">
        <v>0</v>
      </c>
      <c r="BP47" s="273">
        <v>1055.7</v>
      </c>
      <c r="BQ47" s="273">
        <v>0</v>
      </c>
      <c r="BR47" s="273">
        <v>0</v>
      </c>
      <c r="BS47" s="273">
        <v>0</v>
      </c>
      <c r="BT47" s="273">
        <v>0</v>
      </c>
      <c r="BU47" s="273">
        <v>0</v>
      </c>
      <c r="BV47" s="273">
        <v>0</v>
      </c>
      <c r="BW47" s="273">
        <v>0</v>
      </c>
      <c r="BX47" s="273">
        <v>0</v>
      </c>
      <c r="BY47" s="273">
        <v>0</v>
      </c>
      <c r="BZ47" s="273">
        <v>364572.01</v>
      </c>
      <c r="CA47" s="273">
        <v>0</v>
      </c>
      <c r="CB47" s="273">
        <v>0</v>
      </c>
      <c r="CC47" s="273">
        <v>2866007.88</v>
      </c>
      <c r="CD47" s="16"/>
      <c r="CE47" s="25">
        <f>SUM(C47:CC47)</f>
        <v>86477483.710000023</v>
      </c>
    </row>
    <row r="48" spans="1:83" x14ac:dyDescent="0.25">
      <c r="A48" s="25" t="s">
        <v>231</v>
      </c>
      <c r="B48" s="272"/>
      <c r="C48" s="25" t="b">
        <f t="shared" ref="C48:AH48" si="0">IF($B$48,(ROUND((($B$48/$CE$61)*C61),0)))</f>
        <v>0</v>
      </c>
      <c r="D48" s="25" t="b">
        <f t="shared" si="0"/>
        <v>0</v>
      </c>
      <c r="E48" s="25" t="b">
        <f t="shared" si="0"/>
        <v>0</v>
      </c>
      <c r="F48" s="25" t="b">
        <f t="shared" si="0"/>
        <v>0</v>
      </c>
      <c r="G48" s="25" t="b">
        <f t="shared" si="0"/>
        <v>0</v>
      </c>
      <c r="H48" s="25" t="b">
        <f t="shared" si="0"/>
        <v>0</v>
      </c>
      <c r="I48" s="25" t="b">
        <f t="shared" si="0"/>
        <v>0</v>
      </c>
      <c r="J48" s="25" t="b">
        <f t="shared" si="0"/>
        <v>0</v>
      </c>
      <c r="K48" s="25" t="b">
        <f t="shared" si="0"/>
        <v>0</v>
      </c>
      <c r="L48" s="25" t="b">
        <f t="shared" si="0"/>
        <v>0</v>
      </c>
      <c r="M48" s="25" t="b">
        <f t="shared" si="0"/>
        <v>0</v>
      </c>
      <c r="N48" s="25" t="b">
        <f t="shared" si="0"/>
        <v>0</v>
      </c>
      <c r="O48" s="25" t="b">
        <f t="shared" si="0"/>
        <v>0</v>
      </c>
      <c r="P48" s="25" t="b">
        <f t="shared" si="0"/>
        <v>0</v>
      </c>
      <c r="Q48" s="25" t="b">
        <f t="shared" si="0"/>
        <v>0</v>
      </c>
      <c r="R48" s="25" t="b">
        <f t="shared" si="0"/>
        <v>0</v>
      </c>
      <c r="S48" s="25" t="b">
        <f t="shared" si="0"/>
        <v>0</v>
      </c>
      <c r="T48" s="25" t="b">
        <f t="shared" si="0"/>
        <v>0</v>
      </c>
      <c r="U48" s="25" t="b">
        <f t="shared" si="0"/>
        <v>0</v>
      </c>
      <c r="V48" s="25" t="b">
        <f t="shared" si="0"/>
        <v>0</v>
      </c>
      <c r="W48" s="25" t="b">
        <f t="shared" si="0"/>
        <v>0</v>
      </c>
      <c r="X48" s="25" t="b">
        <f t="shared" si="0"/>
        <v>0</v>
      </c>
      <c r="Y48" s="25" t="b">
        <f t="shared" si="0"/>
        <v>0</v>
      </c>
      <c r="Z48" s="25" t="b">
        <f t="shared" si="0"/>
        <v>0</v>
      </c>
      <c r="AA48" s="25" t="b">
        <f t="shared" si="0"/>
        <v>0</v>
      </c>
      <c r="AB48" s="25" t="b">
        <f t="shared" si="0"/>
        <v>0</v>
      </c>
      <c r="AC48" s="25" t="b">
        <f t="shared" si="0"/>
        <v>0</v>
      </c>
      <c r="AD48" s="25" t="b">
        <f t="shared" si="0"/>
        <v>0</v>
      </c>
      <c r="AE48" s="25" t="b">
        <f t="shared" si="0"/>
        <v>0</v>
      </c>
      <c r="AF48" s="25" t="b">
        <f t="shared" si="0"/>
        <v>0</v>
      </c>
      <c r="AG48" s="25" t="b">
        <f t="shared" si="0"/>
        <v>0</v>
      </c>
      <c r="AH48" s="25" t="b">
        <f t="shared" si="0"/>
        <v>0</v>
      </c>
      <c r="AI48" s="25" t="b">
        <f t="shared" ref="AI48:BN48" si="1">IF($B$48,(ROUND((($B$48/$CE$61)*AI61),0)))</f>
        <v>0</v>
      </c>
      <c r="AJ48" s="25" t="b">
        <f t="shared" si="1"/>
        <v>0</v>
      </c>
      <c r="AK48" s="25" t="b">
        <f t="shared" si="1"/>
        <v>0</v>
      </c>
      <c r="AL48" s="25" t="b">
        <f t="shared" si="1"/>
        <v>0</v>
      </c>
      <c r="AM48" s="25" t="b">
        <f t="shared" si="1"/>
        <v>0</v>
      </c>
      <c r="AN48" s="25" t="b">
        <f t="shared" si="1"/>
        <v>0</v>
      </c>
      <c r="AO48" s="25" t="b">
        <f t="shared" si="1"/>
        <v>0</v>
      </c>
      <c r="AP48" s="25" t="b">
        <f t="shared" si="1"/>
        <v>0</v>
      </c>
      <c r="AQ48" s="25" t="b">
        <f t="shared" si="1"/>
        <v>0</v>
      </c>
      <c r="AR48" s="25" t="b">
        <f t="shared" si="1"/>
        <v>0</v>
      </c>
      <c r="AS48" s="25" t="b">
        <f t="shared" si="1"/>
        <v>0</v>
      </c>
      <c r="AT48" s="25" t="b">
        <f t="shared" si="1"/>
        <v>0</v>
      </c>
      <c r="AU48" s="25" t="b">
        <f t="shared" si="1"/>
        <v>0</v>
      </c>
      <c r="AV48" s="25" t="b">
        <f t="shared" si="1"/>
        <v>0</v>
      </c>
      <c r="AW48" s="25" t="b">
        <f t="shared" si="1"/>
        <v>0</v>
      </c>
      <c r="AX48" s="25" t="b">
        <f t="shared" si="1"/>
        <v>0</v>
      </c>
      <c r="AY48" s="25" t="b">
        <f t="shared" si="1"/>
        <v>0</v>
      </c>
      <c r="AZ48" s="25" t="b">
        <f t="shared" si="1"/>
        <v>0</v>
      </c>
      <c r="BA48" s="25" t="b">
        <f t="shared" si="1"/>
        <v>0</v>
      </c>
      <c r="BB48" s="25" t="b">
        <f t="shared" si="1"/>
        <v>0</v>
      </c>
      <c r="BC48" s="25" t="b">
        <f t="shared" si="1"/>
        <v>0</v>
      </c>
      <c r="BD48" s="25" t="b">
        <f t="shared" si="1"/>
        <v>0</v>
      </c>
      <c r="BE48" s="25" t="b">
        <f t="shared" si="1"/>
        <v>0</v>
      </c>
      <c r="BF48" s="25" t="b">
        <f t="shared" si="1"/>
        <v>0</v>
      </c>
      <c r="BG48" s="25" t="b">
        <f t="shared" si="1"/>
        <v>0</v>
      </c>
      <c r="BH48" s="25" t="b">
        <f t="shared" si="1"/>
        <v>0</v>
      </c>
      <c r="BI48" s="25" t="b">
        <f t="shared" si="1"/>
        <v>0</v>
      </c>
      <c r="BJ48" s="25" t="b">
        <f t="shared" si="1"/>
        <v>0</v>
      </c>
      <c r="BK48" s="25" t="b">
        <f t="shared" si="1"/>
        <v>0</v>
      </c>
      <c r="BL48" s="25" t="b">
        <f t="shared" si="1"/>
        <v>0</v>
      </c>
      <c r="BM48" s="25" t="b">
        <f t="shared" si="1"/>
        <v>0</v>
      </c>
      <c r="BN48" s="25" t="b">
        <f t="shared" si="1"/>
        <v>0</v>
      </c>
      <c r="BO48" s="25" t="b">
        <f t="shared" ref="BO48:CD48" si="2">IF($B$48,(ROUND((($B$48/$CE$61)*BO61),0)))</f>
        <v>0</v>
      </c>
      <c r="BP48" s="25" t="b">
        <f t="shared" si="2"/>
        <v>0</v>
      </c>
      <c r="BQ48" s="25" t="b">
        <f t="shared" si="2"/>
        <v>0</v>
      </c>
      <c r="BR48" s="25" t="b">
        <f t="shared" si="2"/>
        <v>0</v>
      </c>
      <c r="BS48" s="25" t="b">
        <f t="shared" si="2"/>
        <v>0</v>
      </c>
      <c r="BT48" s="25" t="b">
        <f t="shared" si="2"/>
        <v>0</v>
      </c>
      <c r="BU48" s="25" t="b">
        <f t="shared" si="2"/>
        <v>0</v>
      </c>
      <c r="BV48" s="25" t="b">
        <f t="shared" si="2"/>
        <v>0</v>
      </c>
      <c r="BW48" s="25" t="b">
        <f t="shared" si="2"/>
        <v>0</v>
      </c>
      <c r="BX48" s="25" t="b">
        <f t="shared" si="2"/>
        <v>0</v>
      </c>
      <c r="BY48" s="25" t="b">
        <f t="shared" si="2"/>
        <v>0</v>
      </c>
      <c r="BZ48" s="25" t="b">
        <f t="shared" si="2"/>
        <v>0</v>
      </c>
      <c r="CA48" s="25" t="b">
        <f t="shared" si="2"/>
        <v>0</v>
      </c>
      <c r="CB48" s="25" t="b">
        <f t="shared" si="2"/>
        <v>0</v>
      </c>
      <c r="CC48" s="25" t="b">
        <f t="shared" si="2"/>
        <v>0</v>
      </c>
      <c r="CD48" s="25" t="b">
        <f t="shared" si="2"/>
        <v>0</v>
      </c>
      <c r="CE48" s="25">
        <f>SUM(C48:CD48)</f>
        <v>0</v>
      </c>
    </row>
    <row r="49" spans="1:83" x14ac:dyDescent="0.25">
      <c r="A49" s="16" t="s">
        <v>232</v>
      </c>
      <c r="B49" s="25">
        <f>B47+B48</f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/>
      <c r="C51" s="273">
        <v>2357154.9</v>
      </c>
      <c r="D51" s="273">
        <v>2913988.97</v>
      </c>
      <c r="E51" s="273">
        <v>415670.43</v>
      </c>
      <c r="F51" s="273">
        <v>1972.16</v>
      </c>
      <c r="G51" s="273">
        <v>0</v>
      </c>
      <c r="H51" s="273">
        <v>230017.89</v>
      </c>
      <c r="I51" s="273">
        <v>0</v>
      </c>
      <c r="J51" s="273">
        <v>0</v>
      </c>
      <c r="K51" s="273">
        <v>0</v>
      </c>
      <c r="L51" s="273">
        <v>0</v>
      </c>
      <c r="M51" s="273">
        <v>0</v>
      </c>
      <c r="N51" s="273">
        <v>0</v>
      </c>
      <c r="O51" s="273">
        <v>1348654.17</v>
      </c>
      <c r="P51" s="273">
        <v>4056167.71</v>
      </c>
      <c r="Q51" s="273">
        <v>69548.77</v>
      </c>
      <c r="R51" s="273">
        <v>270819.44</v>
      </c>
      <c r="S51" s="273">
        <v>563783.76</v>
      </c>
      <c r="T51" s="273">
        <v>0</v>
      </c>
      <c r="U51" s="273">
        <v>719976.70000000007</v>
      </c>
      <c r="V51" s="273">
        <v>0</v>
      </c>
      <c r="W51" s="273">
        <v>840537.32000000007</v>
      </c>
      <c r="X51" s="273">
        <v>338409.52</v>
      </c>
      <c r="Y51" s="273">
        <v>1081630.26</v>
      </c>
      <c r="Z51" s="273">
        <v>0</v>
      </c>
      <c r="AA51" s="273">
        <v>22942.97</v>
      </c>
      <c r="AB51" s="273">
        <v>715313.27</v>
      </c>
      <c r="AC51" s="273">
        <v>184358.77</v>
      </c>
      <c r="AD51" s="273">
        <v>4128</v>
      </c>
      <c r="AE51" s="273">
        <v>14208</v>
      </c>
      <c r="AF51" s="273">
        <v>603</v>
      </c>
      <c r="AG51" s="273">
        <v>1990085.78</v>
      </c>
      <c r="AH51" s="273">
        <v>0</v>
      </c>
      <c r="AI51" s="273">
        <v>0</v>
      </c>
      <c r="AJ51" s="273">
        <v>40377.18</v>
      </c>
      <c r="AK51" s="273">
        <v>15955</v>
      </c>
      <c r="AL51" s="273">
        <v>1999.51</v>
      </c>
      <c r="AM51" s="273">
        <v>0</v>
      </c>
      <c r="AN51" s="273">
        <v>0</v>
      </c>
      <c r="AO51" s="273">
        <v>193431.25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322823.95</v>
      </c>
      <c r="AW51" s="273">
        <v>1290</v>
      </c>
      <c r="AX51" s="273">
        <v>0</v>
      </c>
      <c r="AY51" s="273">
        <v>141383.74</v>
      </c>
      <c r="AZ51" s="273">
        <v>0</v>
      </c>
      <c r="BA51" s="273">
        <v>0</v>
      </c>
      <c r="BB51" s="273">
        <v>10034</v>
      </c>
      <c r="BC51" s="273">
        <v>53</v>
      </c>
      <c r="BD51" s="273">
        <v>0</v>
      </c>
      <c r="BE51" s="273">
        <v>385171.75</v>
      </c>
      <c r="BF51" s="273">
        <v>28846.93</v>
      </c>
      <c r="BG51" s="273">
        <v>0</v>
      </c>
      <c r="BH51" s="273">
        <v>0</v>
      </c>
      <c r="BI51" s="273">
        <v>114095</v>
      </c>
      <c r="BJ51" s="273">
        <v>0</v>
      </c>
      <c r="BK51" s="273">
        <v>0</v>
      </c>
      <c r="BL51" s="273">
        <v>19403</v>
      </c>
      <c r="BM51" s="273">
        <v>0</v>
      </c>
      <c r="BN51" s="273">
        <v>0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0</v>
      </c>
      <c r="BY51" s="273">
        <v>0</v>
      </c>
      <c r="BZ51" s="273">
        <v>0</v>
      </c>
      <c r="CA51" s="273">
        <v>0</v>
      </c>
      <c r="CB51" s="273">
        <v>0</v>
      </c>
      <c r="CC51" s="273">
        <v>1014520.0499999997</v>
      </c>
      <c r="CD51" s="16"/>
      <c r="CE51" s="25">
        <f>SUM(C51:CD51)</f>
        <v>20429356.149999999</v>
      </c>
    </row>
    <row r="52" spans="1:83" x14ac:dyDescent="0.25">
      <c r="A52" s="31" t="s">
        <v>234</v>
      </c>
      <c r="B52" s="272"/>
      <c r="C52" s="25" t="b">
        <f t="shared" ref="C52:AH52" si="3">IF($B$52,ROUND(($B$52/($CE$90+$CF$90)*C90),0))</f>
        <v>0</v>
      </c>
      <c r="D52" s="25" t="b">
        <f t="shared" si="3"/>
        <v>0</v>
      </c>
      <c r="E52" s="25" t="b">
        <f t="shared" si="3"/>
        <v>0</v>
      </c>
      <c r="F52" s="25" t="b">
        <f t="shared" si="3"/>
        <v>0</v>
      </c>
      <c r="G52" s="25" t="b">
        <f t="shared" si="3"/>
        <v>0</v>
      </c>
      <c r="H52" s="25" t="b">
        <f t="shared" si="3"/>
        <v>0</v>
      </c>
      <c r="I52" s="25" t="b">
        <f t="shared" si="3"/>
        <v>0</v>
      </c>
      <c r="J52" s="25" t="b">
        <f t="shared" si="3"/>
        <v>0</v>
      </c>
      <c r="K52" s="25" t="b">
        <f t="shared" si="3"/>
        <v>0</v>
      </c>
      <c r="L52" s="25" t="b">
        <f t="shared" si="3"/>
        <v>0</v>
      </c>
      <c r="M52" s="25" t="b">
        <f t="shared" si="3"/>
        <v>0</v>
      </c>
      <c r="N52" s="25" t="b">
        <f t="shared" si="3"/>
        <v>0</v>
      </c>
      <c r="O52" s="25" t="b">
        <f t="shared" si="3"/>
        <v>0</v>
      </c>
      <c r="P52" s="25" t="b">
        <f t="shared" si="3"/>
        <v>0</v>
      </c>
      <c r="Q52" s="25" t="b">
        <f t="shared" si="3"/>
        <v>0</v>
      </c>
      <c r="R52" s="25" t="b">
        <f t="shared" si="3"/>
        <v>0</v>
      </c>
      <c r="S52" s="25" t="b">
        <f t="shared" si="3"/>
        <v>0</v>
      </c>
      <c r="T52" s="25" t="b">
        <f t="shared" si="3"/>
        <v>0</v>
      </c>
      <c r="U52" s="25" t="b">
        <f t="shared" si="3"/>
        <v>0</v>
      </c>
      <c r="V52" s="25" t="b">
        <f t="shared" si="3"/>
        <v>0</v>
      </c>
      <c r="W52" s="25" t="b">
        <f t="shared" si="3"/>
        <v>0</v>
      </c>
      <c r="X52" s="25" t="b">
        <f t="shared" si="3"/>
        <v>0</v>
      </c>
      <c r="Y52" s="25" t="b">
        <f t="shared" si="3"/>
        <v>0</v>
      </c>
      <c r="Z52" s="25" t="b">
        <f t="shared" si="3"/>
        <v>0</v>
      </c>
      <c r="AA52" s="25" t="b">
        <f t="shared" si="3"/>
        <v>0</v>
      </c>
      <c r="AB52" s="25" t="b">
        <f t="shared" si="3"/>
        <v>0</v>
      </c>
      <c r="AC52" s="25" t="b">
        <f t="shared" si="3"/>
        <v>0</v>
      </c>
      <c r="AD52" s="25" t="b">
        <f t="shared" si="3"/>
        <v>0</v>
      </c>
      <c r="AE52" s="25" t="b">
        <f t="shared" si="3"/>
        <v>0</v>
      </c>
      <c r="AF52" s="25" t="b">
        <f t="shared" si="3"/>
        <v>0</v>
      </c>
      <c r="AG52" s="25" t="b">
        <f t="shared" si="3"/>
        <v>0</v>
      </c>
      <c r="AH52" s="25" t="b">
        <f t="shared" si="3"/>
        <v>0</v>
      </c>
      <c r="AI52" s="25" t="b">
        <f t="shared" ref="AI52:BN52" si="4">IF($B$52,ROUND(($B$52/($CE$90+$CF$90)*AI90),0))</f>
        <v>0</v>
      </c>
      <c r="AJ52" s="25" t="b">
        <f t="shared" si="4"/>
        <v>0</v>
      </c>
      <c r="AK52" s="25" t="b">
        <f t="shared" si="4"/>
        <v>0</v>
      </c>
      <c r="AL52" s="25" t="b">
        <f t="shared" si="4"/>
        <v>0</v>
      </c>
      <c r="AM52" s="25" t="b">
        <f t="shared" si="4"/>
        <v>0</v>
      </c>
      <c r="AN52" s="25" t="b">
        <f t="shared" si="4"/>
        <v>0</v>
      </c>
      <c r="AO52" s="25" t="b">
        <f t="shared" si="4"/>
        <v>0</v>
      </c>
      <c r="AP52" s="25" t="b">
        <f t="shared" si="4"/>
        <v>0</v>
      </c>
      <c r="AQ52" s="25" t="b">
        <f t="shared" si="4"/>
        <v>0</v>
      </c>
      <c r="AR52" s="25" t="b">
        <f t="shared" si="4"/>
        <v>0</v>
      </c>
      <c r="AS52" s="25" t="b">
        <f t="shared" si="4"/>
        <v>0</v>
      </c>
      <c r="AT52" s="25" t="b">
        <f t="shared" si="4"/>
        <v>0</v>
      </c>
      <c r="AU52" s="25" t="b">
        <f t="shared" si="4"/>
        <v>0</v>
      </c>
      <c r="AV52" s="25" t="b">
        <f t="shared" si="4"/>
        <v>0</v>
      </c>
      <c r="AW52" s="25" t="b">
        <f t="shared" si="4"/>
        <v>0</v>
      </c>
      <c r="AX52" s="25" t="b">
        <f t="shared" si="4"/>
        <v>0</v>
      </c>
      <c r="AY52" s="25" t="b">
        <f t="shared" si="4"/>
        <v>0</v>
      </c>
      <c r="AZ52" s="25" t="b">
        <f t="shared" si="4"/>
        <v>0</v>
      </c>
      <c r="BA52" s="25" t="b">
        <f t="shared" si="4"/>
        <v>0</v>
      </c>
      <c r="BB52" s="25" t="b">
        <f t="shared" si="4"/>
        <v>0</v>
      </c>
      <c r="BC52" s="25" t="b">
        <f t="shared" si="4"/>
        <v>0</v>
      </c>
      <c r="BD52" s="25" t="b">
        <f t="shared" si="4"/>
        <v>0</v>
      </c>
      <c r="BE52" s="25" t="b">
        <f t="shared" si="4"/>
        <v>0</v>
      </c>
      <c r="BF52" s="25" t="b">
        <f t="shared" si="4"/>
        <v>0</v>
      </c>
      <c r="BG52" s="25" t="b">
        <f t="shared" si="4"/>
        <v>0</v>
      </c>
      <c r="BH52" s="25" t="b">
        <f t="shared" si="4"/>
        <v>0</v>
      </c>
      <c r="BI52" s="25" t="b">
        <f t="shared" si="4"/>
        <v>0</v>
      </c>
      <c r="BJ52" s="25" t="b">
        <f t="shared" si="4"/>
        <v>0</v>
      </c>
      <c r="BK52" s="25" t="b">
        <f t="shared" si="4"/>
        <v>0</v>
      </c>
      <c r="BL52" s="25" t="b">
        <f t="shared" si="4"/>
        <v>0</v>
      </c>
      <c r="BM52" s="25" t="b">
        <f t="shared" si="4"/>
        <v>0</v>
      </c>
      <c r="BN52" s="25" t="b">
        <f t="shared" si="4"/>
        <v>0</v>
      </c>
      <c r="BO52" s="25" t="b">
        <f t="shared" ref="BO52:CD52" si="5">IF($B$52,ROUND(($B$52/($CE$90+$CF$90)*BO90),0))</f>
        <v>0</v>
      </c>
      <c r="BP52" s="25" t="b">
        <f t="shared" si="5"/>
        <v>0</v>
      </c>
      <c r="BQ52" s="25" t="b">
        <f t="shared" si="5"/>
        <v>0</v>
      </c>
      <c r="BR52" s="25" t="b">
        <f t="shared" si="5"/>
        <v>0</v>
      </c>
      <c r="BS52" s="25" t="b">
        <f t="shared" si="5"/>
        <v>0</v>
      </c>
      <c r="BT52" s="25" t="b">
        <f t="shared" si="5"/>
        <v>0</v>
      </c>
      <c r="BU52" s="25" t="b">
        <f t="shared" si="5"/>
        <v>0</v>
      </c>
      <c r="BV52" s="25" t="b">
        <f t="shared" si="5"/>
        <v>0</v>
      </c>
      <c r="BW52" s="25" t="b">
        <f t="shared" si="5"/>
        <v>0</v>
      </c>
      <c r="BX52" s="25" t="b">
        <f t="shared" si="5"/>
        <v>0</v>
      </c>
      <c r="BY52" s="25" t="b">
        <f t="shared" si="5"/>
        <v>0</v>
      </c>
      <c r="BZ52" s="25" t="b">
        <f t="shared" si="5"/>
        <v>0</v>
      </c>
      <c r="CA52" s="25" t="b">
        <f t="shared" si="5"/>
        <v>0</v>
      </c>
      <c r="CB52" s="25" t="b">
        <f t="shared" si="5"/>
        <v>0</v>
      </c>
      <c r="CC52" s="25" t="b">
        <f t="shared" si="5"/>
        <v>0</v>
      </c>
      <c r="CD52" s="25" t="b">
        <f t="shared" si="5"/>
        <v>0</v>
      </c>
      <c r="CE52" s="25">
        <f>SUM(C52:CD52)</f>
        <v>0</v>
      </c>
    </row>
    <row r="53" spans="1:83" x14ac:dyDescent="0.25">
      <c r="A53" s="16" t="s">
        <v>232</v>
      </c>
      <c r="B53" s="25">
        <f>B51+B52</f>
        <v>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>
        <v>65197</v>
      </c>
      <c r="D59" s="273">
        <v>30173</v>
      </c>
      <c r="E59" s="273">
        <v>7524</v>
      </c>
      <c r="F59" s="273">
        <v>9241</v>
      </c>
      <c r="G59" s="273">
        <v>0</v>
      </c>
      <c r="H59" s="273">
        <v>7066</v>
      </c>
      <c r="I59" s="273">
        <v>0</v>
      </c>
      <c r="J59" s="273">
        <v>5218</v>
      </c>
      <c r="K59" s="273">
        <v>0</v>
      </c>
      <c r="L59" s="273">
        <v>0</v>
      </c>
      <c r="M59" s="273">
        <v>422</v>
      </c>
      <c r="N59" s="273">
        <v>4729</v>
      </c>
      <c r="O59" s="273">
        <v>3396</v>
      </c>
      <c r="P59" s="274">
        <v>8392125</v>
      </c>
      <c r="Q59" s="275">
        <v>2892920</v>
      </c>
      <c r="R59" s="275">
        <v>0</v>
      </c>
      <c r="S59" s="263">
        <v>0</v>
      </c>
      <c r="T59" s="263">
        <v>0</v>
      </c>
      <c r="U59" s="276">
        <v>1873775</v>
      </c>
      <c r="V59" s="275">
        <v>0</v>
      </c>
      <c r="W59" s="275">
        <v>49529</v>
      </c>
      <c r="X59" s="275">
        <v>83810</v>
      </c>
      <c r="Y59" s="275">
        <v>246741</v>
      </c>
      <c r="Z59" s="275">
        <v>0</v>
      </c>
      <c r="AA59" s="275">
        <v>2165</v>
      </c>
      <c r="AB59" s="263">
        <v>0</v>
      </c>
      <c r="AC59" s="275">
        <v>206921</v>
      </c>
      <c r="AD59" s="275">
        <v>0</v>
      </c>
      <c r="AE59" s="275">
        <v>0</v>
      </c>
      <c r="AF59" s="275">
        <v>0</v>
      </c>
      <c r="AG59" s="275">
        <v>136782</v>
      </c>
      <c r="AH59" s="275">
        <v>0</v>
      </c>
      <c r="AI59" s="275">
        <v>0</v>
      </c>
      <c r="AJ59" s="275">
        <v>0</v>
      </c>
      <c r="AK59" s="275">
        <v>57077</v>
      </c>
      <c r="AL59" s="275">
        <v>9424</v>
      </c>
      <c r="AM59" s="275">
        <v>0</v>
      </c>
      <c r="AN59" s="275">
        <v>0</v>
      </c>
      <c r="AO59" s="275"/>
      <c r="AP59" s="275"/>
      <c r="AQ59" s="275">
        <v>0</v>
      </c>
      <c r="AR59" s="275"/>
      <c r="AS59" s="275">
        <v>0</v>
      </c>
      <c r="AT59" s="275"/>
      <c r="AU59" s="275">
        <v>0</v>
      </c>
      <c r="AV59" s="263">
        <v>0</v>
      </c>
      <c r="AW59" s="263">
        <v>0</v>
      </c>
      <c r="AX59" s="263">
        <v>0</v>
      </c>
      <c r="AY59" s="275">
        <v>384908</v>
      </c>
      <c r="AZ59" s="275"/>
      <c r="BA59" s="263">
        <v>0</v>
      </c>
      <c r="BB59" s="263">
        <v>0</v>
      </c>
      <c r="BC59" s="263">
        <v>0</v>
      </c>
      <c r="BD59" s="263">
        <v>0</v>
      </c>
      <c r="BE59" s="275">
        <v>515622.34499999986</v>
      </c>
      <c r="BF59" s="263">
        <v>0</v>
      </c>
      <c r="BG59" s="263">
        <v>0</v>
      </c>
      <c r="BH59" s="263">
        <v>0</v>
      </c>
      <c r="BI59" s="263">
        <v>0</v>
      </c>
      <c r="BJ59" s="263">
        <v>0</v>
      </c>
      <c r="BK59" s="263">
        <v>0</v>
      </c>
      <c r="BL59" s="263">
        <v>0</v>
      </c>
      <c r="BM59" s="263">
        <v>0</v>
      </c>
      <c r="BN59" s="263">
        <v>0</v>
      </c>
      <c r="BO59" s="263">
        <v>0</v>
      </c>
      <c r="BP59" s="263">
        <v>0</v>
      </c>
      <c r="BQ59" s="263">
        <v>0</v>
      </c>
      <c r="BR59" s="263">
        <v>0</v>
      </c>
      <c r="BS59" s="263">
        <v>0</v>
      </c>
      <c r="BT59" s="263">
        <v>0</v>
      </c>
      <c r="BU59" s="263">
        <v>0</v>
      </c>
      <c r="BV59" s="263">
        <v>0</v>
      </c>
      <c r="BW59" s="263">
        <v>0</v>
      </c>
      <c r="BX59" s="263">
        <v>0</v>
      </c>
      <c r="BY59" s="263">
        <v>0</v>
      </c>
      <c r="BZ59" s="263">
        <v>0</v>
      </c>
      <c r="CA59" s="263">
        <v>0</v>
      </c>
      <c r="CB59" s="263">
        <v>0</v>
      </c>
      <c r="CC59" s="263">
        <v>0</v>
      </c>
      <c r="CD59" s="224">
        <v>0</v>
      </c>
      <c r="CE59" s="25">
        <v>0</v>
      </c>
    </row>
    <row r="60" spans="1:83" s="201" customFormat="1" x14ac:dyDescent="0.25">
      <c r="A60" s="207" t="s">
        <v>261</v>
      </c>
      <c r="B60" s="208"/>
      <c r="C60" s="277">
        <v>589</v>
      </c>
      <c r="D60" s="277">
        <v>446</v>
      </c>
      <c r="E60" s="277">
        <v>95</v>
      </c>
      <c r="F60" s="277">
        <v>62</v>
      </c>
      <c r="G60" s="277">
        <v>0</v>
      </c>
      <c r="H60" s="277">
        <v>86</v>
      </c>
      <c r="I60" s="277">
        <v>0</v>
      </c>
      <c r="J60" s="277">
        <v>0</v>
      </c>
      <c r="K60" s="277">
        <v>0</v>
      </c>
      <c r="L60" s="277">
        <v>0</v>
      </c>
      <c r="M60" s="277">
        <v>0</v>
      </c>
      <c r="N60" s="277">
        <v>0</v>
      </c>
      <c r="O60" s="277">
        <v>156</v>
      </c>
      <c r="P60" s="274">
        <v>366</v>
      </c>
      <c r="Q60" s="274">
        <v>20</v>
      </c>
      <c r="R60" s="274">
        <v>98</v>
      </c>
      <c r="S60" s="278">
        <v>61</v>
      </c>
      <c r="T60" s="278">
        <v>0</v>
      </c>
      <c r="U60" s="279">
        <v>405</v>
      </c>
      <c r="V60" s="274">
        <v>0</v>
      </c>
      <c r="W60" s="274">
        <v>47</v>
      </c>
      <c r="X60" s="274">
        <v>39</v>
      </c>
      <c r="Y60" s="274">
        <v>106</v>
      </c>
      <c r="Z60" s="274">
        <v>0</v>
      </c>
      <c r="AA60" s="274">
        <v>6</v>
      </c>
      <c r="AB60" s="278">
        <v>213</v>
      </c>
      <c r="AC60" s="274">
        <v>67</v>
      </c>
      <c r="AD60" s="274">
        <v>0</v>
      </c>
      <c r="AE60" s="274">
        <v>0</v>
      </c>
      <c r="AF60" s="274">
        <v>0</v>
      </c>
      <c r="AG60" s="274">
        <v>269</v>
      </c>
      <c r="AH60" s="274">
        <v>0</v>
      </c>
      <c r="AI60" s="274">
        <v>0</v>
      </c>
      <c r="AJ60" s="274">
        <v>68</v>
      </c>
      <c r="AK60" s="274">
        <v>46</v>
      </c>
      <c r="AL60" s="274">
        <v>11</v>
      </c>
      <c r="AM60" s="274">
        <v>0</v>
      </c>
      <c r="AN60" s="274">
        <v>0</v>
      </c>
      <c r="AO60" s="274">
        <v>88</v>
      </c>
      <c r="AP60" s="274">
        <v>0</v>
      </c>
      <c r="AQ60" s="274">
        <v>0</v>
      </c>
      <c r="AR60" s="274">
        <v>0</v>
      </c>
      <c r="AS60" s="274">
        <v>0</v>
      </c>
      <c r="AT60" s="274">
        <v>0</v>
      </c>
      <c r="AU60" s="274">
        <v>0</v>
      </c>
      <c r="AV60" s="278">
        <v>34</v>
      </c>
      <c r="AW60" s="278">
        <v>108</v>
      </c>
      <c r="AX60" s="278">
        <v>0</v>
      </c>
      <c r="AY60" s="274">
        <v>26</v>
      </c>
      <c r="AZ60" s="274">
        <v>0</v>
      </c>
      <c r="BA60" s="278">
        <v>0</v>
      </c>
      <c r="BB60" s="278">
        <v>28</v>
      </c>
      <c r="BC60" s="278">
        <v>13</v>
      </c>
      <c r="BD60" s="278">
        <v>0</v>
      </c>
      <c r="BE60" s="274">
        <v>11</v>
      </c>
      <c r="BF60" s="278">
        <v>26</v>
      </c>
      <c r="BG60" s="278">
        <v>0</v>
      </c>
      <c r="BH60" s="278">
        <v>0</v>
      </c>
      <c r="BI60" s="278">
        <v>11</v>
      </c>
      <c r="BJ60" s="278">
        <v>0</v>
      </c>
      <c r="BK60" s="278">
        <v>0</v>
      </c>
      <c r="BL60" s="278">
        <v>32</v>
      </c>
      <c r="BM60" s="278">
        <v>0</v>
      </c>
      <c r="BN60" s="278">
        <v>0</v>
      </c>
      <c r="BO60" s="278">
        <v>0</v>
      </c>
      <c r="BP60" s="278">
        <v>0</v>
      </c>
      <c r="BQ60" s="278">
        <v>0</v>
      </c>
      <c r="BR60" s="278">
        <v>0</v>
      </c>
      <c r="BS60" s="278">
        <v>0</v>
      </c>
      <c r="BT60" s="278">
        <v>0</v>
      </c>
      <c r="BU60" s="278">
        <v>0</v>
      </c>
      <c r="BV60" s="278">
        <v>0</v>
      </c>
      <c r="BW60" s="278">
        <v>0</v>
      </c>
      <c r="BX60" s="278">
        <v>0</v>
      </c>
      <c r="BY60" s="278">
        <v>0</v>
      </c>
      <c r="BZ60" s="278">
        <v>66</v>
      </c>
      <c r="CA60" s="278">
        <v>0</v>
      </c>
      <c r="CB60" s="278">
        <v>0</v>
      </c>
      <c r="CC60" s="278">
        <v>130</v>
      </c>
      <c r="CD60" s="209" t="s">
        <v>247</v>
      </c>
      <c r="CE60" s="227">
        <f t="shared" ref="CE60:CE68" si="6">SUM(C60:CD60)</f>
        <v>3829</v>
      </c>
    </row>
    <row r="61" spans="1:83" x14ac:dyDescent="0.25">
      <c r="A61" s="31" t="s">
        <v>262</v>
      </c>
      <c r="B61" s="16"/>
      <c r="C61" s="273">
        <v>63438896.110000007</v>
      </c>
      <c r="D61" s="273">
        <v>61184402.370000005</v>
      </c>
      <c r="E61" s="273">
        <v>13351850.540000003</v>
      </c>
      <c r="F61" s="273">
        <v>5772018.3999999994</v>
      </c>
      <c r="G61" s="273">
        <v>0</v>
      </c>
      <c r="H61" s="273">
        <v>7228270.4000000004</v>
      </c>
      <c r="I61" s="273">
        <v>0</v>
      </c>
      <c r="J61" s="273">
        <v>0</v>
      </c>
      <c r="K61" s="273">
        <v>0</v>
      </c>
      <c r="L61" s="273">
        <v>0</v>
      </c>
      <c r="M61" s="273">
        <v>0</v>
      </c>
      <c r="N61" s="273">
        <v>0</v>
      </c>
      <c r="O61" s="273">
        <v>18992881.760000002</v>
      </c>
      <c r="P61" s="275">
        <v>39169985.229999997</v>
      </c>
      <c r="Q61" s="275">
        <v>2142764.88</v>
      </c>
      <c r="R61" s="275">
        <v>11049020.819999998</v>
      </c>
      <c r="S61" s="280">
        <v>4093212.2100000004</v>
      </c>
      <c r="T61" s="280">
        <v>0</v>
      </c>
      <c r="U61" s="276">
        <v>26048791.66</v>
      </c>
      <c r="V61" s="275">
        <v>0</v>
      </c>
      <c r="W61" s="275">
        <v>4556704.2700000005</v>
      </c>
      <c r="X61" s="275">
        <v>3363755.99</v>
      </c>
      <c r="Y61" s="275">
        <v>9993113.4900000021</v>
      </c>
      <c r="Z61" s="275">
        <v>0</v>
      </c>
      <c r="AA61" s="275">
        <v>750347.53</v>
      </c>
      <c r="AB61" s="281">
        <v>21318105.529999997</v>
      </c>
      <c r="AC61" s="275">
        <v>5130854.2600000007</v>
      </c>
      <c r="AD61" s="275">
        <v>0</v>
      </c>
      <c r="AE61" s="275">
        <v>0</v>
      </c>
      <c r="AF61" s="275">
        <v>779.35</v>
      </c>
      <c r="AG61" s="275">
        <v>27011609.359999999</v>
      </c>
      <c r="AH61" s="275">
        <v>0</v>
      </c>
      <c r="AI61" s="275">
        <v>0</v>
      </c>
      <c r="AJ61" s="275">
        <v>6958161.0999999996</v>
      </c>
      <c r="AK61" s="275">
        <v>3135099.06</v>
      </c>
      <c r="AL61" s="275">
        <v>977480.81</v>
      </c>
      <c r="AM61" s="275">
        <v>0</v>
      </c>
      <c r="AN61" s="275">
        <v>0</v>
      </c>
      <c r="AO61" s="275">
        <v>13854528.820000002</v>
      </c>
      <c r="AP61" s="275">
        <v>0</v>
      </c>
      <c r="AQ61" s="275">
        <v>0</v>
      </c>
      <c r="AR61" s="275">
        <v>324.14999999999998</v>
      </c>
      <c r="AS61" s="275">
        <v>0</v>
      </c>
      <c r="AT61" s="275">
        <v>0</v>
      </c>
      <c r="AU61" s="275">
        <v>0</v>
      </c>
      <c r="AV61" s="280">
        <v>3936620.2600000002</v>
      </c>
      <c r="AW61" s="280">
        <v>11359271.199999999</v>
      </c>
      <c r="AX61" s="280">
        <v>0</v>
      </c>
      <c r="AY61" s="275">
        <v>1010579.7</v>
      </c>
      <c r="AZ61" s="275">
        <v>0</v>
      </c>
      <c r="BA61" s="280">
        <v>0</v>
      </c>
      <c r="BB61" s="280">
        <v>2419078.6100000003</v>
      </c>
      <c r="BC61" s="280">
        <v>514012.11</v>
      </c>
      <c r="BD61" s="280">
        <v>0</v>
      </c>
      <c r="BE61" s="275">
        <v>1063058.1100000001</v>
      </c>
      <c r="BF61" s="280">
        <v>1329222.73</v>
      </c>
      <c r="BG61" s="280">
        <v>0</v>
      </c>
      <c r="BH61" s="280">
        <v>0</v>
      </c>
      <c r="BI61" s="280">
        <v>733002.37999999989</v>
      </c>
      <c r="BJ61" s="280">
        <v>0</v>
      </c>
      <c r="BK61" s="280">
        <v>0</v>
      </c>
      <c r="BL61" s="280">
        <v>1836293.6</v>
      </c>
      <c r="BM61" s="280">
        <v>0</v>
      </c>
      <c r="BN61" s="280">
        <v>0</v>
      </c>
      <c r="BO61" s="280">
        <v>0</v>
      </c>
      <c r="BP61" s="280">
        <v>0</v>
      </c>
      <c r="BQ61" s="280">
        <v>0</v>
      </c>
      <c r="BR61" s="280">
        <v>0</v>
      </c>
      <c r="BS61" s="280">
        <v>0</v>
      </c>
      <c r="BT61" s="280">
        <v>0</v>
      </c>
      <c r="BU61" s="280">
        <v>0</v>
      </c>
      <c r="BV61" s="280">
        <v>0</v>
      </c>
      <c r="BW61" s="280">
        <v>0</v>
      </c>
      <c r="BX61" s="280">
        <v>0</v>
      </c>
      <c r="BY61" s="280">
        <v>0</v>
      </c>
      <c r="BZ61" s="280">
        <v>2267426.42</v>
      </c>
      <c r="CA61" s="280">
        <v>0</v>
      </c>
      <c r="CB61" s="280">
        <v>0</v>
      </c>
      <c r="CC61" s="280">
        <v>12889056.680000003</v>
      </c>
      <c r="CD61" s="24" t="s">
        <v>247</v>
      </c>
      <c r="CE61" s="25">
        <f t="shared" si="6"/>
        <v>388880579.90000004</v>
      </c>
    </row>
    <row r="62" spans="1:83" x14ac:dyDescent="0.25">
      <c r="A62" s="31" t="s">
        <v>10</v>
      </c>
      <c r="B62" s="16"/>
      <c r="C62" s="25">
        <f t="shared" ref="C62:AH62" si="7">ROUND(C47+C48,0)</f>
        <v>14429986</v>
      </c>
      <c r="D62" s="25">
        <f t="shared" si="7"/>
        <v>11056411</v>
      </c>
      <c r="E62" s="25">
        <f t="shared" si="7"/>
        <v>2204547</v>
      </c>
      <c r="F62" s="25">
        <f t="shared" si="7"/>
        <v>1276363</v>
      </c>
      <c r="G62" s="25">
        <f t="shared" si="7"/>
        <v>0</v>
      </c>
      <c r="H62" s="25">
        <f t="shared" si="7"/>
        <v>1628943</v>
      </c>
      <c r="I62" s="25">
        <f t="shared" si="7"/>
        <v>0</v>
      </c>
      <c r="J62" s="25">
        <f t="shared" si="7"/>
        <v>0</v>
      </c>
      <c r="K62" s="25">
        <f t="shared" si="7"/>
        <v>0</v>
      </c>
      <c r="L62" s="25">
        <f t="shared" si="7"/>
        <v>0</v>
      </c>
      <c r="M62" s="25">
        <f t="shared" si="7"/>
        <v>0</v>
      </c>
      <c r="N62" s="25">
        <f t="shared" si="7"/>
        <v>0</v>
      </c>
      <c r="O62" s="25">
        <f t="shared" si="7"/>
        <v>3577772</v>
      </c>
      <c r="P62" s="25">
        <f t="shared" si="7"/>
        <v>8307900</v>
      </c>
      <c r="Q62" s="25">
        <f t="shared" si="7"/>
        <v>505724</v>
      </c>
      <c r="R62" s="25">
        <f t="shared" si="7"/>
        <v>2273999</v>
      </c>
      <c r="S62" s="25">
        <f t="shared" si="7"/>
        <v>1357290</v>
      </c>
      <c r="T62" s="25">
        <f t="shared" si="7"/>
        <v>0</v>
      </c>
      <c r="U62" s="25">
        <f t="shared" si="7"/>
        <v>8241244</v>
      </c>
      <c r="V62" s="25">
        <f t="shared" si="7"/>
        <v>0</v>
      </c>
      <c r="W62" s="25">
        <f t="shared" si="7"/>
        <v>1031582</v>
      </c>
      <c r="X62" s="25">
        <f t="shared" si="7"/>
        <v>772852</v>
      </c>
      <c r="Y62" s="25">
        <f t="shared" si="7"/>
        <v>2211965</v>
      </c>
      <c r="Z62" s="25">
        <f t="shared" si="7"/>
        <v>0</v>
      </c>
      <c r="AA62" s="25">
        <f t="shared" si="7"/>
        <v>147537</v>
      </c>
      <c r="AB62" s="25">
        <f t="shared" si="7"/>
        <v>4920628</v>
      </c>
      <c r="AC62" s="25">
        <f t="shared" si="7"/>
        <v>1276820</v>
      </c>
      <c r="AD62" s="25">
        <f t="shared" si="7"/>
        <v>0</v>
      </c>
      <c r="AE62" s="25">
        <f t="shared" si="7"/>
        <v>0</v>
      </c>
      <c r="AF62" s="25">
        <f t="shared" si="7"/>
        <v>154</v>
      </c>
      <c r="AG62" s="25">
        <f t="shared" si="7"/>
        <v>6421965</v>
      </c>
      <c r="AH62" s="25">
        <f t="shared" si="7"/>
        <v>0</v>
      </c>
      <c r="AI62" s="25">
        <f t="shared" ref="AI62:BN62" si="8">ROUND(AI47+AI48,0)</f>
        <v>0</v>
      </c>
      <c r="AJ62" s="25">
        <f t="shared" si="8"/>
        <v>1541434</v>
      </c>
      <c r="AK62" s="25">
        <f t="shared" si="8"/>
        <v>789217</v>
      </c>
      <c r="AL62" s="25">
        <f t="shared" si="8"/>
        <v>210837</v>
      </c>
      <c r="AM62" s="25">
        <f t="shared" si="8"/>
        <v>0</v>
      </c>
      <c r="AN62" s="25">
        <f t="shared" si="8"/>
        <v>0</v>
      </c>
      <c r="AO62" s="25">
        <f t="shared" si="8"/>
        <v>2685040</v>
      </c>
      <c r="AP62" s="25">
        <f t="shared" si="8"/>
        <v>0</v>
      </c>
      <c r="AQ62" s="25">
        <f t="shared" si="8"/>
        <v>0</v>
      </c>
      <c r="AR62" s="25">
        <f t="shared" si="8"/>
        <v>64</v>
      </c>
      <c r="AS62" s="25">
        <f t="shared" si="8"/>
        <v>0</v>
      </c>
      <c r="AT62" s="25">
        <f t="shared" si="8"/>
        <v>0</v>
      </c>
      <c r="AU62" s="25">
        <f t="shared" si="8"/>
        <v>0</v>
      </c>
      <c r="AV62" s="25">
        <f t="shared" si="8"/>
        <v>819949</v>
      </c>
      <c r="AW62" s="25">
        <f t="shared" si="8"/>
        <v>2569024</v>
      </c>
      <c r="AX62" s="25">
        <f t="shared" si="8"/>
        <v>0</v>
      </c>
      <c r="AY62" s="25">
        <f t="shared" si="8"/>
        <v>350690</v>
      </c>
      <c r="AZ62" s="25">
        <f t="shared" si="8"/>
        <v>0</v>
      </c>
      <c r="BA62" s="25">
        <f t="shared" si="8"/>
        <v>0</v>
      </c>
      <c r="BB62" s="25">
        <f t="shared" si="8"/>
        <v>622297</v>
      </c>
      <c r="BC62" s="25">
        <f t="shared" si="8"/>
        <v>220491</v>
      </c>
      <c r="BD62" s="25">
        <f t="shared" si="8"/>
        <v>0</v>
      </c>
      <c r="BE62" s="25">
        <f t="shared" si="8"/>
        <v>261703</v>
      </c>
      <c r="BF62" s="25">
        <f t="shared" si="8"/>
        <v>550154</v>
      </c>
      <c r="BG62" s="25">
        <f t="shared" si="8"/>
        <v>0</v>
      </c>
      <c r="BH62" s="25">
        <f t="shared" si="8"/>
        <v>0</v>
      </c>
      <c r="BI62" s="25">
        <f t="shared" si="8"/>
        <v>259847</v>
      </c>
      <c r="BJ62" s="25">
        <f t="shared" si="8"/>
        <v>0</v>
      </c>
      <c r="BK62" s="25">
        <f t="shared" si="8"/>
        <v>0</v>
      </c>
      <c r="BL62" s="25">
        <f t="shared" si="8"/>
        <v>721418</v>
      </c>
      <c r="BM62" s="25">
        <f t="shared" si="8"/>
        <v>0</v>
      </c>
      <c r="BN62" s="25">
        <f t="shared" si="8"/>
        <v>0</v>
      </c>
      <c r="BO62" s="25">
        <f t="shared" ref="BO62:CC62" si="9">ROUND(BO47+BO48,0)</f>
        <v>0</v>
      </c>
      <c r="BP62" s="25">
        <f t="shared" si="9"/>
        <v>1056</v>
      </c>
      <c r="BQ62" s="25">
        <f t="shared" si="9"/>
        <v>0</v>
      </c>
      <c r="BR62" s="25">
        <f t="shared" si="9"/>
        <v>0</v>
      </c>
      <c r="BS62" s="25">
        <f t="shared" si="9"/>
        <v>0</v>
      </c>
      <c r="BT62" s="25">
        <f t="shared" si="9"/>
        <v>0</v>
      </c>
      <c r="BU62" s="25">
        <f t="shared" si="9"/>
        <v>0</v>
      </c>
      <c r="BV62" s="25">
        <f t="shared" si="9"/>
        <v>0</v>
      </c>
      <c r="BW62" s="25">
        <f t="shared" si="9"/>
        <v>0</v>
      </c>
      <c r="BX62" s="25">
        <f t="shared" si="9"/>
        <v>0</v>
      </c>
      <c r="BY62" s="25">
        <f t="shared" si="9"/>
        <v>0</v>
      </c>
      <c r="BZ62" s="25">
        <f t="shared" si="9"/>
        <v>364572</v>
      </c>
      <c r="CA62" s="25">
        <f t="shared" si="9"/>
        <v>0</v>
      </c>
      <c r="CB62" s="25">
        <f t="shared" si="9"/>
        <v>0</v>
      </c>
      <c r="CC62" s="25">
        <f t="shared" si="9"/>
        <v>2866008</v>
      </c>
      <c r="CD62" s="24" t="s">
        <v>247</v>
      </c>
      <c r="CE62" s="25">
        <f t="shared" si="6"/>
        <v>86477483</v>
      </c>
    </row>
    <row r="63" spans="1:83" x14ac:dyDescent="0.25">
      <c r="A63" s="31" t="s">
        <v>263</v>
      </c>
      <c r="B63" s="16"/>
      <c r="C63" s="273">
        <v>11861637.1</v>
      </c>
      <c r="D63" s="273">
        <v>479237.62</v>
      </c>
      <c r="E63" s="273">
        <v>-228209.25999999998</v>
      </c>
      <c r="F63" s="273">
        <v>205508.81</v>
      </c>
      <c r="G63" s="273">
        <v>0</v>
      </c>
      <c r="H63" s="273">
        <v>1060330.8</v>
      </c>
      <c r="I63" s="273">
        <v>0</v>
      </c>
      <c r="J63" s="273">
        <v>0</v>
      </c>
      <c r="K63" s="273">
        <v>0</v>
      </c>
      <c r="L63" s="273">
        <v>0</v>
      </c>
      <c r="M63" s="273">
        <v>0</v>
      </c>
      <c r="N63" s="273">
        <v>0</v>
      </c>
      <c r="O63" s="273">
        <v>2564841.9500000002</v>
      </c>
      <c r="P63" s="275">
        <v>19469640.690000001</v>
      </c>
      <c r="Q63" s="275">
        <v>1500</v>
      </c>
      <c r="R63" s="275">
        <v>1000</v>
      </c>
      <c r="S63" s="280">
        <v>322689.90999999997</v>
      </c>
      <c r="T63" s="280">
        <v>0</v>
      </c>
      <c r="U63" s="276">
        <v>0</v>
      </c>
      <c r="V63" s="275">
        <v>0</v>
      </c>
      <c r="W63" s="275">
        <v>0</v>
      </c>
      <c r="X63" s="275">
        <v>0</v>
      </c>
      <c r="Y63" s="275">
        <v>6915</v>
      </c>
      <c r="Z63" s="275">
        <v>0</v>
      </c>
      <c r="AA63" s="275">
        <v>0</v>
      </c>
      <c r="AB63" s="281">
        <v>6500</v>
      </c>
      <c r="AC63" s="275">
        <v>0</v>
      </c>
      <c r="AD63" s="275">
        <v>0</v>
      </c>
      <c r="AE63" s="275">
        <v>0</v>
      </c>
      <c r="AF63" s="275">
        <v>0</v>
      </c>
      <c r="AG63" s="275">
        <v>2740357.47</v>
      </c>
      <c r="AH63" s="275">
        <v>0</v>
      </c>
      <c r="AI63" s="275">
        <v>0</v>
      </c>
      <c r="AJ63" s="275">
        <v>2275</v>
      </c>
      <c r="AK63" s="275">
        <v>0</v>
      </c>
      <c r="AL63" s="275">
        <v>0</v>
      </c>
      <c r="AM63" s="275">
        <v>0</v>
      </c>
      <c r="AN63" s="275">
        <v>0</v>
      </c>
      <c r="AO63" s="275">
        <v>2781202.73</v>
      </c>
      <c r="AP63" s="275">
        <v>0</v>
      </c>
      <c r="AQ63" s="275">
        <v>0</v>
      </c>
      <c r="AR63" s="275">
        <v>0</v>
      </c>
      <c r="AS63" s="275">
        <v>0</v>
      </c>
      <c r="AT63" s="275">
        <v>0</v>
      </c>
      <c r="AU63" s="275">
        <v>0</v>
      </c>
      <c r="AV63" s="280">
        <v>686195.91</v>
      </c>
      <c r="AW63" s="280">
        <v>0</v>
      </c>
      <c r="AX63" s="280">
        <v>0</v>
      </c>
      <c r="AY63" s="275">
        <v>0</v>
      </c>
      <c r="AZ63" s="275">
        <v>0</v>
      </c>
      <c r="BA63" s="280">
        <v>0</v>
      </c>
      <c r="BB63" s="280">
        <v>-3735.1299999999992</v>
      </c>
      <c r="BC63" s="280">
        <v>0</v>
      </c>
      <c r="BD63" s="280">
        <v>0</v>
      </c>
      <c r="BE63" s="275">
        <v>17395.509999999998</v>
      </c>
      <c r="BF63" s="280">
        <v>0</v>
      </c>
      <c r="BG63" s="280">
        <v>0</v>
      </c>
      <c r="BH63" s="280">
        <v>0</v>
      </c>
      <c r="BI63" s="280">
        <v>0</v>
      </c>
      <c r="BJ63" s="280">
        <v>0</v>
      </c>
      <c r="BK63" s="280">
        <v>0</v>
      </c>
      <c r="BL63" s="280">
        <v>0</v>
      </c>
      <c r="BM63" s="280">
        <v>0</v>
      </c>
      <c r="BN63" s="280">
        <v>0</v>
      </c>
      <c r="BO63" s="280">
        <v>0</v>
      </c>
      <c r="BP63" s="280">
        <v>750</v>
      </c>
      <c r="BQ63" s="280">
        <v>0</v>
      </c>
      <c r="BR63" s="280">
        <v>0</v>
      </c>
      <c r="BS63" s="280">
        <v>0</v>
      </c>
      <c r="BT63" s="280">
        <v>0</v>
      </c>
      <c r="BU63" s="280">
        <v>0</v>
      </c>
      <c r="BV63" s="280">
        <v>0</v>
      </c>
      <c r="BW63" s="280">
        <v>0</v>
      </c>
      <c r="BX63" s="280">
        <v>0</v>
      </c>
      <c r="BY63" s="280">
        <v>0</v>
      </c>
      <c r="BZ63" s="280">
        <v>0</v>
      </c>
      <c r="CA63" s="280">
        <v>0</v>
      </c>
      <c r="CB63" s="280">
        <v>0</v>
      </c>
      <c r="CC63" s="280">
        <v>12391495.120000001</v>
      </c>
      <c r="CD63" s="24" t="s">
        <v>247</v>
      </c>
      <c r="CE63" s="25">
        <f t="shared" si="6"/>
        <v>54367529.229999989</v>
      </c>
    </row>
    <row r="64" spans="1:83" x14ac:dyDescent="0.25">
      <c r="A64" s="31" t="s">
        <v>264</v>
      </c>
      <c r="B64" s="16"/>
      <c r="C64" s="273">
        <v>7091508.9799999986</v>
      </c>
      <c r="D64" s="273">
        <v>29537114.310000002</v>
      </c>
      <c r="E64" s="273">
        <v>1749907.69</v>
      </c>
      <c r="F64" s="273">
        <v>287181.73</v>
      </c>
      <c r="G64" s="273">
        <v>0</v>
      </c>
      <c r="H64" s="273">
        <v>86987.18</v>
      </c>
      <c r="I64" s="273">
        <v>0</v>
      </c>
      <c r="J64" s="273">
        <v>0</v>
      </c>
      <c r="K64" s="273">
        <v>0</v>
      </c>
      <c r="L64" s="273">
        <v>0</v>
      </c>
      <c r="M64" s="273">
        <v>0</v>
      </c>
      <c r="N64" s="273">
        <v>0</v>
      </c>
      <c r="O64" s="273">
        <v>2216428.7000000002</v>
      </c>
      <c r="P64" s="275">
        <v>84276266.25</v>
      </c>
      <c r="Q64" s="275">
        <v>492187.53</v>
      </c>
      <c r="R64" s="275">
        <v>731256.52</v>
      </c>
      <c r="S64" s="280">
        <v>2148145.0299999998</v>
      </c>
      <c r="T64" s="280">
        <v>0</v>
      </c>
      <c r="U64" s="276">
        <v>42598705.32</v>
      </c>
      <c r="V64" s="275">
        <v>0</v>
      </c>
      <c r="W64" s="275">
        <v>592182.32000000007</v>
      </c>
      <c r="X64" s="275">
        <v>2661261.8899999997</v>
      </c>
      <c r="Y64" s="275">
        <v>6966383.6299999999</v>
      </c>
      <c r="Z64" s="275">
        <v>0</v>
      </c>
      <c r="AA64" s="275">
        <v>652724.32999999996</v>
      </c>
      <c r="AB64" s="281">
        <v>156095502.22</v>
      </c>
      <c r="AC64" s="275">
        <v>1488348.9600000002</v>
      </c>
      <c r="AD64" s="275">
        <v>20666.8</v>
      </c>
      <c r="AE64" s="275">
        <v>0</v>
      </c>
      <c r="AF64" s="275">
        <v>20.28</v>
      </c>
      <c r="AG64" s="275">
        <v>4678573.33</v>
      </c>
      <c r="AH64" s="275">
        <v>0</v>
      </c>
      <c r="AI64" s="275">
        <v>0</v>
      </c>
      <c r="AJ64" s="275">
        <v>84988.959999999992</v>
      </c>
      <c r="AK64" s="275">
        <v>12487.29</v>
      </c>
      <c r="AL64" s="275">
        <v>22101.89</v>
      </c>
      <c r="AM64" s="275">
        <v>0</v>
      </c>
      <c r="AN64" s="275">
        <v>0</v>
      </c>
      <c r="AO64" s="275">
        <v>680970.29999999993</v>
      </c>
      <c r="AP64" s="275">
        <v>0</v>
      </c>
      <c r="AQ64" s="275">
        <v>0</v>
      </c>
      <c r="AR64" s="275">
        <v>0</v>
      </c>
      <c r="AS64" s="275">
        <v>0</v>
      </c>
      <c r="AT64" s="275">
        <v>0</v>
      </c>
      <c r="AU64" s="275">
        <v>0</v>
      </c>
      <c r="AV64" s="280">
        <v>2845619.1399999997</v>
      </c>
      <c r="AW64" s="280">
        <v>26759.47</v>
      </c>
      <c r="AX64" s="280">
        <v>0</v>
      </c>
      <c r="AY64" s="275">
        <v>491666.69</v>
      </c>
      <c r="AZ64" s="275">
        <v>0</v>
      </c>
      <c r="BA64" s="280">
        <v>0</v>
      </c>
      <c r="BB64" s="280">
        <v>10256.51</v>
      </c>
      <c r="BC64" s="280">
        <v>610.21</v>
      </c>
      <c r="BD64" s="280">
        <v>0</v>
      </c>
      <c r="BE64" s="275">
        <v>56387.01</v>
      </c>
      <c r="BF64" s="280">
        <v>115864.92</v>
      </c>
      <c r="BG64" s="280">
        <v>0</v>
      </c>
      <c r="BH64" s="280">
        <v>0</v>
      </c>
      <c r="BI64" s="280">
        <v>516929.74</v>
      </c>
      <c r="BJ64" s="280">
        <v>0</v>
      </c>
      <c r="BK64" s="280">
        <v>0</v>
      </c>
      <c r="BL64" s="280">
        <v>32127.78</v>
      </c>
      <c r="BM64" s="280">
        <v>0</v>
      </c>
      <c r="BN64" s="280">
        <v>0</v>
      </c>
      <c r="BO64" s="280">
        <v>0</v>
      </c>
      <c r="BP64" s="280">
        <v>18192.78</v>
      </c>
      <c r="BQ64" s="280">
        <v>0</v>
      </c>
      <c r="BR64" s="280">
        <v>0</v>
      </c>
      <c r="BS64" s="280">
        <v>0</v>
      </c>
      <c r="BT64" s="280">
        <v>0</v>
      </c>
      <c r="BU64" s="280">
        <v>0</v>
      </c>
      <c r="BV64" s="280">
        <v>0</v>
      </c>
      <c r="BW64" s="280">
        <v>0</v>
      </c>
      <c r="BX64" s="280">
        <v>0</v>
      </c>
      <c r="BY64" s="280">
        <v>0</v>
      </c>
      <c r="BZ64" s="280">
        <v>369.67</v>
      </c>
      <c r="CA64" s="280">
        <v>0</v>
      </c>
      <c r="CB64" s="280">
        <v>0</v>
      </c>
      <c r="CC64" s="280">
        <v>-1256534.21</v>
      </c>
      <c r="CD64" s="24" t="s">
        <v>247</v>
      </c>
      <c r="CE64" s="25">
        <f t="shared" si="6"/>
        <v>348030151.14999992</v>
      </c>
    </row>
    <row r="65" spans="1:83" x14ac:dyDescent="0.25">
      <c r="A65" s="31" t="s">
        <v>265</v>
      </c>
      <c r="B65" s="16"/>
      <c r="C65" s="273"/>
      <c r="D65" s="273"/>
      <c r="E65" s="273"/>
      <c r="F65" s="273"/>
      <c r="G65" s="273"/>
      <c r="H65" s="273"/>
      <c r="I65" s="273"/>
      <c r="J65" s="273"/>
      <c r="K65" s="273"/>
      <c r="L65" s="273"/>
      <c r="M65" s="273"/>
      <c r="N65" s="273"/>
      <c r="O65" s="273"/>
      <c r="P65" s="275"/>
      <c r="Q65" s="275"/>
      <c r="R65" s="275"/>
      <c r="S65" s="280"/>
      <c r="T65" s="280"/>
      <c r="U65" s="276"/>
      <c r="V65" s="275"/>
      <c r="W65" s="275"/>
      <c r="X65" s="275"/>
      <c r="Y65" s="275"/>
      <c r="Z65" s="275"/>
      <c r="AA65" s="275"/>
      <c r="AB65" s="281"/>
      <c r="AC65" s="275"/>
      <c r="AD65" s="275"/>
      <c r="AE65" s="275"/>
      <c r="AF65" s="275"/>
      <c r="AG65" s="275"/>
      <c r="AH65" s="275"/>
      <c r="AI65" s="275"/>
      <c r="AJ65" s="275"/>
      <c r="AK65" s="275"/>
      <c r="AL65" s="275"/>
      <c r="AM65" s="275"/>
      <c r="AN65" s="275"/>
      <c r="AO65" s="275"/>
      <c r="AP65" s="275"/>
      <c r="AQ65" s="275"/>
      <c r="AR65" s="275"/>
      <c r="AS65" s="275"/>
      <c r="AT65" s="275"/>
      <c r="AU65" s="275"/>
      <c r="AV65" s="280"/>
      <c r="AW65" s="280"/>
      <c r="AX65" s="280"/>
      <c r="AY65" s="275"/>
      <c r="AZ65" s="275"/>
      <c r="BA65" s="280"/>
      <c r="BB65" s="280"/>
      <c r="BC65" s="280"/>
      <c r="BD65" s="280"/>
      <c r="BE65" s="275"/>
      <c r="BF65" s="280"/>
      <c r="BG65" s="280"/>
      <c r="BH65" s="280"/>
      <c r="BI65" s="280"/>
      <c r="BJ65" s="280"/>
      <c r="BK65" s="280"/>
      <c r="BL65" s="280"/>
      <c r="BM65" s="280"/>
      <c r="BN65" s="280"/>
      <c r="BO65" s="280"/>
      <c r="BP65" s="280"/>
      <c r="BQ65" s="280"/>
      <c r="BR65" s="280"/>
      <c r="BS65" s="280"/>
      <c r="BT65" s="280"/>
      <c r="BU65" s="280"/>
      <c r="BV65" s="280"/>
      <c r="BW65" s="280"/>
      <c r="BX65" s="280"/>
      <c r="BY65" s="280"/>
      <c r="BZ65" s="280"/>
      <c r="CA65" s="280"/>
      <c r="CB65" s="280"/>
      <c r="CC65" s="280"/>
      <c r="CD65" s="24" t="s">
        <v>247</v>
      </c>
      <c r="CE65" s="25">
        <f t="shared" si="6"/>
        <v>0</v>
      </c>
    </row>
    <row r="66" spans="1:83" x14ac:dyDescent="0.25">
      <c r="A66" s="31" t="s">
        <v>266</v>
      </c>
      <c r="B66" s="16"/>
      <c r="C66" s="273">
        <v>36596690.650000006</v>
      </c>
      <c r="D66" s="273">
        <v>31249635.809999999</v>
      </c>
      <c r="E66" s="273">
        <v>1160203.24</v>
      </c>
      <c r="F66" s="273">
        <v>2860396.77</v>
      </c>
      <c r="G66" s="273">
        <v>0</v>
      </c>
      <c r="H66" s="273">
        <v>2477743.9700000002</v>
      </c>
      <c r="I66" s="273">
        <v>0</v>
      </c>
      <c r="J66" s="273">
        <v>0</v>
      </c>
      <c r="K66" s="273">
        <v>0</v>
      </c>
      <c r="L66" s="273">
        <v>0</v>
      </c>
      <c r="M66" s="273">
        <v>0</v>
      </c>
      <c r="N66" s="273">
        <v>0</v>
      </c>
      <c r="O66" s="273">
        <v>9128608.4600000009</v>
      </c>
      <c r="P66" s="275">
        <v>43052771.980000004</v>
      </c>
      <c r="Q66" s="275">
        <v>1068576.93</v>
      </c>
      <c r="R66" s="275">
        <v>4636028.3699999992</v>
      </c>
      <c r="S66" s="280">
        <v>-8334814.4199999999</v>
      </c>
      <c r="T66" s="280">
        <v>0</v>
      </c>
      <c r="U66" s="276">
        <v>150883061.45000002</v>
      </c>
      <c r="V66" s="275">
        <v>0</v>
      </c>
      <c r="W66" s="275">
        <v>2483734.0300000007</v>
      </c>
      <c r="X66" s="275">
        <v>9201975.5099999979</v>
      </c>
      <c r="Y66" s="275">
        <v>7879499.8000000007</v>
      </c>
      <c r="Z66" s="275">
        <v>0</v>
      </c>
      <c r="AA66" s="275">
        <v>505712.88</v>
      </c>
      <c r="AB66" s="281">
        <v>29458880.850000005</v>
      </c>
      <c r="AC66" s="275">
        <v>5328136.59</v>
      </c>
      <c r="AD66" s="275">
        <v>3102665</v>
      </c>
      <c r="AE66" s="275">
        <v>0</v>
      </c>
      <c r="AF66" s="275">
        <v>-6395.28</v>
      </c>
      <c r="AG66" s="275">
        <v>35842859.890000008</v>
      </c>
      <c r="AH66" s="275">
        <v>0</v>
      </c>
      <c r="AI66" s="275">
        <v>0</v>
      </c>
      <c r="AJ66" s="275">
        <v>-4625965.66</v>
      </c>
      <c r="AK66" s="275">
        <v>1354061.96</v>
      </c>
      <c r="AL66" s="275">
        <v>409185.00999999995</v>
      </c>
      <c r="AM66" s="275">
        <v>0</v>
      </c>
      <c r="AN66" s="275">
        <v>0</v>
      </c>
      <c r="AO66" s="275">
        <v>-2106720.2700000005</v>
      </c>
      <c r="AP66" s="275">
        <v>0</v>
      </c>
      <c r="AQ66" s="275">
        <v>0</v>
      </c>
      <c r="AR66" s="275">
        <v>992929.84</v>
      </c>
      <c r="AS66" s="275">
        <v>0</v>
      </c>
      <c r="AT66" s="275">
        <v>0</v>
      </c>
      <c r="AU66" s="275">
        <v>0</v>
      </c>
      <c r="AV66" s="280">
        <v>3778471.96</v>
      </c>
      <c r="AW66" s="280">
        <v>-8892298.5700000003</v>
      </c>
      <c r="AX66" s="280">
        <v>0</v>
      </c>
      <c r="AY66" s="275">
        <v>-1415241.4900000002</v>
      </c>
      <c r="AZ66" s="275">
        <v>0</v>
      </c>
      <c r="BA66" s="280">
        <v>0</v>
      </c>
      <c r="BB66" s="280">
        <v>-4337574.2799999993</v>
      </c>
      <c r="BC66" s="280">
        <v>-747496.42</v>
      </c>
      <c r="BD66" s="280">
        <v>0</v>
      </c>
      <c r="BE66" s="275">
        <v>-2998315.74</v>
      </c>
      <c r="BF66" s="280">
        <v>-2446318.36</v>
      </c>
      <c r="BG66" s="280">
        <v>0</v>
      </c>
      <c r="BH66" s="280">
        <v>0</v>
      </c>
      <c r="BI66" s="280">
        <v>290865.74000000005</v>
      </c>
      <c r="BJ66" s="280">
        <v>0</v>
      </c>
      <c r="BK66" s="280">
        <v>0</v>
      </c>
      <c r="BL66" s="280">
        <v>-2806584.9899999998</v>
      </c>
      <c r="BM66" s="280">
        <v>0</v>
      </c>
      <c r="BN66" s="280">
        <v>0</v>
      </c>
      <c r="BO66" s="280">
        <v>0</v>
      </c>
      <c r="BP66" s="280">
        <v>-32754.680000000004</v>
      </c>
      <c r="BQ66" s="280">
        <v>0</v>
      </c>
      <c r="BR66" s="280">
        <v>0</v>
      </c>
      <c r="BS66" s="280">
        <v>0</v>
      </c>
      <c r="BT66" s="280">
        <v>0</v>
      </c>
      <c r="BU66" s="280">
        <v>0</v>
      </c>
      <c r="BV66" s="280">
        <v>0</v>
      </c>
      <c r="BW66" s="280">
        <v>0</v>
      </c>
      <c r="BX66" s="280">
        <v>0</v>
      </c>
      <c r="BY66" s="280">
        <v>0</v>
      </c>
      <c r="BZ66" s="280">
        <v>-1721076.22</v>
      </c>
      <c r="CA66" s="280">
        <v>0</v>
      </c>
      <c r="CB66" s="280">
        <v>0</v>
      </c>
      <c r="CC66" s="280">
        <v>-23587651.140000001</v>
      </c>
      <c r="CD66" s="24" t="s">
        <v>247</v>
      </c>
      <c r="CE66" s="25">
        <f t="shared" si="6"/>
        <v>319683489.1699999</v>
      </c>
    </row>
    <row r="67" spans="1:83" x14ac:dyDescent="0.25">
      <c r="A67" s="31" t="s">
        <v>15</v>
      </c>
      <c r="B67" s="16"/>
      <c r="C67" s="25">
        <f t="shared" ref="C67:AH67" si="10">ROUND(C51+C52,0)</f>
        <v>2357155</v>
      </c>
      <c r="D67" s="25">
        <f t="shared" si="10"/>
        <v>2913989</v>
      </c>
      <c r="E67" s="25">
        <f t="shared" si="10"/>
        <v>415670</v>
      </c>
      <c r="F67" s="25">
        <f t="shared" si="10"/>
        <v>1972</v>
      </c>
      <c r="G67" s="25">
        <f t="shared" si="10"/>
        <v>0</v>
      </c>
      <c r="H67" s="25">
        <f t="shared" si="10"/>
        <v>230018</v>
      </c>
      <c r="I67" s="25">
        <f t="shared" si="10"/>
        <v>0</v>
      </c>
      <c r="J67" s="25">
        <f t="shared" si="10"/>
        <v>0</v>
      </c>
      <c r="K67" s="25">
        <f t="shared" si="10"/>
        <v>0</v>
      </c>
      <c r="L67" s="25">
        <f t="shared" si="10"/>
        <v>0</v>
      </c>
      <c r="M67" s="25">
        <f t="shared" si="10"/>
        <v>0</v>
      </c>
      <c r="N67" s="25">
        <f t="shared" si="10"/>
        <v>0</v>
      </c>
      <c r="O67" s="25">
        <f t="shared" si="10"/>
        <v>1348654</v>
      </c>
      <c r="P67" s="25">
        <f t="shared" si="10"/>
        <v>4056168</v>
      </c>
      <c r="Q67" s="25">
        <f t="shared" si="10"/>
        <v>69549</v>
      </c>
      <c r="R67" s="25">
        <f t="shared" si="10"/>
        <v>270819</v>
      </c>
      <c r="S67" s="25">
        <f t="shared" si="10"/>
        <v>563784</v>
      </c>
      <c r="T67" s="25">
        <f t="shared" si="10"/>
        <v>0</v>
      </c>
      <c r="U67" s="25">
        <f t="shared" si="10"/>
        <v>719977</v>
      </c>
      <c r="V67" s="25">
        <f t="shared" si="10"/>
        <v>0</v>
      </c>
      <c r="W67" s="25">
        <f t="shared" si="10"/>
        <v>840537</v>
      </c>
      <c r="X67" s="25">
        <f t="shared" si="10"/>
        <v>338410</v>
      </c>
      <c r="Y67" s="25">
        <f t="shared" si="10"/>
        <v>1081630</v>
      </c>
      <c r="Z67" s="25">
        <f t="shared" si="10"/>
        <v>0</v>
      </c>
      <c r="AA67" s="25">
        <f t="shared" si="10"/>
        <v>22943</v>
      </c>
      <c r="AB67" s="25">
        <f t="shared" si="10"/>
        <v>715313</v>
      </c>
      <c r="AC67" s="25">
        <f t="shared" si="10"/>
        <v>184359</v>
      </c>
      <c r="AD67" s="25">
        <f t="shared" si="10"/>
        <v>4128</v>
      </c>
      <c r="AE67" s="25">
        <f t="shared" si="10"/>
        <v>14208</v>
      </c>
      <c r="AF67" s="25">
        <f t="shared" si="10"/>
        <v>603</v>
      </c>
      <c r="AG67" s="25">
        <f t="shared" si="10"/>
        <v>1990086</v>
      </c>
      <c r="AH67" s="25">
        <f t="shared" si="10"/>
        <v>0</v>
      </c>
      <c r="AI67" s="25">
        <f t="shared" ref="AI67:BN67" si="11">ROUND(AI51+AI52,0)</f>
        <v>0</v>
      </c>
      <c r="AJ67" s="25">
        <f t="shared" si="11"/>
        <v>40377</v>
      </c>
      <c r="AK67" s="25">
        <f t="shared" si="11"/>
        <v>15955</v>
      </c>
      <c r="AL67" s="25">
        <f t="shared" si="11"/>
        <v>2000</v>
      </c>
      <c r="AM67" s="25">
        <f t="shared" si="11"/>
        <v>0</v>
      </c>
      <c r="AN67" s="25">
        <f t="shared" si="11"/>
        <v>0</v>
      </c>
      <c r="AO67" s="25">
        <f t="shared" si="11"/>
        <v>193431</v>
      </c>
      <c r="AP67" s="25">
        <f t="shared" si="11"/>
        <v>0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322824</v>
      </c>
      <c r="AW67" s="25">
        <f t="shared" si="11"/>
        <v>1290</v>
      </c>
      <c r="AX67" s="25">
        <f t="shared" si="11"/>
        <v>0</v>
      </c>
      <c r="AY67" s="25">
        <f t="shared" si="11"/>
        <v>141384</v>
      </c>
      <c r="AZ67" s="25">
        <f t="shared" si="11"/>
        <v>0</v>
      </c>
      <c r="BA67" s="25">
        <f t="shared" si="11"/>
        <v>0</v>
      </c>
      <c r="BB67" s="25">
        <f t="shared" si="11"/>
        <v>10034</v>
      </c>
      <c r="BC67" s="25">
        <f t="shared" si="11"/>
        <v>53</v>
      </c>
      <c r="BD67" s="25">
        <f t="shared" si="11"/>
        <v>0</v>
      </c>
      <c r="BE67" s="25">
        <f t="shared" si="11"/>
        <v>385172</v>
      </c>
      <c r="BF67" s="25">
        <f t="shared" si="11"/>
        <v>28847</v>
      </c>
      <c r="BG67" s="25">
        <f t="shared" si="11"/>
        <v>0</v>
      </c>
      <c r="BH67" s="25">
        <f t="shared" si="11"/>
        <v>0</v>
      </c>
      <c r="BI67" s="25">
        <f t="shared" si="11"/>
        <v>114095</v>
      </c>
      <c r="BJ67" s="25">
        <f t="shared" si="11"/>
        <v>0</v>
      </c>
      <c r="BK67" s="25">
        <f t="shared" si="11"/>
        <v>0</v>
      </c>
      <c r="BL67" s="25">
        <f t="shared" si="11"/>
        <v>19403</v>
      </c>
      <c r="BM67" s="25">
        <f t="shared" si="11"/>
        <v>0</v>
      </c>
      <c r="BN67" s="25">
        <f t="shared" si="11"/>
        <v>0</v>
      </c>
      <c r="BO67" s="25">
        <f t="shared" ref="BO67:CC67" si="12">ROUND(BO51+BO52,0)</f>
        <v>0</v>
      </c>
      <c r="BP67" s="25">
        <f t="shared" si="12"/>
        <v>0</v>
      </c>
      <c r="BQ67" s="25">
        <f t="shared" si="12"/>
        <v>0</v>
      </c>
      <c r="BR67" s="25">
        <f t="shared" si="12"/>
        <v>0</v>
      </c>
      <c r="BS67" s="25">
        <f t="shared" si="12"/>
        <v>0</v>
      </c>
      <c r="BT67" s="25">
        <f t="shared" si="12"/>
        <v>0</v>
      </c>
      <c r="BU67" s="25">
        <f t="shared" si="12"/>
        <v>0</v>
      </c>
      <c r="BV67" s="25">
        <f t="shared" si="12"/>
        <v>0</v>
      </c>
      <c r="BW67" s="25">
        <f t="shared" si="12"/>
        <v>0</v>
      </c>
      <c r="BX67" s="25">
        <f t="shared" si="12"/>
        <v>0</v>
      </c>
      <c r="BY67" s="25">
        <f t="shared" si="12"/>
        <v>0</v>
      </c>
      <c r="BZ67" s="25">
        <f t="shared" si="12"/>
        <v>0</v>
      </c>
      <c r="CA67" s="25">
        <f t="shared" si="12"/>
        <v>0</v>
      </c>
      <c r="CB67" s="25">
        <f t="shared" si="12"/>
        <v>0</v>
      </c>
      <c r="CC67" s="25">
        <f t="shared" si="12"/>
        <v>1014520</v>
      </c>
      <c r="CD67" s="24" t="s">
        <v>247</v>
      </c>
      <c r="CE67" s="25">
        <f t="shared" si="6"/>
        <v>20429357</v>
      </c>
    </row>
    <row r="68" spans="1:83" x14ac:dyDescent="0.25">
      <c r="A68" s="31" t="s">
        <v>267</v>
      </c>
      <c r="B68" s="25"/>
      <c r="C68" s="273">
        <v>197664.13999999998</v>
      </c>
      <c r="D68" s="273">
        <v>539189.39</v>
      </c>
      <c r="E68" s="273">
        <v>34638.06</v>
      </c>
      <c r="F68" s="273">
        <v>0</v>
      </c>
      <c r="G68" s="273">
        <v>0</v>
      </c>
      <c r="H68" s="273">
        <v>112201.27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463713.04</v>
      </c>
      <c r="P68" s="275">
        <v>3978153.7499999995</v>
      </c>
      <c r="Q68" s="275">
        <v>0</v>
      </c>
      <c r="R68" s="275">
        <v>877.9</v>
      </c>
      <c r="S68" s="280">
        <v>32.74</v>
      </c>
      <c r="T68" s="280">
        <v>0</v>
      </c>
      <c r="U68" s="276">
        <v>545572.64</v>
      </c>
      <c r="V68" s="275">
        <v>0</v>
      </c>
      <c r="W68" s="275">
        <v>514045.81</v>
      </c>
      <c r="X68" s="275">
        <v>0</v>
      </c>
      <c r="Y68" s="275">
        <v>41.03</v>
      </c>
      <c r="Z68" s="275">
        <v>0</v>
      </c>
      <c r="AA68" s="275">
        <v>0</v>
      </c>
      <c r="AB68" s="281">
        <v>214622.38</v>
      </c>
      <c r="AC68" s="275">
        <v>9907.4699999999993</v>
      </c>
      <c r="AD68" s="275">
        <v>0</v>
      </c>
      <c r="AE68" s="275">
        <v>0</v>
      </c>
      <c r="AF68" s="275">
        <v>0</v>
      </c>
      <c r="AG68" s="275">
        <v>906729.04</v>
      </c>
      <c r="AH68" s="275">
        <v>0</v>
      </c>
      <c r="AI68" s="275">
        <v>0</v>
      </c>
      <c r="AJ68" s="275">
        <v>77798.23</v>
      </c>
      <c r="AK68" s="275">
        <v>0</v>
      </c>
      <c r="AL68" s="275">
        <v>0</v>
      </c>
      <c r="AM68" s="275">
        <v>0</v>
      </c>
      <c r="AN68" s="275">
        <v>0</v>
      </c>
      <c r="AO68" s="275">
        <v>1755.82</v>
      </c>
      <c r="AP68" s="275">
        <v>0</v>
      </c>
      <c r="AQ68" s="275">
        <v>0</v>
      </c>
      <c r="AR68" s="275">
        <v>0</v>
      </c>
      <c r="AS68" s="275">
        <v>0</v>
      </c>
      <c r="AT68" s="275">
        <v>0</v>
      </c>
      <c r="AU68" s="275">
        <v>0</v>
      </c>
      <c r="AV68" s="280">
        <v>0</v>
      </c>
      <c r="AW68" s="280">
        <v>0</v>
      </c>
      <c r="AX68" s="280">
        <v>0</v>
      </c>
      <c r="AY68" s="275">
        <v>0</v>
      </c>
      <c r="AZ68" s="275">
        <v>0</v>
      </c>
      <c r="BA68" s="280">
        <v>0</v>
      </c>
      <c r="BB68" s="280">
        <v>0</v>
      </c>
      <c r="BC68" s="280">
        <v>0</v>
      </c>
      <c r="BD68" s="280">
        <v>0</v>
      </c>
      <c r="BE68" s="275">
        <v>-2979.08</v>
      </c>
      <c r="BF68" s="280">
        <v>0</v>
      </c>
      <c r="BG68" s="280">
        <v>0</v>
      </c>
      <c r="BH68" s="280">
        <v>0</v>
      </c>
      <c r="BI68" s="280">
        <v>125</v>
      </c>
      <c r="BJ68" s="280">
        <v>0</v>
      </c>
      <c r="BK68" s="280">
        <v>0</v>
      </c>
      <c r="BL68" s="280">
        <v>0</v>
      </c>
      <c r="BM68" s="280">
        <v>0</v>
      </c>
      <c r="BN68" s="280">
        <v>0</v>
      </c>
      <c r="BO68" s="280">
        <v>0</v>
      </c>
      <c r="BP68" s="280">
        <v>15717.73</v>
      </c>
      <c r="BQ68" s="280">
        <v>0</v>
      </c>
      <c r="BR68" s="280">
        <v>0</v>
      </c>
      <c r="BS68" s="280">
        <v>0</v>
      </c>
      <c r="BT68" s="280">
        <v>0</v>
      </c>
      <c r="BU68" s="280">
        <v>0</v>
      </c>
      <c r="BV68" s="280">
        <v>0</v>
      </c>
      <c r="BW68" s="280">
        <v>0</v>
      </c>
      <c r="BX68" s="280">
        <v>0</v>
      </c>
      <c r="BY68" s="280">
        <v>0</v>
      </c>
      <c r="BZ68" s="280">
        <v>0</v>
      </c>
      <c r="CA68" s="280">
        <v>0</v>
      </c>
      <c r="CB68" s="280">
        <v>0</v>
      </c>
      <c r="CC68" s="280">
        <v>2310394.96</v>
      </c>
      <c r="CD68" s="24" t="s">
        <v>247</v>
      </c>
      <c r="CE68" s="25">
        <f t="shared" si="6"/>
        <v>9920201.3200000003</v>
      </c>
    </row>
    <row r="69" spans="1:83" x14ac:dyDescent="0.25">
      <c r="A69" s="31" t="s">
        <v>268</v>
      </c>
      <c r="B69" s="16"/>
      <c r="C69" s="25">
        <f t="shared" ref="C69:AH69" si="13">SUM(C70:C83)</f>
        <v>9710809.2300000023</v>
      </c>
      <c r="D69" s="25">
        <f t="shared" si="13"/>
        <v>11250816.82</v>
      </c>
      <c r="E69" s="25">
        <f t="shared" si="13"/>
        <v>-988747.41999999981</v>
      </c>
      <c r="F69" s="25">
        <f t="shared" si="13"/>
        <v>409497.14</v>
      </c>
      <c r="G69" s="25">
        <f t="shared" si="13"/>
        <v>0</v>
      </c>
      <c r="H69" s="25">
        <f t="shared" si="13"/>
        <v>1288631.8899999999</v>
      </c>
      <c r="I69" s="25">
        <f t="shared" si="13"/>
        <v>0</v>
      </c>
      <c r="J69" s="25">
        <f t="shared" si="13"/>
        <v>0</v>
      </c>
      <c r="K69" s="25">
        <f t="shared" si="13"/>
        <v>0</v>
      </c>
      <c r="L69" s="25">
        <f t="shared" si="13"/>
        <v>0</v>
      </c>
      <c r="M69" s="25">
        <f t="shared" si="13"/>
        <v>0</v>
      </c>
      <c r="N69" s="25">
        <f t="shared" si="13"/>
        <v>0</v>
      </c>
      <c r="O69" s="25">
        <f t="shared" si="13"/>
        <v>-168939.7300000001</v>
      </c>
      <c r="P69" s="25">
        <f t="shared" si="13"/>
        <v>11376450.920000002</v>
      </c>
      <c r="Q69" s="25">
        <f t="shared" si="13"/>
        <v>168552.97999999998</v>
      </c>
      <c r="R69" s="25">
        <f t="shared" si="13"/>
        <v>638837.13000000012</v>
      </c>
      <c r="S69" s="25">
        <f t="shared" si="13"/>
        <v>4381263.1899999995</v>
      </c>
      <c r="T69" s="25">
        <f t="shared" si="13"/>
        <v>0</v>
      </c>
      <c r="U69" s="25">
        <f t="shared" si="13"/>
        <v>7434894.8899999997</v>
      </c>
      <c r="V69" s="25">
        <f t="shared" si="13"/>
        <v>0</v>
      </c>
      <c r="W69" s="25">
        <f t="shared" si="13"/>
        <v>670549.25999999989</v>
      </c>
      <c r="X69" s="25">
        <f t="shared" si="13"/>
        <v>1254872.07</v>
      </c>
      <c r="Y69" s="25">
        <f t="shared" si="13"/>
        <v>2672857.3200000003</v>
      </c>
      <c r="Z69" s="25">
        <f t="shared" si="13"/>
        <v>0</v>
      </c>
      <c r="AA69" s="25">
        <f t="shared" si="13"/>
        <v>74245.600000000006</v>
      </c>
      <c r="AB69" s="25">
        <f t="shared" si="13"/>
        <v>6569733.6599999992</v>
      </c>
      <c r="AC69" s="25">
        <f t="shared" si="13"/>
        <v>345988.22000000003</v>
      </c>
      <c r="AD69" s="25">
        <f t="shared" si="13"/>
        <v>110678.47</v>
      </c>
      <c r="AE69" s="25">
        <f t="shared" si="13"/>
        <v>610.16</v>
      </c>
      <c r="AF69" s="25">
        <f t="shared" si="13"/>
        <v>3844.39</v>
      </c>
      <c r="AG69" s="25">
        <f t="shared" si="13"/>
        <v>4889565.4300000006</v>
      </c>
      <c r="AH69" s="25">
        <f t="shared" si="13"/>
        <v>0</v>
      </c>
      <c r="AI69" s="25">
        <f t="shared" ref="AI69:BN69" si="14">SUM(AI70:AI83)</f>
        <v>0</v>
      </c>
      <c r="AJ69" s="25">
        <f t="shared" si="14"/>
        <v>-504343.90999999992</v>
      </c>
      <c r="AK69" s="25">
        <f t="shared" si="14"/>
        <v>166658.38999999998</v>
      </c>
      <c r="AL69" s="25">
        <f t="shared" si="14"/>
        <v>46664.43</v>
      </c>
      <c r="AM69" s="25">
        <f t="shared" si="14"/>
        <v>0</v>
      </c>
      <c r="AN69" s="25">
        <f t="shared" si="14"/>
        <v>0</v>
      </c>
      <c r="AO69" s="25">
        <f t="shared" si="14"/>
        <v>1848092.97</v>
      </c>
      <c r="AP69" s="25">
        <f t="shared" si="14"/>
        <v>0</v>
      </c>
      <c r="AQ69" s="25">
        <f t="shared" si="14"/>
        <v>0</v>
      </c>
      <c r="AR69" s="25">
        <f t="shared" si="14"/>
        <v>16677.189999999999</v>
      </c>
      <c r="AS69" s="25">
        <f t="shared" si="14"/>
        <v>0</v>
      </c>
      <c r="AT69" s="25">
        <f t="shared" si="14"/>
        <v>0</v>
      </c>
      <c r="AU69" s="25">
        <f t="shared" si="14"/>
        <v>0</v>
      </c>
      <c r="AV69" s="25">
        <f t="shared" si="14"/>
        <v>448484.38</v>
      </c>
      <c r="AW69" s="25">
        <f t="shared" si="14"/>
        <v>2543194.3999999994</v>
      </c>
      <c r="AX69" s="25">
        <f t="shared" si="14"/>
        <v>0</v>
      </c>
      <c r="AY69" s="25">
        <f t="shared" si="14"/>
        <v>400918.05000000005</v>
      </c>
      <c r="AZ69" s="25">
        <f t="shared" si="14"/>
        <v>0</v>
      </c>
      <c r="BA69" s="25">
        <f t="shared" si="14"/>
        <v>0</v>
      </c>
      <c r="BB69" s="25">
        <f t="shared" si="14"/>
        <v>1308780.6800000002</v>
      </c>
      <c r="BC69" s="25">
        <f t="shared" si="14"/>
        <v>16419.010000000002</v>
      </c>
      <c r="BD69" s="25">
        <f t="shared" si="14"/>
        <v>0</v>
      </c>
      <c r="BE69" s="25">
        <f t="shared" si="14"/>
        <v>1222918.6199999999</v>
      </c>
      <c r="BF69" s="25">
        <f t="shared" si="14"/>
        <v>442477.33999999997</v>
      </c>
      <c r="BG69" s="25">
        <f t="shared" si="14"/>
        <v>0</v>
      </c>
      <c r="BH69" s="25">
        <f t="shared" si="14"/>
        <v>0</v>
      </c>
      <c r="BI69" s="25">
        <f t="shared" si="14"/>
        <v>98122.06</v>
      </c>
      <c r="BJ69" s="25">
        <f t="shared" si="14"/>
        <v>0</v>
      </c>
      <c r="BK69" s="25">
        <f t="shared" si="14"/>
        <v>0</v>
      </c>
      <c r="BL69" s="25">
        <f t="shared" si="14"/>
        <v>56364.729999999996</v>
      </c>
      <c r="BM69" s="25">
        <f t="shared" si="14"/>
        <v>0</v>
      </c>
      <c r="BN69" s="25">
        <f t="shared" si="14"/>
        <v>0</v>
      </c>
      <c r="BO69" s="25">
        <f t="shared" ref="BO69:CE69" si="15">SUM(BO70:BO83)</f>
        <v>0</v>
      </c>
      <c r="BP69" s="25">
        <f t="shared" si="15"/>
        <v>141450.03999999998</v>
      </c>
      <c r="BQ69" s="25">
        <f t="shared" si="15"/>
        <v>0</v>
      </c>
      <c r="BR69" s="25">
        <f t="shared" si="15"/>
        <v>0</v>
      </c>
      <c r="BS69" s="25">
        <f t="shared" si="15"/>
        <v>0</v>
      </c>
      <c r="BT69" s="25">
        <f t="shared" si="15"/>
        <v>0</v>
      </c>
      <c r="BU69" s="25">
        <f t="shared" si="15"/>
        <v>0</v>
      </c>
      <c r="BV69" s="25">
        <f t="shared" si="15"/>
        <v>0</v>
      </c>
      <c r="BW69" s="25">
        <f t="shared" si="15"/>
        <v>0</v>
      </c>
      <c r="BX69" s="25">
        <f t="shared" si="15"/>
        <v>0</v>
      </c>
      <c r="BY69" s="25">
        <f t="shared" si="15"/>
        <v>0</v>
      </c>
      <c r="BZ69" s="25">
        <f t="shared" si="15"/>
        <v>214657.33000000002</v>
      </c>
      <c r="CA69" s="25">
        <f t="shared" si="15"/>
        <v>0</v>
      </c>
      <c r="CB69" s="25">
        <f t="shared" si="15"/>
        <v>0</v>
      </c>
      <c r="CC69" s="25">
        <f t="shared" si="15"/>
        <v>176643308.33000001</v>
      </c>
      <c r="CD69" s="25">
        <f t="shared" si="15"/>
        <v>0</v>
      </c>
      <c r="CE69" s="25">
        <f t="shared" si="15"/>
        <v>247205855.65999997</v>
      </c>
    </row>
    <row r="70" spans="1:83" x14ac:dyDescent="0.25">
      <c r="A70" s="26" t="s">
        <v>269</v>
      </c>
      <c r="B70" s="27"/>
      <c r="C70" s="282">
        <v>0</v>
      </c>
      <c r="D70" s="282">
        <v>0</v>
      </c>
      <c r="E70" s="282">
        <v>0</v>
      </c>
      <c r="F70" s="282">
        <v>0</v>
      </c>
      <c r="G70" s="282">
        <v>0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0</v>
      </c>
      <c r="P70" s="282">
        <v>0</v>
      </c>
      <c r="Q70" s="282">
        <v>0</v>
      </c>
      <c r="R70" s="282">
        <v>0</v>
      </c>
      <c r="S70" s="282">
        <v>0</v>
      </c>
      <c r="T70" s="282">
        <v>0</v>
      </c>
      <c r="U70" s="282">
        <v>3941235.93</v>
      </c>
      <c r="V70" s="282">
        <v>0</v>
      </c>
      <c r="W70" s="282">
        <v>0</v>
      </c>
      <c r="X70" s="282">
        <v>0</v>
      </c>
      <c r="Y70" s="282">
        <v>0</v>
      </c>
      <c r="Z70" s="282">
        <v>0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0</v>
      </c>
      <c r="AH70" s="282">
        <v>0</v>
      </c>
      <c r="AI70" s="282">
        <v>0</v>
      </c>
      <c r="AJ70" s="282">
        <v>0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f t="shared" ref="CE70:CE85" si="16">SUM(C70:CD70)</f>
        <v>3941235.93</v>
      </c>
    </row>
    <row r="71" spans="1:83" x14ac:dyDescent="0.25">
      <c r="A71" s="26" t="s">
        <v>270</v>
      </c>
      <c r="B71" s="27"/>
      <c r="C71" s="282">
        <v>5135315.32</v>
      </c>
      <c r="D71" s="282">
        <v>5595811.7999999998</v>
      </c>
      <c r="E71" s="282">
        <v>0</v>
      </c>
      <c r="F71" s="282">
        <v>8806.65</v>
      </c>
      <c r="G71" s="282">
        <v>0</v>
      </c>
      <c r="H71" s="282">
        <v>861280.04</v>
      </c>
      <c r="I71" s="282">
        <v>0</v>
      </c>
      <c r="J71" s="282">
        <v>0</v>
      </c>
      <c r="K71" s="282">
        <v>0</v>
      </c>
      <c r="L71" s="282">
        <v>0</v>
      </c>
      <c r="M71" s="282">
        <v>0</v>
      </c>
      <c r="N71" s="282">
        <v>0</v>
      </c>
      <c r="O71" s="282">
        <v>1639298.85</v>
      </c>
      <c r="P71" s="282">
        <v>2751015.81</v>
      </c>
      <c r="Q71" s="282">
        <v>0</v>
      </c>
      <c r="R71" s="282">
        <v>13073.65</v>
      </c>
      <c r="S71" s="282">
        <v>2434081.23</v>
      </c>
      <c r="T71" s="282">
        <v>0</v>
      </c>
      <c r="U71" s="282">
        <v>0</v>
      </c>
      <c r="V71" s="282">
        <v>0</v>
      </c>
      <c r="W71" s="282">
        <v>311345.3</v>
      </c>
      <c r="X71" s="282">
        <v>830062.74</v>
      </c>
      <c r="Y71" s="282">
        <v>1608024.4100000004</v>
      </c>
      <c r="Z71" s="282">
        <v>0</v>
      </c>
      <c r="AA71" s="282">
        <v>0</v>
      </c>
      <c r="AB71" s="282">
        <v>0</v>
      </c>
      <c r="AC71" s="282">
        <v>0</v>
      </c>
      <c r="AD71" s="282">
        <v>0</v>
      </c>
      <c r="AE71" s="282">
        <v>0</v>
      </c>
      <c r="AF71" s="282">
        <v>0</v>
      </c>
      <c r="AG71" s="282">
        <v>2270770.9500000002</v>
      </c>
      <c r="AH71" s="282">
        <v>0</v>
      </c>
      <c r="AI71" s="282">
        <v>0</v>
      </c>
      <c r="AJ71" s="282">
        <v>0</v>
      </c>
      <c r="AK71" s="282">
        <v>0</v>
      </c>
      <c r="AL71" s="282">
        <v>0</v>
      </c>
      <c r="AM71" s="282">
        <v>0</v>
      </c>
      <c r="AN71" s="282">
        <v>0</v>
      </c>
      <c r="AO71" s="282">
        <v>1165886.53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32937.699999999997</v>
      </c>
      <c r="AW71" s="282">
        <v>2264097.36</v>
      </c>
      <c r="AX71" s="282">
        <v>0</v>
      </c>
      <c r="AY71" s="282">
        <v>264224.26</v>
      </c>
      <c r="AZ71" s="282">
        <v>0</v>
      </c>
      <c r="BA71" s="282">
        <v>0</v>
      </c>
      <c r="BB71" s="282">
        <v>1106635.82</v>
      </c>
      <c r="BC71" s="282">
        <v>0</v>
      </c>
      <c r="BD71" s="282">
        <v>0</v>
      </c>
      <c r="BE71" s="282">
        <v>0</v>
      </c>
      <c r="BF71" s="282">
        <v>78417.740000000005</v>
      </c>
      <c r="BG71" s="282">
        <v>0</v>
      </c>
      <c r="BH71" s="282">
        <v>0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0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0</v>
      </c>
      <c r="BZ71" s="282">
        <v>200258.66</v>
      </c>
      <c r="CA71" s="282">
        <v>0</v>
      </c>
      <c r="CB71" s="282">
        <v>0</v>
      </c>
      <c r="CC71" s="282">
        <v>714632.61</v>
      </c>
      <c r="CD71" s="282">
        <v>0</v>
      </c>
      <c r="CE71" s="25">
        <f t="shared" si="16"/>
        <v>29285977.43</v>
      </c>
    </row>
    <row r="72" spans="1:83" x14ac:dyDescent="0.25">
      <c r="A72" s="26" t="s">
        <v>271</v>
      </c>
      <c r="B72" s="27"/>
      <c r="C72" s="282">
        <v>4142.46</v>
      </c>
      <c r="D72" s="282">
        <v>443635.4800000001</v>
      </c>
      <c r="E72" s="282">
        <v>2626.95</v>
      </c>
      <c r="F72" s="282">
        <v>203.57</v>
      </c>
      <c r="G72" s="282">
        <v>0</v>
      </c>
      <c r="H72" s="282">
        <v>19120.060000000001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66390.83</v>
      </c>
      <c r="P72" s="282">
        <v>662475.18000000005</v>
      </c>
      <c r="Q72" s="282">
        <v>209.84</v>
      </c>
      <c r="R72" s="282">
        <v>0</v>
      </c>
      <c r="S72" s="282">
        <v>616.98</v>
      </c>
      <c r="T72" s="282">
        <v>0</v>
      </c>
      <c r="U72" s="282">
        <v>40754.129999999997</v>
      </c>
      <c r="V72" s="282">
        <v>0</v>
      </c>
      <c r="W72" s="282">
        <v>741.98</v>
      </c>
      <c r="X72" s="282">
        <v>209.84</v>
      </c>
      <c r="Y72" s="282">
        <v>629.52</v>
      </c>
      <c r="Z72" s="282">
        <v>0</v>
      </c>
      <c r="AA72" s="282">
        <v>0</v>
      </c>
      <c r="AB72" s="282">
        <v>221125.22</v>
      </c>
      <c r="AC72" s="282">
        <v>609.41</v>
      </c>
      <c r="AD72" s="282">
        <v>0</v>
      </c>
      <c r="AE72" s="282">
        <v>0</v>
      </c>
      <c r="AF72" s="282">
        <v>0</v>
      </c>
      <c r="AG72" s="282">
        <v>20344.759999999998</v>
      </c>
      <c r="AH72" s="282">
        <v>0</v>
      </c>
      <c r="AI72" s="282">
        <v>0</v>
      </c>
      <c r="AJ72" s="282">
        <v>4190.6400000000003</v>
      </c>
      <c r="AK72" s="282">
        <v>0</v>
      </c>
      <c r="AL72" s="282">
        <v>0</v>
      </c>
      <c r="AM72" s="282">
        <v>0</v>
      </c>
      <c r="AN72" s="282">
        <v>0</v>
      </c>
      <c r="AO72" s="282">
        <v>854.44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90</v>
      </c>
      <c r="AW72" s="282">
        <v>7080.25</v>
      </c>
      <c r="AX72" s="282">
        <v>0</v>
      </c>
      <c r="AY72" s="282">
        <v>21513.37</v>
      </c>
      <c r="AZ72" s="282">
        <v>0</v>
      </c>
      <c r="BA72" s="282">
        <v>0</v>
      </c>
      <c r="BB72" s="282">
        <v>90829.1</v>
      </c>
      <c r="BC72" s="282">
        <v>0</v>
      </c>
      <c r="BD72" s="282">
        <v>0</v>
      </c>
      <c r="BE72" s="282">
        <v>511.84</v>
      </c>
      <c r="BF72" s="282">
        <v>731.3</v>
      </c>
      <c r="BG72" s="282">
        <v>0</v>
      </c>
      <c r="BH72" s="282">
        <v>0</v>
      </c>
      <c r="BI72" s="282">
        <v>3153.59</v>
      </c>
      <c r="BJ72" s="282">
        <v>0</v>
      </c>
      <c r="BK72" s="282">
        <v>0</v>
      </c>
      <c r="BL72" s="282">
        <v>0</v>
      </c>
      <c r="BM72" s="282">
        <v>0</v>
      </c>
      <c r="BN72" s="282">
        <v>0</v>
      </c>
      <c r="BO72" s="282">
        <v>0</v>
      </c>
      <c r="BP72" s="282">
        <v>0</v>
      </c>
      <c r="BQ72" s="282">
        <v>0</v>
      </c>
      <c r="BR72" s="282">
        <v>0</v>
      </c>
      <c r="BS72" s="282">
        <v>0</v>
      </c>
      <c r="BT72" s="282">
        <v>0</v>
      </c>
      <c r="BU72" s="282">
        <v>0</v>
      </c>
      <c r="BV72" s="282">
        <v>0</v>
      </c>
      <c r="BW72" s="282">
        <v>0</v>
      </c>
      <c r="BX72" s="282">
        <v>0</v>
      </c>
      <c r="BY72" s="282">
        <v>0</v>
      </c>
      <c r="BZ72" s="282">
        <v>933.01</v>
      </c>
      <c r="CA72" s="282">
        <v>0</v>
      </c>
      <c r="CB72" s="282">
        <v>0</v>
      </c>
      <c r="CC72" s="282">
        <v>448596.35000000003</v>
      </c>
      <c r="CD72" s="282">
        <v>0</v>
      </c>
      <c r="CE72" s="25">
        <f t="shared" si="16"/>
        <v>2062320.1000000006</v>
      </c>
    </row>
    <row r="73" spans="1:83" x14ac:dyDescent="0.25">
      <c r="A73" s="26" t="s">
        <v>272</v>
      </c>
      <c r="B73" s="27"/>
      <c r="C73" s="282">
        <v>1344503.8699999999</v>
      </c>
      <c r="D73" s="282">
        <v>1713967.1</v>
      </c>
      <c r="E73" s="282">
        <v>263297.55</v>
      </c>
      <c r="F73" s="282">
        <v>157743.16</v>
      </c>
      <c r="G73" s="282">
        <v>0</v>
      </c>
      <c r="H73" s="282">
        <v>274.74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485296.81999999995</v>
      </c>
      <c r="P73" s="282">
        <v>2571120.0500000003</v>
      </c>
      <c r="Q73" s="282">
        <v>57723.01</v>
      </c>
      <c r="R73" s="282">
        <v>228788.66999999998</v>
      </c>
      <c r="S73" s="282">
        <v>155453.39000000001</v>
      </c>
      <c r="T73" s="282">
        <v>0</v>
      </c>
      <c r="U73" s="282">
        <v>1347229.8300000005</v>
      </c>
      <c r="V73" s="282">
        <v>0</v>
      </c>
      <c r="W73" s="282">
        <v>133810.19</v>
      </c>
      <c r="X73" s="282">
        <v>100864.48999999999</v>
      </c>
      <c r="Y73" s="282">
        <v>355638.57</v>
      </c>
      <c r="Z73" s="282">
        <v>0</v>
      </c>
      <c r="AA73" s="282">
        <v>29539.78</v>
      </c>
      <c r="AB73" s="282">
        <v>2677934.48</v>
      </c>
      <c r="AC73" s="282">
        <v>164402.57</v>
      </c>
      <c r="AD73" s="282">
        <v>37544.300000000003</v>
      </c>
      <c r="AE73" s="282">
        <v>0</v>
      </c>
      <c r="AF73" s="282">
        <v>2188.56</v>
      </c>
      <c r="AG73" s="282">
        <v>793008.85</v>
      </c>
      <c r="AH73" s="282">
        <v>0</v>
      </c>
      <c r="AI73" s="282">
        <v>0</v>
      </c>
      <c r="AJ73" s="282">
        <v>115962.25</v>
      </c>
      <c r="AK73" s="282">
        <v>73179.820000000007</v>
      </c>
      <c r="AL73" s="282">
        <v>19770.810000000001</v>
      </c>
      <c r="AM73" s="282">
        <v>0</v>
      </c>
      <c r="AN73" s="282">
        <v>0</v>
      </c>
      <c r="AO73" s="282">
        <v>235561.76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143350.91</v>
      </c>
      <c r="AW73" s="282">
        <v>163726.99</v>
      </c>
      <c r="AX73" s="282">
        <v>0</v>
      </c>
      <c r="AY73" s="282">
        <v>32056.329999999998</v>
      </c>
      <c r="AZ73" s="282">
        <v>0</v>
      </c>
      <c r="BA73" s="282">
        <v>0</v>
      </c>
      <c r="BB73" s="282">
        <v>89325.8</v>
      </c>
      <c r="BC73" s="282">
        <v>15673.61</v>
      </c>
      <c r="BD73" s="282">
        <v>0</v>
      </c>
      <c r="BE73" s="282">
        <v>40456.29</v>
      </c>
      <c r="BF73" s="282">
        <v>32167.89</v>
      </c>
      <c r="BG73" s="282">
        <v>0</v>
      </c>
      <c r="BH73" s="282">
        <v>0</v>
      </c>
      <c r="BI73" s="282">
        <v>12256.53</v>
      </c>
      <c r="BJ73" s="282">
        <v>0</v>
      </c>
      <c r="BK73" s="282">
        <v>0</v>
      </c>
      <c r="BL73" s="282">
        <v>45763.409999999996</v>
      </c>
      <c r="BM73" s="282">
        <v>0</v>
      </c>
      <c r="BN73" s="282">
        <v>0</v>
      </c>
      <c r="BO73" s="282">
        <v>0</v>
      </c>
      <c r="BP73" s="282">
        <v>4429.88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6748.14</v>
      </c>
      <c r="CA73" s="282">
        <v>0</v>
      </c>
      <c r="CB73" s="282">
        <v>0</v>
      </c>
      <c r="CC73" s="282">
        <v>1193882.6099999999</v>
      </c>
      <c r="CD73" s="282">
        <v>0</v>
      </c>
      <c r="CE73" s="25">
        <f t="shared" si="16"/>
        <v>14844643.010000002</v>
      </c>
    </row>
    <row r="74" spans="1:83" x14ac:dyDescent="0.25">
      <c r="A74" s="26" t="s">
        <v>273</v>
      </c>
      <c r="B74" s="27"/>
      <c r="C74" s="282">
        <v>348158.23</v>
      </c>
      <c r="D74" s="282">
        <v>293643.83</v>
      </c>
      <c r="E74" s="282">
        <v>10220.31</v>
      </c>
      <c r="F74" s="282">
        <v>65868.94</v>
      </c>
      <c r="G74" s="282">
        <v>0</v>
      </c>
      <c r="H74" s="282">
        <v>26993.05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170857.75</v>
      </c>
      <c r="P74" s="282">
        <v>414891.72000000003</v>
      </c>
      <c r="Q74" s="282">
        <v>0</v>
      </c>
      <c r="R74" s="282">
        <v>48706</v>
      </c>
      <c r="S74" s="282">
        <v>590851.82999999996</v>
      </c>
      <c r="T74" s="282">
        <v>0</v>
      </c>
      <c r="U74" s="282">
        <v>28787.090000000004</v>
      </c>
      <c r="V74" s="282">
        <v>0</v>
      </c>
      <c r="W74" s="282">
        <v>3493.86</v>
      </c>
      <c r="X74" s="282">
        <v>109429.16</v>
      </c>
      <c r="Y74" s="282">
        <v>87461.9</v>
      </c>
      <c r="Z74" s="282">
        <v>0</v>
      </c>
      <c r="AA74" s="282">
        <v>0</v>
      </c>
      <c r="AB74" s="282">
        <v>25652.15</v>
      </c>
      <c r="AC74" s="282">
        <v>0</v>
      </c>
      <c r="AD74" s="282">
        <v>0</v>
      </c>
      <c r="AE74" s="282">
        <v>0</v>
      </c>
      <c r="AF74" s="282">
        <v>0</v>
      </c>
      <c r="AG74" s="282">
        <v>407075.51</v>
      </c>
      <c r="AH74" s="282">
        <v>0</v>
      </c>
      <c r="AI74" s="282">
        <v>0</v>
      </c>
      <c r="AJ74" s="282">
        <v>0</v>
      </c>
      <c r="AK74" s="282">
        <v>0</v>
      </c>
      <c r="AL74" s="282">
        <v>0</v>
      </c>
      <c r="AM74" s="282">
        <v>0</v>
      </c>
      <c r="AN74" s="282">
        <v>0</v>
      </c>
      <c r="AO74" s="282">
        <v>55492.23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18796.84</v>
      </c>
      <c r="AW74" s="282">
        <v>0</v>
      </c>
      <c r="AX74" s="282">
        <v>0</v>
      </c>
      <c r="AY74" s="282">
        <v>2697.49</v>
      </c>
      <c r="AZ74" s="282">
        <v>0</v>
      </c>
      <c r="BA74" s="282">
        <v>0</v>
      </c>
      <c r="BB74" s="282">
        <v>0</v>
      </c>
      <c r="BC74" s="282">
        <v>0</v>
      </c>
      <c r="BD74" s="282">
        <v>0</v>
      </c>
      <c r="BE74" s="282">
        <v>3696.95</v>
      </c>
      <c r="BF74" s="282">
        <v>1518.28</v>
      </c>
      <c r="BG74" s="282">
        <v>0</v>
      </c>
      <c r="BH74" s="282">
        <v>0</v>
      </c>
      <c r="BI74" s="282">
        <v>17279.47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5515.59</v>
      </c>
      <c r="CD74" s="282">
        <v>0</v>
      </c>
      <c r="CE74" s="25">
        <f t="shared" si="16"/>
        <v>2737088.18</v>
      </c>
    </row>
    <row r="75" spans="1:83" x14ac:dyDescent="0.25">
      <c r="A75" s="26" t="s">
        <v>274</v>
      </c>
      <c r="B75" s="27"/>
      <c r="C75" s="282">
        <v>0</v>
      </c>
      <c r="D75" s="282">
        <v>0</v>
      </c>
      <c r="E75" s="282">
        <v>22909.77</v>
      </c>
      <c r="F75" s="282">
        <v>0</v>
      </c>
      <c r="G75" s="282">
        <v>0</v>
      </c>
      <c r="H75" s="282">
        <v>11697.79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11145.48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0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0</v>
      </c>
      <c r="BZ75" s="282">
        <v>0</v>
      </c>
      <c r="CA75" s="282">
        <v>0</v>
      </c>
      <c r="CB75" s="282">
        <v>0</v>
      </c>
      <c r="CC75" s="282">
        <v>13030.779999999999</v>
      </c>
      <c r="CD75" s="282">
        <v>0</v>
      </c>
      <c r="CE75" s="25">
        <f t="shared" si="16"/>
        <v>58783.819999999992</v>
      </c>
    </row>
    <row r="76" spans="1:83" x14ac:dyDescent="0.25">
      <c r="A76" s="26" t="s">
        <v>275</v>
      </c>
      <c r="B76" s="203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f t="shared" si="16"/>
        <v>0</v>
      </c>
    </row>
    <row r="77" spans="1:83" x14ac:dyDescent="0.25">
      <c r="A77" s="26" t="s">
        <v>276</v>
      </c>
      <c r="B77" s="27"/>
      <c r="C77" s="282">
        <v>101279.40000000001</v>
      </c>
      <c r="D77" s="282">
        <v>115712.79999999999</v>
      </c>
      <c r="E77" s="282">
        <v>1060.23</v>
      </c>
      <c r="F77" s="282">
        <v>3525.45</v>
      </c>
      <c r="G77" s="282">
        <v>0</v>
      </c>
      <c r="H77" s="282">
        <v>2557.0500000000002</v>
      </c>
      <c r="I77" s="282">
        <v>0</v>
      </c>
      <c r="J77" s="282">
        <v>0</v>
      </c>
      <c r="K77" s="282">
        <v>0</v>
      </c>
      <c r="L77" s="282">
        <v>0</v>
      </c>
      <c r="M77" s="282">
        <v>0</v>
      </c>
      <c r="N77" s="282">
        <v>0</v>
      </c>
      <c r="O77" s="282">
        <v>27974.260000000002</v>
      </c>
      <c r="P77" s="282">
        <v>604003.80999999994</v>
      </c>
      <c r="Q77" s="282">
        <v>332.88</v>
      </c>
      <c r="R77" s="282">
        <v>3708.3</v>
      </c>
      <c r="S77" s="282">
        <v>1118792.01</v>
      </c>
      <c r="T77" s="282">
        <v>0</v>
      </c>
      <c r="U77" s="282">
        <v>66192.31</v>
      </c>
      <c r="V77" s="282">
        <v>0</v>
      </c>
      <c r="W77" s="282">
        <v>42281.07</v>
      </c>
      <c r="X77" s="282">
        <v>21224.22</v>
      </c>
      <c r="Y77" s="282">
        <v>8582.4300000000039</v>
      </c>
      <c r="Z77" s="282">
        <v>0</v>
      </c>
      <c r="AA77" s="282">
        <v>520</v>
      </c>
      <c r="AB77" s="282">
        <v>45911.7</v>
      </c>
      <c r="AC77" s="282">
        <v>11188.82</v>
      </c>
      <c r="AD77" s="282">
        <v>13952.95</v>
      </c>
      <c r="AE77" s="282">
        <v>0</v>
      </c>
      <c r="AF77" s="282">
        <v>0</v>
      </c>
      <c r="AG77" s="282">
        <v>41273.410000000003</v>
      </c>
      <c r="AH77" s="282">
        <v>0</v>
      </c>
      <c r="AI77" s="282">
        <v>0</v>
      </c>
      <c r="AJ77" s="282">
        <v>7142.27</v>
      </c>
      <c r="AK77" s="282">
        <v>0</v>
      </c>
      <c r="AL77" s="282">
        <v>0</v>
      </c>
      <c r="AM77" s="282">
        <v>0</v>
      </c>
      <c r="AN77" s="282">
        <v>0</v>
      </c>
      <c r="AO77" s="282">
        <v>9925.7099999999991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8802.68</v>
      </c>
      <c r="AW77" s="282">
        <v>0</v>
      </c>
      <c r="AX77" s="282">
        <v>0</v>
      </c>
      <c r="AY77" s="282">
        <v>12606.12</v>
      </c>
      <c r="AZ77" s="282">
        <v>0</v>
      </c>
      <c r="BA77" s="282">
        <v>0</v>
      </c>
      <c r="BB77" s="282">
        <v>0</v>
      </c>
      <c r="BC77" s="282">
        <v>0</v>
      </c>
      <c r="BD77" s="282">
        <v>0</v>
      </c>
      <c r="BE77" s="282">
        <v>1014932.42</v>
      </c>
      <c r="BF77" s="282">
        <v>13559.33</v>
      </c>
      <c r="BG77" s="282">
        <v>0</v>
      </c>
      <c r="BH77" s="282">
        <v>0</v>
      </c>
      <c r="BI77" s="282">
        <v>11165.09</v>
      </c>
      <c r="BJ77" s="282">
        <v>0</v>
      </c>
      <c r="BK77" s="282">
        <v>0</v>
      </c>
      <c r="BL77" s="282">
        <v>15.81</v>
      </c>
      <c r="BM77" s="282">
        <v>0</v>
      </c>
      <c r="BN77" s="282">
        <v>0</v>
      </c>
      <c r="BO77" s="282">
        <v>0</v>
      </c>
      <c r="BP77" s="282">
        <v>0</v>
      </c>
      <c r="BQ77" s="282">
        <v>0</v>
      </c>
      <c r="BR77" s="282">
        <v>0</v>
      </c>
      <c r="BS77" s="282">
        <v>0</v>
      </c>
      <c r="BT77" s="282">
        <v>0</v>
      </c>
      <c r="BU77" s="282">
        <v>0</v>
      </c>
      <c r="BV77" s="282">
        <v>0</v>
      </c>
      <c r="BW77" s="282">
        <v>0</v>
      </c>
      <c r="BX77" s="282">
        <v>0</v>
      </c>
      <c r="BY77" s="282">
        <v>0</v>
      </c>
      <c r="BZ77" s="282">
        <v>1044.32</v>
      </c>
      <c r="CA77" s="282">
        <v>0</v>
      </c>
      <c r="CB77" s="282">
        <v>0</v>
      </c>
      <c r="CC77" s="282">
        <v>546946.68999999994</v>
      </c>
      <c r="CD77" s="282">
        <v>0</v>
      </c>
      <c r="CE77" s="25">
        <f t="shared" si="16"/>
        <v>3856213.5400000005</v>
      </c>
    </row>
    <row r="78" spans="1:83" x14ac:dyDescent="0.25">
      <c r="A78" s="26" t="s">
        <v>277</v>
      </c>
      <c r="B78" s="16"/>
      <c r="C78" s="282">
        <v>2153972.9899999998</v>
      </c>
      <c r="D78" s="282">
        <v>2341125.1799999997</v>
      </c>
      <c r="E78" s="282">
        <v>-1431721.6700000002</v>
      </c>
      <c r="F78" s="282">
        <v>156661.54999999999</v>
      </c>
      <c r="G78" s="282">
        <v>0</v>
      </c>
      <c r="H78" s="282">
        <v>262778.27</v>
      </c>
      <c r="I78" s="282">
        <v>0</v>
      </c>
      <c r="J78" s="282">
        <v>0</v>
      </c>
      <c r="K78" s="282">
        <v>0</v>
      </c>
      <c r="L78" s="282">
        <v>0</v>
      </c>
      <c r="M78" s="282">
        <v>0</v>
      </c>
      <c r="N78" s="282">
        <v>0</v>
      </c>
      <c r="O78" s="282">
        <v>-2878330.52</v>
      </c>
      <c r="P78" s="282">
        <v>3655193.3700000006</v>
      </c>
      <c r="Q78" s="282">
        <v>85770.32</v>
      </c>
      <c r="R78" s="282">
        <v>249544.89</v>
      </c>
      <c r="S78" s="282">
        <v>0</v>
      </c>
      <c r="T78" s="282">
        <v>0</v>
      </c>
      <c r="U78" s="282">
        <v>1573135.69</v>
      </c>
      <c r="V78" s="282">
        <v>0</v>
      </c>
      <c r="W78" s="282">
        <v>146611.04</v>
      </c>
      <c r="X78" s="282">
        <v>163292.07</v>
      </c>
      <c r="Y78" s="282">
        <v>449079.52999999997</v>
      </c>
      <c r="Z78" s="282">
        <v>0</v>
      </c>
      <c r="AA78" s="282">
        <v>36036.629999999997</v>
      </c>
      <c r="AB78" s="282">
        <v>3364842.26</v>
      </c>
      <c r="AC78" s="282">
        <v>179633.64</v>
      </c>
      <c r="AD78" s="282">
        <v>57854.03</v>
      </c>
      <c r="AE78" s="282">
        <v>0</v>
      </c>
      <c r="AF78" s="282">
        <v>0</v>
      </c>
      <c r="AG78" s="282">
        <v>985209.36</v>
      </c>
      <c r="AH78" s="282">
        <v>0</v>
      </c>
      <c r="AI78" s="282">
        <v>0</v>
      </c>
      <c r="AJ78" s="282">
        <v>-870961.55</v>
      </c>
      <c r="AK78" s="282">
        <v>84871.42</v>
      </c>
      <c r="AL78" s="282">
        <v>26290.799999999999</v>
      </c>
      <c r="AM78" s="282">
        <v>0</v>
      </c>
      <c r="AN78" s="282">
        <v>0</v>
      </c>
      <c r="AO78" s="282">
        <v>313921.79000000004</v>
      </c>
      <c r="AP78" s="282">
        <v>0</v>
      </c>
      <c r="AQ78" s="282">
        <v>0</v>
      </c>
      <c r="AR78" s="282">
        <v>16677.189999999999</v>
      </c>
      <c r="AS78" s="282">
        <v>0</v>
      </c>
      <c r="AT78" s="282">
        <v>0</v>
      </c>
      <c r="AU78" s="282">
        <v>0</v>
      </c>
      <c r="AV78" s="282">
        <v>184809.37</v>
      </c>
      <c r="AW78" s="282">
        <v>90430.79</v>
      </c>
      <c r="AX78" s="282">
        <v>0</v>
      </c>
      <c r="AY78" s="282">
        <v>7088.15</v>
      </c>
      <c r="AZ78" s="282">
        <v>0</v>
      </c>
      <c r="BA78" s="282">
        <v>0</v>
      </c>
      <c r="BB78" s="282">
        <v>0</v>
      </c>
      <c r="BC78" s="282">
        <v>0</v>
      </c>
      <c r="BD78" s="282">
        <v>0</v>
      </c>
      <c r="BE78" s="282">
        <v>0</v>
      </c>
      <c r="BF78" s="282">
        <v>0</v>
      </c>
      <c r="BG78" s="282">
        <v>0</v>
      </c>
      <c r="BH78" s="282">
        <v>0</v>
      </c>
      <c r="BI78" s="282">
        <v>18045.759999999998</v>
      </c>
      <c r="BJ78" s="282">
        <v>0</v>
      </c>
      <c r="BK78" s="282">
        <v>0</v>
      </c>
      <c r="BL78" s="282">
        <v>0</v>
      </c>
      <c r="BM78" s="282">
        <v>0</v>
      </c>
      <c r="BN78" s="282">
        <v>0</v>
      </c>
      <c r="BO78" s="282">
        <v>0</v>
      </c>
      <c r="BP78" s="282">
        <v>308.11</v>
      </c>
      <c r="BQ78" s="282">
        <v>0</v>
      </c>
      <c r="BR78" s="282">
        <v>0</v>
      </c>
      <c r="BS78" s="282">
        <v>0</v>
      </c>
      <c r="BT78" s="282">
        <v>0</v>
      </c>
      <c r="BU78" s="282">
        <v>0</v>
      </c>
      <c r="BV78" s="282">
        <v>0</v>
      </c>
      <c r="BW78" s="282">
        <v>0</v>
      </c>
      <c r="BX78" s="282">
        <v>0</v>
      </c>
      <c r="BY78" s="282">
        <v>0</v>
      </c>
      <c r="BZ78" s="282">
        <v>0</v>
      </c>
      <c r="CA78" s="282">
        <v>0</v>
      </c>
      <c r="CB78" s="282">
        <v>0</v>
      </c>
      <c r="CC78" s="282">
        <v>104315775.92</v>
      </c>
      <c r="CD78" s="282">
        <v>0</v>
      </c>
      <c r="CE78" s="25">
        <f t="shared" si="16"/>
        <v>115737946.38</v>
      </c>
    </row>
    <row r="79" spans="1:83" x14ac:dyDescent="0.25">
      <c r="A79" s="26" t="s">
        <v>278</v>
      </c>
      <c r="B79" s="16"/>
      <c r="C79" s="282">
        <v>33984.21</v>
      </c>
      <c r="D79" s="282">
        <v>9806.84</v>
      </c>
      <c r="E79" s="282">
        <v>9238.86</v>
      </c>
      <c r="F79" s="282">
        <v>0</v>
      </c>
      <c r="G79" s="282">
        <v>0</v>
      </c>
      <c r="H79" s="282">
        <v>2385.14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0</v>
      </c>
      <c r="P79" s="282">
        <v>0</v>
      </c>
      <c r="Q79" s="282">
        <v>0</v>
      </c>
      <c r="R79" s="282">
        <v>0</v>
      </c>
      <c r="S79" s="282">
        <v>0</v>
      </c>
      <c r="T79" s="282">
        <v>0</v>
      </c>
      <c r="U79" s="282">
        <v>0</v>
      </c>
      <c r="V79" s="282">
        <v>0</v>
      </c>
      <c r="W79" s="282">
        <v>0</v>
      </c>
      <c r="X79" s="282">
        <v>0</v>
      </c>
      <c r="Y79" s="282">
        <v>0</v>
      </c>
      <c r="Z79" s="282">
        <v>0</v>
      </c>
      <c r="AA79" s="282">
        <v>0</v>
      </c>
      <c r="AB79" s="282">
        <v>276.72000000000003</v>
      </c>
      <c r="AC79" s="282">
        <v>0</v>
      </c>
      <c r="AD79" s="282">
        <v>0</v>
      </c>
      <c r="AE79" s="282">
        <v>0</v>
      </c>
      <c r="AF79" s="282">
        <v>0</v>
      </c>
      <c r="AG79" s="282">
        <v>0</v>
      </c>
      <c r="AH79" s="282">
        <v>0</v>
      </c>
      <c r="AI79" s="282">
        <v>0</v>
      </c>
      <c r="AJ79" s="282">
        <v>10480.060000000001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0</v>
      </c>
      <c r="BG79" s="282">
        <v>0</v>
      </c>
      <c r="BH79" s="282">
        <v>0</v>
      </c>
      <c r="BI79" s="282">
        <v>1437.72</v>
      </c>
      <c r="BJ79" s="282">
        <v>0</v>
      </c>
      <c r="BK79" s="282">
        <v>0</v>
      </c>
      <c r="BL79" s="282">
        <v>0</v>
      </c>
      <c r="BM79" s="282">
        <v>0</v>
      </c>
      <c r="BN79" s="282">
        <v>0</v>
      </c>
      <c r="BO79" s="282">
        <v>0</v>
      </c>
      <c r="BP79" s="282">
        <v>0</v>
      </c>
      <c r="BQ79" s="282">
        <v>0</v>
      </c>
      <c r="BR79" s="282">
        <v>0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0</v>
      </c>
      <c r="BZ79" s="282">
        <v>0</v>
      </c>
      <c r="CA79" s="282">
        <v>0</v>
      </c>
      <c r="CB79" s="282">
        <v>0</v>
      </c>
      <c r="CC79" s="282">
        <v>-32062.85</v>
      </c>
      <c r="CD79" s="282">
        <v>0</v>
      </c>
      <c r="CE79" s="25">
        <f t="shared" si="16"/>
        <v>35546.700000000004</v>
      </c>
    </row>
    <row r="80" spans="1:83" x14ac:dyDescent="0.25">
      <c r="A80" s="26" t="s">
        <v>279</v>
      </c>
      <c r="B80" s="16"/>
      <c r="C80" s="282">
        <v>60876.630000000005</v>
      </c>
      <c r="D80" s="282">
        <v>37470.989999999991</v>
      </c>
      <c r="E80" s="282">
        <v>3846.5499999999997</v>
      </c>
      <c r="F80" s="282">
        <v>7546.35</v>
      </c>
      <c r="G80" s="282">
        <v>0</v>
      </c>
      <c r="H80" s="282">
        <v>3668.88</v>
      </c>
      <c r="I80" s="282">
        <v>0</v>
      </c>
      <c r="J80" s="282">
        <v>0</v>
      </c>
      <c r="K80" s="282">
        <v>0</v>
      </c>
      <c r="L80" s="282">
        <v>0</v>
      </c>
      <c r="M80" s="282">
        <v>0</v>
      </c>
      <c r="N80" s="282">
        <v>0</v>
      </c>
      <c r="O80" s="282">
        <v>16457.63</v>
      </c>
      <c r="P80" s="282">
        <v>24009.339999999997</v>
      </c>
      <c r="Q80" s="282">
        <v>2120.4699999999998</v>
      </c>
      <c r="R80" s="282">
        <v>9075.8000000000011</v>
      </c>
      <c r="S80" s="282">
        <v>74.31</v>
      </c>
      <c r="T80" s="282">
        <v>0</v>
      </c>
      <c r="U80" s="282">
        <v>10155.009999999998</v>
      </c>
      <c r="V80" s="282">
        <v>0</v>
      </c>
      <c r="W80" s="282">
        <v>2063.8500000000004</v>
      </c>
      <c r="X80" s="282">
        <v>2059.23</v>
      </c>
      <c r="Y80" s="282">
        <v>7764.119999999999</v>
      </c>
      <c r="Z80" s="282">
        <v>0</v>
      </c>
      <c r="AA80" s="282">
        <v>468.88</v>
      </c>
      <c r="AB80" s="282">
        <v>15496.49</v>
      </c>
      <c r="AC80" s="282">
        <v>10348.41</v>
      </c>
      <c r="AD80" s="282">
        <v>0</v>
      </c>
      <c r="AE80" s="282">
        <v>0</v>
      </c>
      <c r="AF80" s="282">
        <v>0</v>
      </c>
      <c r="AG80" s="282">
        <v>43800.05</v>
      </c>
      <c r="AH80" s="282">
        <v>0</v>
      </c>
      <c r="AI80" s="282">
        <v>0</v>
      </c>
      <c r="AJ80" s="282">
        <v>14956.5</v>
      </c>
      <c r="AK80" s="282">
        <v>2674.44</v>
      </c>
      <c r="AL80" s="282">
        <v>602.82000000000005</v>
      </c>
      <c r="AM80" s="282">
        <v>0</v>
      </c>
      <c r="AN80" s="282">
        <v>0</v>
      </c>
      <c r="AO80" s="282">
        <v>6147.8600000000006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3125.08</v>
      </c>
      <c r="AW80" s="282">
        <v>13762.18</v>
      </c>
      <c r="AX80" s="282">
        <v>0</v>
      </c>
      <c r="AY80" s="282">
        <v>1509</v>
      </c>
      <c r="AZ80" s="282">
        <v>0</v>
      </c>
      <c r="BA80" s="282">
        <v>0</v>
      </c>
      <c r="BB80" s="282">
        <v>177.31</v>
      </c>
      <c r="BC80" s="282">
        <v>640.66000000000008</v>
      </c>
      <c r="BD80" s="282">
        <v>0</v>
      </c>
      <c r="BE80" s="282">
        <v>819</v>
      </c>
      <c r="BF80" s="282">
        <v>0</v>
      </c>
      <c r="BG80" s="282">
        <v>0</v>
      </c>
      <c r="BH80" s="282">
        <v>0</v>
      </c>
      <c r="BI80" s="282">
        <v>0</v>
      </c>
      <c r="BJ80" s="282">
        <v>0</v>
      </c>
      <c r="BK80" s="282">
        <v>0</v>
      </c>
      <c r="BL80" s="282">
        <v>39.33</v>
      </c>
      <c r="BM80" s="282">
        <v>0</v>
      </c>
      <c r="BN80" s="282">
        <v>0</v>
      </c>
      <c r="BO80" s="282">
        <v>0</v>
      </c>
      <c r="BP80" s="282">
        <v>0</v>
      </c>
      <c r="BQ80" s="282">
        <v>0</v>
      </c>
      <c r="BR80" s="282">
        <v>0</v>
      </c>
      <c r="BS80" s="282">
        <v>0</v>
      </c>
      <c r="BT80" s="282">
        <v>0</v>
      </c>
      <c r="BU80" s="282">
        <v>0</v>
      </c>
      <c r="BV80" s="282">
        <v>0</v>
      </c>
      <c r="BW80" s="282">
        <v>0</v>
      </c>
      <c r="BX80" s="282">
        <v>0</v>
      </c>
      <c r="BY80" s="282">
        <v>0</v>
      </c>
      <c r="BZ80" s="282">
        <v>4723.8100000000004</v>
      </c>
      <c r="CA80" s="282">
        <v>0</v>
      </c>
      <c r="CB80" s="282">
        <v>0</v>
      </c>
      <c r="CC80" s="282">
        <v>33716.740000000013</v>
      </c>
      <c r="CD80" s="282">
        <v>0</v>
      </c>
      <c r="CE80" s="25">
        <f t="shared" si="16"/>
        <v>340197.72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20758.84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80099.460000000006</v>
      </c>
      <c r="Q81" s="282">
        <v>0</v>
      </c>
      <c r="R81" s="282">
        <v>0</v>
      </c>
      <c r="S81" s="282">
        <v>0</v>
      </c>
      <c r="T81" s="282">
        <v>0</v>
      </c>
      <c r="U81" s="282">
        <v>2758.9</v>
      </c>
      <c r="V81" s="282">
        <v>0</v>
      </c>
      <c r="W81" s="282">
        <v>250.7</v>
      </c>
      <c r="X81" s="282">
        <v>0</v>
      </c>
      <c r="Y81" s="282">
        <v>0</v>
      </c>
      <c r="Z81" s="282">
        <v>0</v>
      </c>
      <c r="AA81" s="282">
        <v>0</v>
      </c>
      <c r="AB81" s="282">
        <v>0</v>
      </c>
      <c r="AC81" s="282">
        <v>0</v>
      </c>
      <c r="AD81" s="282">
        <v>0</v>
      </c>
      <c r="AE81" s="282">
        <v>0</v>
      </c>
      <c r="AF81" s="282">
        <v>0</v>
      </c>
      <c r="AG81" s="282">
        <v>4118.17</v>
      </c>
      <c r="AH81" s="282">
        <v>0</v>
      </c>
      <c r="AI81" s="282">
        <v>0</v>
      </c>
      <c r="AJ81" s="282">
        <v>10000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0</v>
      </c>
      <c r="BF81" s="282">
        <v>0</v>
      </c>
      <c r="BG81" s="282">
        <v>0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0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0</v>
      </c>
      <c r="BZ81" s="282">
        <v>0</v>
      </c>
      <c r="CA81" s="282">
        <v>0</v>
      </c>
      <c r="CB81" s="282">
        <v>0</v>
      </c>
      <c r="CC81" s="282">
        <v>9099353.5800000001</v>
      </c>
      <c r="CD81" s="282">
        <v>0</v>
      </c>
      <c r="CE81" s="25">
        <f t="shared" si="16"/>
        <v>9217339.6500000004</v>
      </c>
    </row>
    <row r="82" spans="1:84" x14ac:dyDescent="0.25">
      <c r="A82" s="26" t="s">
        <v>281</v>
      </c>
      <c r="B82" s="16"/>
      <c r="C82" s="282">
        <v>325276.28999999998</v>
      </c>
      <c r="D82" s="282">
        <v>440999.01000000007</v>
      </c>
      <c r="E82" s="282">
        <v>20353.77</v>
      </c>
      <c r="F82" s="282">
        <v>0</v>
      </c>
      <c r="G82" s="282">
        <v>0</v>
      </c>
      <c r="H82" s="282">
        <v>45849.63</v>
      </c>
      <c r="I82" s="282">
        <v>0</v>
      </c>
      <c r="J82" s="282">
        <v>0</v>
      </c>
      <c r="K82" s="282">
        <v>0</v>
      </c>
      <c r="L82" s="282">
        <v>0</v>
      </c>
      <c r="M82" s="282">
        <v>0</v>
      </c>
      <c r="N82" s="282">
        <v>0</v>
      </c>
      <c r="O82" s="282">
        <v>167428.43</v>
      </c>
      <c r="P82" s="282">
        <v>345590.02</v>
      </c>
      <c r="Q82" s="282">
        <v>14753.94</v>
      </c>
      <c r="R82" s="282">
        <v>64691.4</v>
      </c>
      <c r="S82" s="282">
        <v>50436.09</v>
      </c>
      <c r="T82" s="282">
        <v>0</v>
      </c>
      <c r="U82" s="282">
        <v>109397.81000000001</v>
      </c>
      <c r="V82" s="282">
        <v>0</v>
      </c>
      <c r="W82" s="282">
        <v>18550.79</v>
      </c>
      <c r="X82" s="282">
        <v>13938.69</v>
      </c>
      <c r="Y82" s="282">
        <v>95591.290000000008</v>
      </c>
      <c r="Z82" s="282">
        <v>0</v>
      </c>
      <c r="AA82" s="282">
        <v>5809.15</v>
      </c>
      <c r="AB82" s="282">
        <v>56997.97</v>
      </c>
      <c r="AC82" s="282">
        <v>7874.3</v>
      </c>
      <c r="AD82" s="282">
        <v>1008.16</v>
      </c>
      <c r="AE82" s="282">
        <v>212.84</v>
      </c>
      <c r="AF82" s="282">
        <v>1629.5</v>
      </c>
      <c r="AG82" s="282">
        <v>186888.72</v>
      </c>
      <c r="AH82" s="282">
        <v>0</v>
      </c>
      <c r="AI82" s="282">
        <v>0</v>
      </c>
      <c r="AJ82" s="282">
        <v>18082.620000000003</v>
      </c>
      <c r="AK82" s="282">
        <v>4372.1899999999996</v>
      </c>
      <c r="AL82" s="282">
        <v>0</v>
      </c>
      <c r="AM82" s="282">
        <v>0</v>
      </c>
      <c r="AN82" s="282">
        <v>0</v>
      </c>
      <c r="AO82" s="282">
        <v>45233.2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0</v>
      </c>
      <c r="AV82" s="282">
        <v>37273.61</v>
      </c>
      <c r="AW82" s="282">
        <v>305.32</v>
      </c>
      <c r="AX82" s="282">
        <v>0</v>
      </c>
      <c r="AY82" s="282">
        <v>40403.39</v>
      </c>
      <c r="AZ82" s="282">
        <v>0</v>
      </c>
      <c r="BA82" s="282">
        <v>0</v>
      </c>
      <c r="BB82" s="282">
        <v>3015.27</v>
      </c>
      <c r="BC82" s="282">
        <v>-38.29</v>
      </c>
      <c r="BD82" s="282">
        <v>0</v>
      </c>
      <c r="BE82" s="282">
        <v>117214.45</v>
      </c>
      <c r="BF82" s="282">
        <v>10455.99</v>
      </c>
      <c r="BG82" s="282">
        <v>0</v>
      </c>
      <c r="BH82" s="282">
        <v>0</v>
      </c>
      <c r="BI82" s="282">
        <v>22736.85</v>
      </c>
      <c r="BJ82" s="282">
        <v>0</v>
      </c>
      <c r="BK82" s="282">
        <v>0</v>
      </c>
      <c r="BL82" s="282">
        <v>7462.67</v>
      </c>
      <c r="BM82" s="282">
        <v>0</v>
      </c>
      <c r="BN82" s="282">
        <v>0</v>
      </c>
      <c r="BO82" s="282">
        <v>0</v>
      </c>
      <c r="BP82" s="282">
        <v>0</v>
      </c>
      <c r="BQ82" s="282">
        <v>0</v>
      </c>
      <c r="BR82" s="282">
        <v>0</v>
      </c>
      <c r="BS82" s="282">
        <v>0</v>
      </c>
      <c r="BT82" s="282">
        <v>0</v>
      </c>
      <c r="BU82" s="282">
        <v>0</v>
      </c>
      <c r="BV82" s="282">
        <v>0</v>
      </c>
      <c r="BW82" s="282">
        <v>0</v>
      </c>
      <c r="BX82" s="282">
        <v>0</v>
      </c>
      <c r="BY82" s="282">
        <v>0</v>
      </c>
      <c r="BZ82" s="282">
        <v>0</v>
      </c>
      <c r="CA82" s="282">
        <v>0</v>
      </c>
      <c r="CB82" s="282">
        <v>0</v>
      </c>
      <c r="CC82" s="282">
        <v>85121.690000000017</v>
      </c>
      <c r="CD82" s="282">
        <v>0</v>
      </c>
      <c r="CE82" s="25">
        <f t="shared" si="16"/>
        <v>2364916.7600000007</v>
      </c>
    </row>
    <row r="83" spans="1:84" x14ac:dyDescent="0.25">
      <c r="A83" s="26" t="s">
        <v>282</v>
      </c>
      <c r="B83" s="16"/>
      <c r="C83" s="273">
        <v>203299.83000000025</v>
      </c>
      <c r="D83" s="273">
        <v>258643.78999999986</v>
      </c>
      <c r="E83" s="275">
        <v>88661.420000000013</v>
      </c>
      <c r="F83" s="275">
        <v>9141.4700000000066</v>
      </c>
      <c r="G83" s="273">
        <v>0</v>
      </c>
      <c r="H83" s="273">
        <v>52027.239999999983</v>
      </c>
      <c r="I83" s="275">
        <v>0</v>
      </c>
      <c r="J83" s="275">
        <v>0</v>
      </c>
      <c r="K83" s="275">
        <v>0</v>
      </c>
      <c r="L83" s="275">
        <v>0</v>
      </c>
      <c r="M83" s="273">
        <v>0</v>
      </c>
      <c r="N83" s="273">
        <v>0</v>
      </c>
      <c r="O83" s="273">
        <v>135686.22000000015</v>
      </c>
      <c r="P83" s="275">
        <v>268052.16000000003</v>
      </c>
      <c r="Q83" s="275">
        <v>7642.5199999999986</v>
      </c>
      <c r="R83" s="276">
        <v>21248.419999999991</v>
      </c>
      <c r="S83" s="275">
        <v>30957.350000000006</v>
      </c>
      <c r="T83" s="273">
        <v>0</v>
      </c>
      <c r="U83" s="275">
        <v>315248.18999999919</v>
      </c>
      <c r="V83" s="275">
        <v>0</v>
      </c>
      <c r="W83" s="273">
        <v>11400.480000000007</v>
      </c>
      <c r="X83" s="275">
        <v>13791.630000000017</v>
      </c>
      <c r="Y83" s="275">
        <v>60085.550000000017</v>
      </c>
      <c r="Z83" s="275">
        <v>0</v>
      </c>
      <c r="AA83" s="275">
        <v>1871.1600000000026</v>
      </c>
      <c r="AB83" s="275">
        <v>161496.66999999917</v>
      </c>
      <c r="AC83" s="275">
        <v>-28068.93</v>
      </c>
      <c r="AD83" s="275">
        <v>319.02999999999508</v>
      </c>
      <c r="AE83" s="275">
        <v>397.31999999999994</v>
      </c>
      <c r="AF83" s="275">
        <v>26.329999999999927</v>
      </c>
      <c r="AG83" s="275">
        <v>137075.65</v>
      </c>
      <c r="AH83" s="275">
        <v>0</v>
      </c>
      <c r="AI83" s="275">
        <v>0</v>
      </c>
      <c r="AJ83" s="275">
        <v>185803.30000000005</v>
      </c>
      <c r="AK83" s="275">
        <v>1560.5199999999941</v>
      </c>
      <c r="AL83" s="275">
        <v>-3.4106051316484809E-13</v>
      </c>
      <c r="AM83" s="275">
        <v>0</v>
      </c>
      <c r="AN83" s="275">
        <v>0</v>
      </c>
      <c r="AO83" s="273">
        <v>15069.450000000012</v>
      </c>
      <c r="AP83" s="275">
        <v>0</v>
      </c>
      <c r="AQ83" s="273">
        <v>0</v>
      </c>
      <c r="AR83" s="273">
        <v>0</v>
      </c>
      <c r="AS83" s="273">
        <v>0</v>
      </c>
      <c r="AT83" s="273">
        <v>0</v>
      </c>
      <c r="AU83" s="275">
        <v>0</v>
      </c>
      <c r="AV83" s="275">
        <v>19298.190000000002</v>
      </c>
      <c r="AW83" s="275">
        <v>3791.5100000000089</v>
      </c>
      <c r="AX83" s="275">
        <v>0</v>
      </c>
      <c r="AY83" s="275">
        <v>18819.940000000002</v>
      </c>
      <c r="AZ83" s="275">
        <v>0</v>
      </c>
      <c r="BA83" s="275">
        <v>0</v>
      </c>
      <c r="BB83" s="275">
        <v>7651.899999999996</v>
      </c>
      <c r="BC83" s="275">
        <v>143.03000000000137</v>
      </c>
      <c r="BD83" s="275">
        <v>0</v>
      </c>
      <c r="BE83" s="275">
        <v>45287.67</v>
      </c>
      <c r="BF83" s="275">
        <v>305626.81</v>
      </c>
      <c r="BG83" s="275">
        <v>0</v>
      </c>
      <c r="BH83" s="276">
        <v>0</v>
      </c>
      <c r="BI83" s="275">
        <v>12047.049999999996</v>
      </c>
      <c r="BJ83" s="275">
        <v>0</v>
      </c>
      <c r="BK83" s="275">
        <v>0</v>
      </c>
      <c r="BL83" s="275">
        <v>3083.510000000002</v>
      </c>
      <c r="BM83" s="275">
        <v>0</v>
      </c>
      <c r="BN83" s="275">
        <v>0</v>
      </c>
      <c r="BO83" s="275">
        <v>0</v>
      </c>
      <c r="BP83" s="275">
        <v>136712.04999999999</v>
      </c>
      <c r="BQ83" s="275">
        <v>0</v>
      </c>
      <c r="BR83" s="275">
        <v>0</v>
      </c>
      <c r="BS83" s="275">
        <v>0</v>
      </c>
      <c r="BT83" s="275">
        <v>0</v>
      </c>
      <c r="BU83" s="275">
        <v>0</v>
      </c>
      <c r="BV83" s="275">
        <v>0</v>
      </c>
      <c r="BW83" s="275">
        <v>0</v>
      </c>
      <c r="BX83" s="275">
        <v>0</v>
      </c>
      <c r="BY83" s="275">
        <v>0</v>
      </c>
      <c r="BZ83" s="275">
        <v>949.38999999999942</v>
      </c>
      <c r="CA83" s="275">
        <v>0</v>
      </c>
      <c r="CB83" s="275">
        <v>0</v>
      </c>
      <c r="CC83" s="275">
        <v>60218798.620000012</v>
      </c>
      <c r="CD83" s="282">
        <v>0</v>
      </c>
      <c r="CE83" s="25">
        <f t="shared" si="16"/>
        <v>62723646.440000013</v>
      </c>
    </row>
    <row r="84" spans="1:84" x14ac:dyDescent="0.25">
      <c r="A84" s="31" t="s">
        <v>283</v>
      </c>
      <c r="B84" s="16"/>
      <c r="C84" s="273">
        <v>21870.21</v>
      </c>
      <c r="D84" s="273">
        <v>29757.069999999996</v>
      </c>
      <c r="E84" s="273">
        <v>11625.6</v>
      </c>
      <c r="F84" s="273">
        <v>4906</v>
      </c>
      <c r="G84" s="273">
        <v>0</v>
      </c>
      <c r="H84" s="273">
        <v>61990.930000000008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39375.910000000003</v>
      </c>
      <c r="P84" s="273">
        <v>-3555.7300000041723</v>
      </c>
      <c r="Q84" s="273">
        <v>0</v>
      </c>
      <c r="R84" s="273">
        <v>0</v>
      </c>
      <c r="S84" s="273">
        <v>0</v>
      </c>
      <c r="T84" s="273">
        <v>0</v>
      </c>
      <c r="U84" s="273">
        <v>96290056.799999997</v>
      </c>
      <c r="V84" s="273">
        <v>0</v>
      </c>
      <c r="W84" s="273">
        <v>0</v>
      </c>
      <c r="X84" s="273">
        <v>0</v>
      </c>
      <c r="Y84" s="273">
        <v>0</v>
      </c>
      <c r="Z84" s="273">
        <v>0</v>
      </c>
      <c r="AA84" s="273">
        <v>0</v>
      </c>
      <c r="AB84" s="273">
        <v>93288.45</v>
      </c>
      <c r="AC84" s="273">
        <v>0</v>
      </c>
      <c r="AD84" s="273">
        <v>0</v>
      </c>
      <c r="AE84" s="273">
        <v>0</v>
      </c>
      <c r="AF84" s="273">
        <v>0</v>
      </c>
      <c r="AG84" s="273">
        <v>8723</v>
      </c>
      <c r="AH84" s="273">
        <v>0</v>
      </c>
      <c r="AI84" s="273">
        <v>0</v>
      </c>
      <c r="AJ84" s="273">
        <v>944681.28</v>
      </c>
      <c r="AK84" s="273">
        <v>0</v>
      </c>
      <c r="AL84" s="273">
        <v>0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0</v>
      </c>
      <c r="AW84" s="273">
        <v>0</v>
      </c>
      <c r="AX84" s="273">
        <v>0</v>
      </c>
      <c r="AY84" s="273">
        <v>781948.04</v>
      </c>
      <c r="AZ84" s="273">
        <v>0</v>
      </c>
      <c r="BA84" s="273">
        <v>0</v>
      </c>
      <c r="BB84" s="273">
        <v>6240</v>
      </c>
      <c r="BC84" s="273">
        <v>0</v>
      </c>
      <c r="BD84" s="273">
        <v>0</v>
      </c>
      <c r="BE84" s="273">
        <v>0</v>
      </c>
      <c r="BF84" s="273">
        <v>0</v>
      </c>
      <c r="BG84" s="273">
        <v>0</v>
      </c>
      <c r="BH84" s="273">
        <v>0</v>
      </c>
      <c r="BI84" s="273">
        <v>1488807.2</v>
      </c>
      <c r="BJ84" s="273">
        <v>0</v>
      </c>
      <c r="BK84" s="273">
        <v>0</v>
      </c>
      <c r="BL84" s="273">
        <v>0</v>
      </c>
      <c r="BM84" s="273">
        <v>0</v>
      </c>
      <c r="BN84" s="273">
        <v>0</v>
      </c>
      <c r="BO84" s="273">
        <v>0</v>
      </c>
      <c r="BP84" s="273">
        <v>158815.15</v>
      </c>
      <c r="BQ84" s="273">
        <v>0</v>
      </c>
      <c r="BR84" s="273">
        <v>0</v>
      </c>
      <c r="BS84" s="273">
        <v>0</v>
      </c>
      <c r="BT84" s="273">
        <v>0</v>
      </c>
      <c r="BU84" s="273">
        <v>0</v>
      </c>
      <c r="BV84" s="273">
        <v>0</v>
      </c>
      <c r="BW84" s="273">
        <v>0</v>
      </c>
      <c r="BX84" s="273">
        <v>0</v>
      </c>
      <c r="BY84" s="273">
        <v>0</v>
      </c>
      <c r="BZ84" s="273">
        <v>0</v>
      </c>
      <c r="CA84" s="273">
        <v>0</v>
      </c>
      <c r="CB84" s="273">
        <v>0</v>
      </c>
      <c r="CC84" s="273">
        <v>2096354.29</v>
      </c>
      <c r="CD84" s="282">
        <v>0</v>
      </c>
      <c r="CE84" s="25">
        <f t="shared" si="16"/>
        <v>102034884.20000002</v>
      </c>
    </row>
    <row r="85" spans="1:84" x14ac:dyDescent="0.25">
      <c r="A85" s="31" t="s">
        <v>284</v>
      </c>
      <c r="B85" s="25"/>
      <c r="C85" s="25">
        <f t="shared" ref="C85:AH85" si="17">SUM(C61:C69)-C84</f>
        <v>145662477</v>
      </c>
      <c r="D85" s="25">
        <f t="shared" si="17"/>
        <v>148181039.25</v>
      </c>
      <c r="E85" s="25">
        <f t="shared" si="17"/>
        <v>17688234.25</v>
      </c>
      <c r="F85" s="25">
        <f t="shared" si="17"/>
        <v>10808031.85</v>
      </c>
      <c r="G85" s="25">
        <f t="shared" si="17"/>
        <v>0</v>
      </c>
      <c r="H85" s="25">
        <f t="shared" si="17"/>
        <v>14051135.580000002</v>
      </c>
      <c r="I85" s="25">
        <f t="shared" si="17"/>
        <v>0</v>
      </c>
      <c r="J85" s="25">
        <f t="shared" si="17"/>
        <v>0</v>
      </c>
      <c r="K85" s="25">
        <f t="shared" si="17"/>
        <v>0</v>
      </c>
      <c r="L85" s="25">
        <f t="shared" si="17"/>
        <v>0</v>
      </c>
      <c r="M85" s="25">
        <f t="shared" si="17"/>
        <v>0</v>
      </c>
      <c r="N85" s="25">
        <f t="shared" si="17"/>
        <v>0</v>
      </c>
      <c r="O85" s="25">
        <f t="shared" si="17"/>
        <v>38084584.270000011</v>
      </c>
      <c r="P85" s="25">
        <f t="shared" si="17"/>
        <v>213690892.55000007</v>
      </c>
      <c r="Q85" s="25">
        <f t="shared" si="17"/>
        <v>4448855.32</v>
      </c>
      <c r="R85" s="25">
        <f t="shared" si="17"/>
        <v>19601838.739999995</v>
      </c>
      <c r="S85" s="25">
        <f t="shared" si="17"/>
        <v>4531602.66</v>
      </c>
      <c r="T85" s="25">
        <f t="shared" si="17"/>
        <v>0</v>
      </c>
      <c r="U85" s="25">
        <f t="shared" si="17"/>
        <v>140182190.15999997</v>
      </c>
      <c r="V85" s="25">
        <f t="shared" si="17"/>
        <v>0</v>
      </c>
      <c r="W85" s="25">
        <f t="shared" si="17"/>
        <v>10689334.690000001</v>
      </c>
      <c r="X85" s="25">
        <f t="shared" si="17"/>
        <v>17593127.459999997</v>
      </c>
      <c r="Y85" s="25">
        <f t="shared" si="17"/>
        <v>30812405.270000003</v>
      </c>
      <c r="Z85" s="25">
        <f t="shared" si="17"/>
        <v>0</v>
      </c>
      <c r="AA85" s="25">
        <f t="shared" si="17"/>
        <v>2153510.34</v>
      </c>
      <c r="AB85" s="25">
        <f t="shared" si="17"/>
        <v>219205997.19</v>
      </c>
      <c r="AC85" s="25">
        <f t="shared" si="17"/>
        <v>13764414.500000002</v>
      </c>
      <c r="AD85" s="25">
        <f t="shared" si="17"/>
        <v>3238138.27</v>
      </c>
      <c r="AE85" s="25">
        <f t="shared" si="17"/>
        <v>14818.16</v>
      </c>
      <c r="AF85" s="25">
        <f t="shared" si="17"/>
        <v>-994.25999999999976</v>
      </c>
      <c r="AG85" s="25">
        <f t="shared" si="17"/>
        <v>84473022.520000026</v>
      </c>
      <c r="AH85" s="25">
        <f t="shared" si="17"/>
        <v>0</v>
      </c>
      <c r="AI85" s="25">
        <f t="shared" ref="AI85:BN85" si="18">SUM(AI61:AI69)-AI84</f>
        <v>0</v>
      </c>
      <c r="AJ85" s="25">
        <f t="shared" si="18"/>
        <v>2630043.4400000004</v>
      </c>
      <c r="AK85" s="25">
        <f t="shared" si="18"/>
        <v>5473478.7000000002</v>
      </c>
      <c r="AL85" s="25">
        <f t="shared" si="18"/>
        <v>1668269.14</v>
      </c>
      <c r="AM85" s="25">
        <f t="shared" si="18"/>
        <v>0</v>
      </c>
      <c r="AN85" s="25">
        <f t="shared" si="18"/>
        <v>0</v>
      </c>
      <c r="AO85" s="25">
        <f t="shared" si="18"/>
        <v>19938301.370000001</v>
      </c>
      <c r="AP85" s="25">
        <f t="shared" si="18"/>
        <v>0</v>
      </c>
      <c r="AQ85" s="25">
        <f t="shared" si="18"/>
        <v>0</v>
      </c>
      <c r="AR85" s="25">
        <f t="shared" si="18"/>
        <v>1009995.1799999999</v>
      </c>
      <c r="AS85" s="25">
        <f t="shared" si="18"/>
        <v>0</v>
      </c>
      <c r="AT85" s="25">
        <f t="shared" si="18"/>
        <v>0</v>
      </c>
      <c r="AU85" s="25">
        <f t="shared" si="18"/>
        <v>0</v>
      </c>
      <c r="AV85" s="25">
        <f t="shared" si="18"/>
        <v>12838164.65</v>
      </c>
      <c r="AW85" s="25">
        <f t="shared" si="18"/>
        <v>7607240.4999999991</v>
      </c>
      <c r="AX85" s="25">
        <f t="shared" si="18"/>
        <v>0</v>
      </c>
      <c r="AY85" s="25">
        <f t="shared" si="18"/>
        <v>198048.90999999968</v>
      </c>
      <c r="AZ85" s="25">
        <f t="shared" si="18"/>
        <v>0</v>
      </c>
      <c r="BA85" s="25">
        <f t="shared" si="18"/>
        <v>0</v>
      </c>
      <c r="BB85" s="25">
        <f t="shared" si="18"/>
        <v>22897.390000001062</v>
      </c>
      <c r="BC85" s="25">
        <f t="shared" si="18"/>
        <v>4088.9099999999089</v>
      </c>
      <c r="BD85" s="25">
        <f t="shared" si="18"/>
        <v>0</v>
      </c>
      <c r="BE85" s="25">
        <f t="shared" si="18"/>
        <v>5339.429999999702</v>
      </c>
      <c r="BF85" s="25">
        <f t="shared" si="18"/>
        <v>20247.630000000005</v>
      </c>
      <c r="BG85" s="25">
        <f t="shared" si="18"/>
        <v>0</v>
      </c>
      <c r="BH85" s="25">
        <f t="shared" si="18"/>
        <v>0</v>
      </c>
      <c r="BI85" s="25">
        <f t="shared" si="18"/>
        <v>524179.72</v>
      </c>
      <c r="BJ85" s="25">
        <f t="shared" si="18"/>
        <v>0</v>
      </c>
      <c r="BK85" s="25">
        <f t="shared" si="18"/>
        <v>0</v>
      </c>
      <c r="BL85" s="25">
        <f t="shared" si="18"/>
        <v>-140977.87999999989</v>
      </c>
      <c r="BM85" s="25">
        <f t="shared" si="18"/>
        <v>0</v>
      </c>
      <c r="BN85" s="25">
        <f t="shared" si="18"/>
        <v>0</v>
      </c>
      <c r="BO85" s="25">
        <f t="shared" ref="BO85:CD85" si="19">SUM(BO61:BO69)-BO84</f>
        <v>0</v>
      </c>
      <c r="BP85" s="25">
        <f t="shared" si="19"/>
        <v>-14403.280000000028</v>
      </c>
      <c r="BQ85" s="25">
        <f t="shared" si="19"/>
        <v>0</v>
      </c>
      <c r="BR85" s="25">
        <f t="shared" si="19"/>
        <v>0</v>
      </c>
      <c r="BS85" s="25">
        <f t="shared" si="19"/>
        <v>0</v>
      </c>
      <c r="BT85" s="25">
        <f t="shared" si="19"/>
        <v>0</v>
      </c>
      <c r="BU85" s="25">
        <f t="shared" si="19"/>
        <v>0</v>
      </c>
      <c r="BV85" s="25">
        <f t="shared" si="19"/>
        <v>0</v>
      </c>
      <c r="BW85" s="25">
        <f t="shared" si="19"/>
        <v>0</v>
      </c>
      <c r="BX85" s="25">
        <f t="shared" si="19"/>
        <v>0</v>
      </c>
      <c r="BY85" s="25">
        <f t="shared" si="19"/>
        <v>0</v>
      </c>
      <c r="BZ85" s="25">
        <f t="shared" si="19"/>
        <v>1125949.2</v>
      </c>
      <c r="CA85" s="25">
        <f t="shared" si="19"/>
        <v>0</v>
      </c>
      <c r="CB85" s="25">
        <f t="shared" si="19"/>
        <v>0</v>
      </c>
      <c r="CC85" s="25">
        <f t="shared" si="19"/>
        <v>181174243.45000002</v>
      </c>
      <c r="CD85" s="25">
        <f t="shared" si="19"/>
        <v>0</v>
      </c>
      <c r="CE85" s="25">
        <f t="shared" si="16"/>
        <v>1372959762.230001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28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/>
    </row>
    <row r="87" spans="1:84" x14ac:dyDescent="0.25">
      <c r="A87" s="31" t="s">
        <v>286</v>
      </c>
      <c r="B87" s="16"/>
      <c r="C87" s="273">
        <v>303319734.18000001</v>
      </c>
      <c r="D87" s="273">
        <v>226644640.74000001</v>
      </c>
      <c r="E87" s="273">
        <v>7059795.3499999996</v>
      </c>
      <c r="F87" s="273">
        <v>26895778</v>
      </c>
      <c r="G87" s="273">
        <v>0</v>
      </c>
      <c r="H87" s="273">
        <v>46883912</v>
      </c>
      <c r="I87" s="273">
        <v>0</v>
      </c>
      <c r="J87" s="273">
        <v>0</v>
      </c>
      <c r="K87" s="273">
        <v>0</v>
      </c>
      <c r="L87" s="273">
        <v>0</v>
      </c>
      <c r="M87" s="273">
        <v>0</v>
      </c>
      <c r="N87" s="273">
        <v>0</v>
      </c>
      <c r="O87" s="273">
        <v>56416846.600000001</v>
      </c>
      <c r="P87" s="273">
        <v>528045990.38</v>
      </c>
      <c r="Q87" s="273">
        <v>3715471</v>
      </c>
      <c r="R87" s="273">
        <v>43868147</v>
      </c>
      <c r="S87" s="273">
        <v>0</v>
      </c>
      <c r="T87" s="273">
        <v>0</v>
      </c>
      <c r="U87" s="273">
        <v>82553977.599999994</v>
      </c>
      <c r="V87" s="273">
        <v>0</v>
      </c>
      <c r="W87" s="273">
        <v>25325859.720000003</v>
      </c>
      <c r="X87" s="273">
        <v>97367553.659999996</v>
      </c>
      <c r="Y87" s="273">
        <v>109752076.69999999</v>
      </c>
      <c r="Z87" s="273">
        <v>0</v>
      </c>
      <c r="AA87" s="273">
        <v>3117870.2</v>
      </c>
      <c r="AB87" s="273">
        <v>130823459.61999999</v>
      </c>
      <c r="AC87" s="273">
        <v>64164746</v>
      </c>
      <c r="AD87" s="273">
        <v>4969073</v>
      </c>
      <c r="AE87" s="273">
        <v>0</v>
      </c>
      <c r="AF87" s="273">
        <v>0</v>
      </c>
      <c r="AG87" s="273">
        <v>121212711</v>
      </c>
      <c r="AH87" s="273">
        <v>0</v>
      </c>
      <c r="AI87" s="273">
        <v>0</v>
      </c>
      <c r="AJ87" s="273">
        <v>3657.45</v>
      </c>
      <c r="AK87" s="273">
        <v>10955562</v>
      </c>
      <c r="AL87" s="273">
        <v>2862233</v>
      </c>
      <c r="AM87" s="273">
        <v>0</v>
      </c>
      <c r="AN87" s="273">
        <v>0</v>
      </c>
      <c r="AO87" s="273">
        <v>20813746.670000002</v>
      </c>
      <c r="AP87" s="273">
        <v>0</v>
      </c>
      <c r="AQ87" s="273">
        <v>0</v>
      </c>
      <c r="AR87" s="273">
        <v>1446000</v>
      </c>
      <c r="AS87" s="273">
        <v>0</v>
      </c>
      <c r="AT87" s="273">
        <v>0</v>
      </c>
      <c r="AU87" s="273">
        <v>0</v>
      </c>
      <c r="AV87" s="273">
        <v>18756270.899999999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f t="shared" ref="CE87:CE94" si="20">SUM(C87:CD87)</f>
        <v>1936975112.7700002</v>
      </c>
    </row>
    <row r="88" spans="1:84" x14ac:dyDescent="0.25">
      <c r="A88" s="31" t="s">
        <v>287</v>
      </c>
      <c r="B88" s="16"/>
      <c r="C88" s="273">
        <v>21150937.25</v>
      </c>
      <c r="D88" s="273">
        <v>400114106.77999997</v>
      </c>
      <c r="E88" s="273">
        <v>47963673.890000001</v>
      </c>
      <c r="F88" s="273">
        <v>12138</v>
      </c>
      <c r="G88" s="273">
        <v>0</v>
      </c>
      <c r="H88" s="273">
        <v>4024280.23</v>
      </c>
      <c r="I88" s="273">
        <v>0</v>
      </c>
      <c r="J88" s="273">
        <v>0</v>
      </c>
      <c r="K88" s="273">
        <v>0</v>
      </c>
      <c r="L88" s="273">
        <v>0</v>
      </c>
      <c r="M88" s="273">
        <v>0</v>
      </c>
      <c r="N88" s="273">
        <v>0</v>
      </c>
      <c r="O88" s="273">
        <v>32329324.25</v>
      </c>
      <c r="P88" s="273">
        <v>553373164.01999998</v>
      </c>
      <c r="Q88" s="273">
        <v>14942840.01</v>
      </c>
      <c r="R88" s="273">
        <v>69329047</v>
      </c>
      <c r="S88" s="273">
        <v>0</v>
      </c>
      <c r="T88" s="273">
        <v>0</v>
      </c>
      <c r="U88" s="273">
        <v>415320073.03999996</v>
      </c>
      <c r="V88" s="273">
        <v>0</v>
      </c>
      <c r="W88" s="273">
        <v>97099762.829999998</v>
      </c>
      <c r="X88" s="273">
        <v>192090834.50999999</v>
      </c>
      <c r="Y88" s="273">
        <v>92951926.899999991</v>
      </c>
      <c r="Z88" s="273">
        <v>0</v>
      </c>
      <c r="AA88" s="273">
        <v>5795176.6500000004</v>
      </c>
      <c r="AB88" s="273">
        <v>814711136.37999988</v>
      </c>
      <c r="AC88" s="273">
        <v>2118873</v>
      </c>
      <c r="AD88" s="273">
        <v>149603</v>
      </c>
      <c r="AE88" s="273">
        <v>0</v>
      </c>
      <c r="AF88" s="273">
        <v>0</v>
      </c>
      <c r="AG88" s="273">
        <v>449305497.39999998</v>
      </c>
      <c r="AH88" s="273">
        <v>0</v>
      </c>
      <c r="AI88" s="273">
        <v>0</v>
      </c>
      <c r="AJ88" s="273">
        <v>6652907.2300000004</v>
      </c>
      <c r="AK88" s="273">
        <v>1135210</v>
      </c>
      <c r="AL88" s="273">
        <v>904737</v>
      </c>
      <c r="AM88" s="273">
        <v>0</v>
      </c>
      <c r="AN88" s="273">
        <v>0</v>
      </c>
      <c r="AO88" s="273">
        <v>6537091</v>
      </c>
      <c r="AP88" s="273">
        <v>0</v>
      </c>
      <c r="AQ88" s="273">
        <v>0</v>
      </c>
      <c r="AR88" s="273">
        <v>0</v>
      </c>
      <c r="AS88" s="273">
        <v>0</v>
      </c>
      <c r="AT88" s="273">
        <v>0</v>
      </c>
      <c r="AU88" s="273">
        <v>0</v>
      </c>
      <c r="AV88" s="273">
        <v>56728023.68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f t="shared" si="20"/>
        <v>3284740364.0499997</v>
      </c>
    </row>
    <row r="89" spans="1:84" x14ac:dyDescent="0.25">
      <c r="A89" s="21" t="s">
        <v>288</v>
      </c>
      <c r="B89" s="16"/>
      <c r="C89" s="25">
        <f t="shared" ref="C89:AV89" si="21">C87+C88</f>
        <v>324470671.43000001</v>
      </c>
      <c r="D89" s="25">
        <f t="shared" si="21"/>
        <v>626758747.51999998</v>
      </c>
      <c r="E89" s="25">
        <f t="shared" si="21"/>
        <v>55023469.240000002</v>
      </c>
      <c r="F89" s="25">
        <f t="shared" si="21"/>
        <v>26907916</v>
      </c>
      <c r="G89" s="25">
        <f t="shared" si="21"/>
        <v>0</v>
      </c>
      <c r="H89" s="25">
        <f t="shared" si="21"/>
        <v>50908192.229999997</v>
      </c>
      <c r="I89" s="25">
        <f t="shared" si="21"/>
        <v>0</v>
      </c>
      <c r="J89" s="25">
        <f t="shared" si="21"/>
        <v>0</v>
      </c>
      <c r="K89" s="25">
        <f t="shared" si="21"/>
        <v>0</v>
      </c>
      <c r="L89" s="25">
        <f t="shared" si="21"/>
        <v>0</v>
      </c>
      <c r="M89" s="25">
        <f t="shared" si="21"/>
        <v>0</v>
      </c>
      <c r="N89" s="25">
        <f t="shared" si="21"/>
        <v>0</v>
      </c>
      <c r="O89" s="25">
        <f t="shared" si="21"/>
        <v>88746170.849999994</v>
      </c>
      <c r="P89" s="25">
        <f t="shared" si="21"/>
        <v>1081419154.4000001</v>
      </c>
      <c r="Q89" s="25">
        <f t="shared" si="21"/>
        <v>18658311.009999998</v>
      </c>
      <c r="R89" s="25">
        <f t="shared" si="21"/>
        <v>113197194</v>
      </c>
      <c r="S89" s="25">
        <f t="shared" si="21"/>
        <v>0</v>
      </c>
      <c r="T89" s="25">
        <f t="shared" si="21"/>
        <v>0</v>
      </c>
      <c r="U89" s="25">
        <f t="shared" si="21"/>
        <v>497874050.63999999</v>
      </c>
      <c r="V89" s="25">
        <f t="shared" si="21"/>
        <v>0</v>
      </c>
      <c r="W89" s="25">
        <f t="shared" si="21"/>
        <v>122425622.55</v>
      </c>
      <c r="X89" s="25">
        <f t="shared" si="21"/>
        <v>289458388.16999996</v>
      </c>
      <c r="Y89" s="25">
        <f t="shared" si="21"/>
        <v>202704003.59999996</v>
      </c>
      <c r="Z89" s="25">
        <f t="shared" si="21"/>
        <v>0</v>
      </c>
      <c r="AA89" s="25">
        <f t="shared" si="21"/>
        <v>8913046.8500000015</v>
      </c>
      <c r="AB89" s="25">
        <f t="shared" si="21"/>
        <v>945534595.99999988</v>
      </c>
      <c r="AC89" s="25">
        <f t="shared" si="21"/>
        <v>66283619</v>
      </c>
      <c r="AD89" s="25">
        <f t="shared" si="21"/>
        <v>5118676</v>
      </c>
      <c r="AE89" s="25">
        <f t="shared" si="21"/>
        <v>0</v>
      </c>
      <c r="AF89" s="25">
        <f t="shared" si="21"/>
        <v>0</v>
      </c>
      <c r="AG89" s="25">
        <f t="shared" si="21"/>
        <v>570518208.39999998</v>
      </c>
      <c r="AH89" s="25">
        <f t="shared" si="21"/>
        <v>0</v>
      </c>
      <c r="AI89" s="25">
        <f t="shared" si="21"/>
        <v>0</v>
      </c>
      <c r="AJ89" s="25">
        <f t="shared" si="21"/>
        <v>6656564.6800000006</v>
      </c>
      <c r="AK89" s="25">
        <f t="shared" si="21"/>
        <v>12090772</v>
      </c>
      <c r="AL89" s="25">
        <f t="shared" si="21"/>
        <v>3766970</v>
      </c>
      <c r="AM89" s="25">
        <f t="shared" si="21"/>
        <v>0</v>
      </c>
      <c r="AN89" s="25">
        <f t="shared" si="21"/>
        <v>0</v>
      </c>
      <c r="AO89" s="25">
        <f t="shared" si="21"/>
        <v>27350837.670000002</v>
      </c>
      <c r="AP89" s="25">
        <f t="shared" si="21"/>
        <v>0</v>
      </c>
      <c r="AQ89" s="25">
        <f t="shared" si="21"/>
        <v>0</v>
      </c>
      <c r="AR89" s="25">
        <f t="shared" si="21"/>
        <v>1446000</v>
      </c>
      <c r="AS89" s="25">
        <f t="shared" si="21"/>
        <v>0</v>
      </c>
      <c r="AT89" s="25">
        <f t="shared" si="21"/>
        <v>0</v>
      </c>
      <c r="AU89" s="25">
        <f t="shared" si="21"/>
        <v>0</v>
      </c>
      <c r="AV89" s="25">
        <f t="shared" si="21"/>
        <v>75484294.579999998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f t="shared" si="20"/>
        <v>5221715476.8199997</v>
      </c>
    </row>
    <row r="90" spans="1:84" x14ac:dyDescent="0.25">
      <c r="A90" s="31" t="s">
        <v>289</v>
      </c>
      <c r="B90" s="25"/>
      <c r="C90" s="273">
        <v>74017.170000000027</v>
      </c>
      <c r="D90" s="273">
        <v>9879.255000000001</v>
      </c>
      <c r="E90" s="273">
        <v>41580.599999999991</v>
      </c>
      <c r="F90" s="273">
        <v>0</v>
      </c>
      <c r="G90" s="273">
        <v>0</v>
      </c>
      <c r="H90" s="273">
        <v>15030.029999999993</v>
      </c>
      <c r="I90" s="273">
        <v>0</v>
      </c>
      <c r="J90" s="273">
        <v>0</v>
      </c>
      <c r="K90" s="273">
        <v>0</v>
      </c>
      <c r="L90" s="273">
        <v>0</v>
      </c>
      <c r="M90" s="273">
        <v>0</v>
      </c>
      <c r="N90" s="273">
        <v>0</v>
      </c>
      <c r="O90" s="273">
        <v>45474.760000000038</v>
      </c>
      <c r="P90" s="273">
        <v>56536.441999999937</v>
      </c>
      <c r="Q90" s="273">
        <v>0</v>
      </c>
      <c r="R90" s="273">
        <v>13487.497000000001</v>
      </c>
      <c r="S90" s="273">
        <v>10580.562000000002</v>
      </c>
      <c r="T90" s="273">
        <v>863.81</v>
      </c>
      <c r="U90" s="273">
        <v>21447.360000000001</v>
      </c>
      <c r="V90" s="273">
        <v>0</v>
      </c>
      <c r="W90" s="273">
        <v>16161.314999999999</v>
      </c>
      <c r="X90" s="273">
        <v>2797.855</v>
      </c>
      <c r="Y90" s="273">
        <v>13121.527000000006</v>
      </c>
      <c r="Z90" s="273">
        <v>18341.72</v>
      </c>
      <c r="AA90" s="273">
        <v>1708.6399999999999</v>
      </c>
      <c r="AB90" s="273">
        <v>13425.915000000003</v>
      </c>
      <c r="AC90" s="273">
        <v>2306.8300000000004</v>
      </c>
      <c r="AD90" s="273">
        <v>326.70999999999998</v>
      </c>
      <c r="AE90" s="273">
        <v>1243.94</v>
      </c>
      <c r="AF90" s="273">
        <v>0</v>
      </c>
      <c r="AG90" s="273">
        <v>50954.199999999975</v>
      </c>
      <c r="AH90" s="273">
        <v>0</v>
      </c>
      <c r="AI90" s="273">
        <v>7806.2720000000008</v>
      </c>
      <c r="AJ90" s="273">
        <v>8502.6099999999988</v>
      </c>
      <c r="AK90" s="273">
        <v>0</v>
      </c>
      <c r="AL90" s="273">
        <v>0</v>
      </c>
      <c r="AM90" s="273">
        <v>0</v>
      </c>
      <c r="AN90" s="273">
        <v>0</v>
      </c>
      <c r="AO90" s="273">
        <v>0</v>
      </c>
      <c r="AP90" s="273">
        <v>0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35346.154999999992</v>
      </c>
      <c r="AW90" s="273">
        <v>854.28000000000009</v>
      </c>
      <c r="AX90" s="273">
        <v>0</v>
      </c>
      <c r="AY90" s="273">
        <v>7753.9099999999989</v>
      </c>
      <c r="AZ90" s="273">
        <v>0</v>
      </c>
      <c r="BA90" s="273">
        <v>0</v>
      </c>
      <c r="BB90" s="273">
        <v>772.52</v>
      </c>
      <c r="BC90" s="273">
        <v>0</v>
      </c>
      <c r="BD90" s="273">
        <v>2167</v>
      </c>
      <c r="BE90" s="273">
        <v>22807.850000000002</v>
      </c>
      <c r="BF90" s="273">
        <v>2006.9199999999998</v>
      </c>
      <c r="BG90" s="273">
        <v>0</v>
      </c>
      <c r="BH90" s="273">
        <v>0</v>
      </c>
      <c r="BI90" s="273">
        <v>0</v>
      </c>
      <c r="BJ90" s="273">
        <v>0</v>
      </c>
      <c r="BK90" s="273">
        <v>0</v>
      </c>
      <c r="BL90" s="273">
        <v>1432.76</v>
      </c>
      <c r="BM90" s="273">
        <v>0</v>
      </c>
      <c r="BN90" s="273">
        <v>10024.09</v>
      </c>
      <c r="BO90" s="273">
        <v>0</v>
      </c>
      <c r="BP90" s="273">
        <v>0</v>
      </c>
      <c r="BQ90" s="273">
        <v>0</v>
      </c>
      <c r="BR90" s="273">
        <v>0</v>
      </c>
      <c r="BS90" s="273">
        <v>0</v>
      </c>
      <c r="BT90" s="273">
        <v>0</v>
      </c>
      <c r="BU90" s="273">
        <v>0</v>
      </c>
      <c r="BV90" s="273">
        <v>0</v>
      </c>
      <c r="BW90" s="273">
        <v>0</v>
      </c>
      <c r="BX90" s="273">
        <v>2529.88</v>
      </c>
      <c r="BY90" s="273">
        <v>497.74</v>
      </c>
      <c r="BZ90" s="273">
        <v>380.67</v>
      </c>
      <c r="CA90" s="273">
        <v>0</v>
      </c>
      <c r="CB90" s="273">
        <v>0</v>
      </c>
      <c r="CC90" s="273">
        <v>3453.55</v>
      </c>
      <c r="CD90" s="224" t="s">
        <v>247</v>
      </c>
      <c r="CE90" s="25">
        <f t="shared" si="20"/>
        <v>515622.34499999986</v>
      </c>
      <c r="CF90" s="25">
        <f>BE59-CE90</f>
        <v>0</v>
      </c>
    </row>
    <row r="91" spans="1:84" x14ac:dyDescent="0.25">
      <c r="A91" s="21" t="s">
        <v>290</v>
      </c>
      <c r="B91" s="16"/>
      <c r="C91" s="273">
        <v>65516.395661643866</v>
      </c>
      <c r="D91" s="273">
        <v>27775.505959327485</v>
      </c>
      <c r="E91" s="273">
        <v>159786.82831138963</v>
      </c>
      <c r="F91" s="273">
        <v>0</v>
      </c>
      <c r="G91" s="273">
        <v>0</v>
      </c>
      <c r="H91" s="273">
        <v>38767.242436238193</v>
      </c>
      <c r="I91" s="273">
        <v>0</v>
      </c>
      <c r="J91" s="273">
        <v>0</v>
      </c>
      <c r="K91" s="273">
        <v>0</v>
      </c>
      <c r="L91" s="273">
        <v>0</v>
      </c>
      <c r="M91" s="273">
        <v>0</v>
      </c>
      <c r="N91" s="273">
        <v>0</v>
      </c>
      <c r="O91" s="273">
        <v>20434.049707046142</v>
      </c>
      <c r="P91" s="273">
        <v>23307.969283972448</v>
      </c>
      <c r="Q91" s="273">
        <v>0</v>
      </c>
      <c r="R91" s="273">
        <v>1080.4407314678197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101.57989783030783</v>
      </c>
      <c r="Z91" s="273">
        <v>1.6490243154270749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21522.7355600911</v>
      </c>
      <c r="AH91" s="273">
        <v>0</v>
      </c>
      <c r="AI91" s="273">
        <v>10315.306702722526</v>
      </c>
      <c r="AJ91" s="273">
        <v>19.788291785124901</v>
      </c>
      <c r="AK91" s="273">
        <v>0</v>
      </c>
      <c r="AL91" s="273">
        <v>124.66623824628687</v>
      </c>
      <c r="AM91" s="273">
        <v>0</v>
      </c>
      <c r="AN91" s="273">
        <v>0</v>
      </c>
      <c r="AO91" s="273">
        <v>0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16153.842193923629</v>
      </c>
      <c r="AW91" s="273"/>
      <c r="AX91" s="264" t="s">
        <v>247</v>
      </c>
      <c r="AY91" s="264" t="s">
        <v>247</v>
      </c>
      <c r="AZ91" s="273">
        <v>0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f t="shared" si="20"/>
        <v>384908</v>
      </c>
      <c r="CF91" s="25">
        <f>AY59-CE91</f>
        <v>0</v>
      </c>
    </row>
    <row r="92" spans="1:84" x14ac:dyDescent="0.25">
      <c r="A92" s="21" t="s">
        <v>291</v>
      </c>
      <c r="B92" s="16"/>
      <c r="C92" s="273">
        <v>22152.896067157315</v>
      </c>
      <c r="D92" s="273">
        <v>1491.7929047838086</v>
      </c>
      <c r="E92" s="273">
        <v>19507.592203311866</v>
      </c>
      <c r="F92" s="273">
        <v>0</v>
      </c>
      <c r="G92" s="273">
        <v>0</v>
      </c>
      <c r="H92" s="273">
        <v>0</v>
      </c>
      <c r="I92" s="273">
        <v>0</v>
      </c>
      <c r="J92" s="273">
        <v>0</v>
      </c>
      <c r="K92" s="273">
        <v>0</v>
      </c>
      <c r="L92" s="273">
        <v>0</v>
      </c>
      <c r="M92" s="273">
        <v>0</v>
      </c>
      <c r="N92" s="273">
        <v>0</v>
      </c>
      <c r="O92" s="273">
        <v>16512.577949632014</v>
      </c>
      <c r="P92" s="273">
        <v>39374.037551747933</v>
      </c>
      <c r="Q92" s="273">
        <v>0</v>
      </c>
      <c r="R92" s="273">
        <v>0</v>
      </c>
      <c r="S92" s="273">
        <v>1848.3603610855566</v>
      </c>
      <c r="T92" s="273">
        <v>0</v>
      </c>
      <c r="U92" s="273">
        <v>710.84922378104875</v>
      </c>
      <c r="V92" s="273">
        <v>0</v>
      </c>
      <c r="W92" s="273">
        <v>4190.4295078196874</v>
      </c>
      <c r="X92" s="273">
        <v>0</v>
      </c>
      <c r="Y92" s="273">
        <v>6225.4544560717568</v>
      </c>
      <c r="Z92" s="273">
        <v>0</v>
      </c>
      <c r="AA92" s="273">
        <v>0</v>
      </c>
      <c r="AB92" s="273">
        <v>1264.7478150873965</v>
      </c>
      <c r="AC92" s="273">
        <v>0</v>
      </c>
      <c r="AD92" s="273">
        <v>0</v>
      </c>
      <c r="AE92" s="273">
        <v>0</v>
      </c>
      <c r="AF92" s="273">
        <v>0</v>
      </c>
      <c r="AG92" s="273">
        <v>16105.725339236431</v>
      </c>
      <c r="AH92" s="273">
        <v>0</v>
      </c>
      <c r="AI92" s="273">
        <v>0</v>
      </c>
      <c r="AJ92" s="273">
        <v>9276.8490340386379</v>
      </c>
      <c r="AK92" s="273">
        <v>0</v>
      </c>
      <c r="AL92" s="273">
        <v>0</v>
      </c>
      <c r="AM92" s="273">
        <v>0</v>
      </c>
      <c r="AN92" s="273">
        <v>0</v>
      </c>
      <c r="AO92" s="273">
        <v>0</v>
      </c>
      <c r="AP92" s="273">
        <v>0</v>
      </c>
      <c r="AQ92" s="273">
        <v>0</v>
      </c>
      <c r="AR92" s="273">
        <v>0</v>
      </c>
      <c r="AS92" s="273">
        <v>0</v>
      </c>
      <c r="AT92" s="273">
        <v>0</v>
      </c>
      <c r="AU92" s="273">
        <v>0</v>
      </c>
      <c r="AV92" s="273">
        <v>73353.087586246547</v>
      </c>
      <c r="AW92" s="273"/>
      <c r="AX92" s="264" t="s">
        <v>247</v>
      </c>
      <c r="AY92" s="264" t="s">
        <v>247</v>
      </c>
      <c r="AZ92" s="24" t="s">
        <v>247</v>
      </c>
      <c r="BA92" s="273">
        <v>0</v>
      </c>
      <c r="BB92" s="273">
        <v>0</v>
      </c>
      <c r="BC92" s="273">
        <v>0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0</v>
      </c>
      <c r="BI92" s="273">
        <v>0</v>
      </c>
      <c r="BJ92" s="24" t="s">
        <v>247</v>
      </c>
      <c r="BK92" s="273">
        <v>0</v>
      </c>
      <c r="BL92" s="273">
        <v>0</v>
      </c>
      <c r="BM92" s="273">
        <v>0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>
        <v>0</v>
      </c>
      <c r="BT92" s="273">
        <v>0</v>
      </c>
      <c r="BU92" s="273">
        <v>0</v>
      </c>
      <c r="BV92" s="273">
        <v>0</v>
      </c>
      <c r="BW92" s="273">
        <v>0</v>
      </c>
      <c r="BX92" s="273">
        <v>0</v>
      </c>
      <c r="BY92" s="273">
        <v>0</v>
      </c>
      <c r="BZ92" s="273">
        <v>0</v>
      </c>
      <c r="CA92" s="273">
        <v>0</v>
      </c>
      <c r="CB92" s="273">
        <v>0</v>
      </c>
      <c r="CC92" s="24" t="s">
        <v>247</v>
      </c>
      <c r="CD92" s="24" t="s">
        <v>247</v>
      </c>
      <c r="CE92" s="25">
        <f t="shared" si="20"/>
        <v>212014.4</v>
      </c>
      <c r="CF92" s="16"/>
    </row>
    <row r="93" spans="1:84" x14ac:dyDescent="0.25">
      <c r="A93" s="21" t="s">
        <v>292</v>
      </c>
      <c r="B93" s="16"/>
      <c r="C93" s="273">
        <v>564504.35999999987</v>
      </c>
      <c r="D93" s="273">
        <v>464015.53</v>
      </c>
      <c r="E93" s="273">
        <v>36627.97</v>
      </c>
      <c r="F93" s="273">
        <v>81124.95</v>
      </c>
      <c r="G93" s="273">
        <v>0</v>
      </c>
      <c r="H93" s="273">
        <v>33110.020000000004</v>
      </c>
      <c r="I93" s="273">
        <v>0</v>
      </c>
      <c r="J93" s="273">
        <v>0</v>
      </c>
      <c r="K93" s="273">
        <v>0</v>
      </c>
      <c r="L93" s="273">
        <v>0</v>
      </c>
      <c r="M93" s="273">
        <v>0</v>
      </c>
      <c r="N93" s="273">
        <v>0</v>
      </c>
      <c r="O93" s="273">
        <v>222634.99000000002</v>
      </c>
      <c r="P93" s="273">
        <v>428391.49999999994</v>
      </c>
      <c r="Q93" s="273">
        <v>0</v>
      </c>
      <c r="R93" s="273">
        <v>77154.09</v>
      </c>
      <c r="S93" s="273">
        <v>501841.94000000006</v>
      </c>
      <c r="T93" s="273">
        <v>0</v>
      </c>
      <c r="U93" s="273">
        <v>19297.09</v>
      </c>
      <c r="V93" s="273">
        <v>0</v>
      </c>
      <c r="W93" s="273">
        <v>23781.8</v>
      </c>
      <c r="X93" s="273">
        <v>173084.80000000002</v>
      </c>
      <c r="Y93" s="273">
        <v>150954.88</v>
      </c>
      <c r="Z93" s="273">
        <v>0</v>
      </c>
      <c r="AA93" s="273">
        <v>0</v>
      </c>
      <c r="AB93" s="273">
        <v>21318.329999999998</v>
      </c>
      <c r="AC93" s="273">
        <v>1516.86</v>
      </c>
      <c r="AD93" s="273">
        <v>0</v>
      </c>
      <c r="AE93" s="273">
        <v>5483.9500000000007</v>
      </c>
      <c r="AF93" s="273">
        <v>0</v>
      </c>
      <c r="AG93" s="273">
        <v>600048.45000000007</v>
      </c>
      <c r="AH93" s="273">
        <v>0</v>
      </c>
      <c r="AI93" s="273">
        <v>0</v>
      </c>
      <c r="AJ93" s="273">
        <v>101625.96999999997</v>
      </c>
      <c r="AK93" s="273">
        <v>0</v>
      </c>
      <c r="AL93" s="273">
        <v>0</v>
      </c>
      <c r="AM93" s="273">
        <v>0</v>
      </c>
      <c r="AN93" s="273">
        <v>0</v>
      </c>
      <c r="AO93" s="273">
        <v>72752.600000000006</v>
      </c>
      <c r="AP93" s="273">
        <v>24411.37</v>
      </c>
      <c r="AQ93" s="273">
        <v>0</v>
      </c>
      <c r="AR93" s="273">
        <v>1149.9699999999998</v>
      </c>
      <c r="AS93" s="273">
        <v>0</v>
      </c>
      <c r="AT93" s="273">
        <v>0</v>
      </c>
      <c r="AU93" s="273">
        <v>0</v>
      </c>
      <c r="AV93" s="273">
        <v>101625.2</v>
      </c>
      <c r="AW93" s="273"/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247</v>
      </c>
      <c r="CD93" s="24" t="s">
        <v>247</v>
      </c>
      <c r="CE93" s="25">
        <f t="shared" si="20"/>
        <v>3706456.62</v>
      </c>
      <c r="CF93" s="25">
        <f>BA59</f>
        <v>0</v>
      </c>
    </row>
    <row r="94" spans="1:84" x14ac:dyDescent="0.25">
      <c r="A94" s="21" t="s">
        <v>293</v>
      </c>
      <c r="B94" s="16"/>
      <c r="C94" s="277">
        <v>407</v>
      </c>
      <c r="D94" s="277">
        <v>243</v>
      </c>
      <c r="E94" s="277">
        <v>4</v>
      </c>
      <c r="F94" s="277">
        <v>46</v>
      </c>
      <c r="G94" s="277">
        <v>0</v>
      </c>
      <c r="H94" s="277">
        <v>27</v>
      </c>
      <c r="I94" s="277">
        <v>0</v>
      </c>
      <c r="J94" s="277">
        <v>0</v>
      </c>
      <c r="K94" s="277">
        <v>0</v>
      </c>
      <c r="L94" s="277">
        <v>0</v>
      </c>
      <c r="M94" s="277">
        <v>0</v>
      </c>
      <c r="N94" s="277">
        <v>0</v>
      </c>
      <c r="O94" s="277">
        <v>88</v>
      </c>
      <c r="P94" s="274">
        <v>184</v>
      </c>
      <c r="Q94" s="274">
        <v>15</v>
      </c>
      <c r="R94" s="274">
        <v>75</v>
      </c>
      <c r="S94" s="278">
        <v>0</v>
      </c>
      <c r="T94" s="278">
        <v>0</v>
      </c>
      <c r="U94" s="279">
        <v>18</v>
      </c>
      <c r="V94" s="274">
        <v>0</v>
      </c>
      <c r="W94" s="274">
        <v>0</v>
      </c>
      <c r="X94" s="274">
        <v>0</v>
      </c>
      <c r="Y94" s="274">
        <v>13</v>
      </c>
      <c r="Z94" s="274">
        <v>0</v>
      </c>
      <c r="AA94" s="274">
        <v>0</v>
      </c>
      <c r="AB94" s="278">
        <v>0</v>
      </c>
      <c r="AC94" s="274">
        <v>0</v>
      </c>
      <c r="AD94" s="274">
        <v>0</v>
      </c>
      <c r="AE94" s="274">
        <v>0</v>
      </c>
      <c r="AF94" s="274">
        <v>0</v>
      </c>
      <c r="AG94" s="274">
        <v>173</v>
      </c>
      <c r="AH94" s="274">
        <v>0</v>
      </c>
      <c r="AI94" s="274">
        <v>0</v>
      </c>
      <c r="AJ94" s="274">
        <v>5</v>
      </c>
      <c r="AK94" s="274">
        <v>0</v>
      </c>
      <c r="AL94" s="274">
        <v>0</v>
      </c>
      <c r="AM94" s="274">
        <v>0</v>
      </c>
      <c r="AN94" s="274">
        <v>0</v>
      </c>
      <c r="AO94" s="274">
        <v>42</v>
      </c>
      <c r="AP94" s="274">
        <v>0</v>
      </c>
      <c r="AQ94" s="274">
        <v>0</v>
      </c>
      <c r="AR94" s="274">
        <v>0</v>
      </c>
      <c r="AS94" s="274">
        <v>0</v>
      </c>
      <c r="AT94" s="274">
        <v>0</v>
      </c>
      <c r="AU94" s="274">
        <v>0</v>
      </c>
      <c r="AV94" s="278">
        <v>216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f t="shared" si="20"/>
        <v>1556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296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8"/>
      <c r="D99" s="284" t="s">
        <v>297</v>
      </c>
      <c r="E99" s="285" t="s">
        <v>297</v>
      </c>
      <c r="F99" s="12"/>
    </row>
    <row r="100" spans="1:6" x14ac:dyDescent="0.25">
      <c r="A100" s="25" t="s">
        <v>304</v>
      </c>
      <c r="B100" s="32" t="s">
        <v>299</v>
      </c>
      <c r="C100" s="287" t="s">
        <v>305</v>
      </c>
      <c r="D100" s="284" t="s">
        <v>297</v>
      </c>
      <c r="E100" s="285" t="s">
        <v>297</v>
      </c>
      <c r="F100" s="12"/>
    </row>
    <row r="101" spans="1:6" x14ac:dyDescent="0.25">
      <c r="A101" s="25" t="s">
        <v>306</v>
      </c>
      <c r="B101" s="32" t="s">
        <v>299</v>
      </c>
      <c r="C101" s="287" t="s">
        <v>307</v>
      </c>
      <c r="D101" s="284" t="s">
        <v>297</v>
      </c>
      <c r="E101" s="285" t="s">
        <v>297</v>
      </c>
      <c r="F101" s="12"/>
    </row>
    <row r="102" spans="1:6" x14ac:dyDescent="0.25">
      <c r="A102" s="25" t="s">
        <v>308</v>
      </c>
      <c r="B102" s="32" t="s">
        <v>299</v>
      </c>
      <c r="C102" s="289">
        <v>98405</v>
      </c>
      <c r="D102" s="284" t="s">
        <v>297</v>
      </c>
      <c r="E102" s="285" t="s">
        <v>297</v>
      </c>
      <c r="F102" s="12"/>
    </row>
    <row r="103" spans="1:6" x14ac:dyDescent="0.25">
      <c r="A103" s="25" t="s">
        <v>309</v>
      </c>
      <c r="B103" s="32" t="s">
        <v>299</v>
      </c>
      <c r="C103" s="287" t="s">
        <v>310</v>
      </c>
      <c r="D103" s="284" t="s">
        <v>297</v>
      </c>
      <c r="E103" s="285" t="s">
        <v>297</v>
      </c>
      <c r="F103" s="12"/>
    </row>
    <row r="104" spans="1:6" x14ac:dyDescent="0.25">
      <c r="A104" s="25" t="s">
        <v>311</v>
      </c>
      <c r="B104" s="32" t="s">
        <v>299</v>
      </c>
      <c r="C104" s="290"/>
      <c r="D104" s="284" t="s">
        <v>297</v>
      </c>
      <c r="E104" s="285" t="s">
        <v>297</v>
      </c>
      <c r="F104" s="12"/>
    </row>
    <row r="105" spans="1:6" x14ac:dyDescent="0.25">
      <c r="A105" s="25" t="s">
        <v>312</v>
      </c>
      <c r="B105" s="32" t="s">
        <v>299</v>
      </c>
      <c r="C105" s="290" t="s">
        <v>1370</v>
      </c>
      <c r="D105" s="284" t="s">
        <v>297</v>
      </c>
      <c r="E105" s="285" t="s">
        <v>297</v>
      </c>
      <c r="F105" s="12"/>
    </row>
    <row r="106" spans="1:6" x14ac:dyDescent="0.25">
      <c r="A106" s="25" t="s">
        <v>313</v>
      </c>
      <c r="B106" s="32" t="s">
        <v>299</v>
      </c>
      <c r="C106" s="287"/>
      <c r="D106" s="284" t="s">
        <v>297</v>
      </c>
      <c r="E106" s="285" t="s">
        <v>297</v>
      </c>
      <c r="F106" s="12"/>
    </row>
    <row r="107" spans="1:6" x14ac:dyDescent="0.25">
      <c r="A107" s="25" t="s">
        <v>314</v>
      </c>
      <c r="B107" s="32" t="s">
        <v>299</v>
      </c>
      <c r="C107" s="291">
        <v>2534031000</v>
      </c>
      <c r="D107" s="284" t="s">
        <v>297</v>
      </c>
      <c r="E107" s="285" t="s">
        <v>297</v>
      </c>
      <c r="F107" s="12"/>
    </row>
    <row r="108" spans="1:6" x14ac:dyDescent="0.25">
      <c r="A108" s="25" t="s">
        <v>315</v>
      </c>
      <c r="B108" s="32" t="s">
        <v>299</v>
      </c>
      <c r="C108" s="291">
        <v>2434597859</v>
      </c>
      <c r="D108" s="284" t="s">
        <v>297</v>
      </c>
      <c r="E108" s="285" t="s">
        <v>297</v>
      </c>
      <c r="F108" s="12"/>
    </row>
    <row r="109" spans="1:6" x14ac:dyDescent="0.25">
      <c r="A109" s="33" t="s">
        <v>316</v>
      </c>
      <c r="B109" s="32" t="s">
        <v>299</v>
      </c>
      <c r="C109" s="287" t="s">
        <v>1058</v>
      </c>
      <c r="D109" s="284" t="s">
        <v>297</v>
      </c>
      <c r="E109" s="285" t="s">
        <v>297</v>
      </c>
      <c r="F109" s="12"/>
    </row>
    <row r="110" spans="1:6" x14ac:dyDescent="0.25">
      <c r="A110" s="33" t="s">
        <v>317</v>
      </c>
      <c r="B110" s="32" t="s">
        <v>299</v>
      </c>
      <c r="C110" s="287" t="s">
        <v>1059</v>
      </c>
      <c r="D110" s="284" t="s">
        <v>297</v>
      </c>
      <c r="E110" s="285" t="s">
        <v>297</v>
      </c>
      <c r="F110" s="12"/>
    </row>
    <row r="111" spans="1:6" x14ac:dyDescent="0.25">
      <c r="A111" s="30" t="s">
        <v>318</v>
      </c>
      <c r="B111" s="30"/>
      <c r="C111" s="30"/>
      <c r="D111" s="30"/>
      <c r="E111" s="30"/>
    </row>
    <row r="112" spans="1:6" x14ac:dyDescent="0.25">
      <c r="A112" s="34" t="s">
        <v>319</v>
      </c>
      <c r="B112" s="34"/>
      <c r="C112" s="34"/>
      <c r="D112" s="34"/>
      <c r="E112" s="34"/>
    </row>
    <row r="113" spans="1:5" x14ac:dyDescent="0.25">
      <c r="A113" s="16" t="s">
        <v>306</v>
      </c>
      <c r="B113" s="35" t="s">
        <v>299</v>
      </c>
      <c r="C113" s="292"/>
      <c r="D113" s="16"/>
      <c r="E113" s="16"/>
    </row>
    <row r="114" spans="1:5" x14ac:dyDescent="0.25">
      <c r="A114" s="16" t="s">
        <v>309</v>
      </c>
      <c r="B114" s="35" t="s">
        <v>299</v>
      </c>
      <c r="C114" s="292"/>
      <c r="D114" s="16"/>
      <c r="E114" s="16"/>
    </row>
    <row r="115" spans="1:5" x14ac:dyDescent="0.25">
      <c r="A115" s="16" t="s">
        <v>320</v>
      </c>
      <c r="B115" s="35" t="s">
        <v>299</v>
      </c>
      <c r="C115" s="292"/>
      <c r="D115" s="16"/>
      <c r="E115" s="16"/>
    </row>
    <row r="116" spans="1:5" x14ac:dyDescent="0.25">
      <c r="A116" s="34" t="s">
        <v>321</v>
      </c>
      <c r="B116" s="34"/>
      <c r="C116" s="34"/>
      <c r="D116" s="34"/>
      <c r="E116" s="34"/>
    </row>
    <row r="117" spans="1:5" x14ac:dyDescent="0.25">
      <c r="A117" s="16" t="s">
        <v>322</v>
      </c>
      <c r="B117" s="35" t="s">
        <v>299</v>
      </c>
      <c r="C117" s="292"/>
      <c r="D117" s="16"/>
      <c r="E117" s="16"/>
    </row>
    <row r="118" spans="1:5" x14ac:dyDescent="0.25">
      <c r="A118" s="16" t="s">
        <v>158</v>
      </c>
      <c r="B118" s="35" t="s">
        <v>299</v>
      </c>
      <c r="C118" s="293"/>
      <c r="D118" s="16"/>
      <c r="E118" s="16"/>
    </row>
    <row r="119" spans="1:5" x14ac:dyDescent="0.25">
      <c r="A119" s="34" t="s">
        <v>323</v>
      </c>
      <c r="B119" s="34"/>
      <c r="C119" s="34"/>
      <c r="D119" s="34"/>
      <c r="E119" s="34"/>
    </row>
    <row r="120" spans="1:5" x14ac:dyDescent="0.25">
      <c r="A120" s="16" t="s">
        <v>324</v>
      </c>
      <c r="B120" s="35" t="s">
        <v>299</v>
      </c>
      <c r="C120" s="292"/>
      <c r="D120" s="16"/>
      <c r="E120" s="16"/>
    </row>
    <row r="121" spans="1:5" x14ac:dyDescent="0.25">
      <c r="A121" s="16" t="s">
        <v>325</v>
      </c>
      <c r="B121" s="35" t="s">
        <v>299</v>
      </c>
      <c r="C121" s="292"/>
      <c r="D121" s="16"/>
      <c r="E121" s="16"/>
    </row>
    <row r="122" spans="1:5" x14ac:dyDescent="0.25">
      <c r="A122" s="16" t="s">
        <v>326</v>
      </c>
      <c r="B122" s="35" t="s">
        <v>299</v>
      </c>
      <c r="C122" s="292"/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327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328</v>
      </c>
      <c r="B126" s="16"/>
      <c r="C126" s="17" t="s">
        <v>329</v>
      </c>
      <c r="D126" s="18" t="s">
        <v>241</v>
      </c>
      <c r="E126" s="16"/>
    </row>
    <row r="127" spans="1:5" x14ac:dyDescent="0.25">
      <c r="A127" s="16" t="s">
        <v>330</v>
      </c>
      <c r="B127" s="35" t="s">
        <v>299</v>
      </c>
      <c r="C127" s="294">
        <v>24790</v>
      </c>
      <c r="D127" s="295">
        <v>117290</v>
      </c>
      <c r="E127" s="16"/>
    </row>
    <row r="128" spans="1:5" x14ac:dyDescent="0.25">
      <c r="A128" s="16" t="s">
        <v>331</v>
      </c>
      <c r="B128" s="35" t="s">
        <v>299</v>
      </c>
      <c r="C128" s="294"/>
      <c r="D128" s="295"/>
      <c r="E128" s="16"/>
    </row>
    <row r="129" spans="1:5" x14ac:dyDescent="0.25">
      <c r="A129" s="16" t="s">
        <v>332</v>
      </c>
      <c r="B129" s="35" t="s">
        <v>299</v>
      </c>
      <c r="C129" s="292"/>
      <c r="D129" s="295"/>
      <c r="E129" s="16"/>
    </row>
    <row r="130" spans="1:5" x14ac:dyDescent="0.25">
      <c r="A130" s="16" t="s">
        <v>333</v>
      </c>
      <c r="B130" s="35" t="s">
        <v>299</v>
      </c>
      <c r="C130" s="292">
        <v>3396</v>
      </c>
      <c r="D130" s="295">
        <v>5218</v>
      </c>
      <c r="E130" s="16"/>
    </row>
    <row r="131" spans="1:5" x14ac:dyDescent="0.25">
      <c r="A131" s="21" t="s">
        <v>334</v>
      </c>
      <c r="B131" s="16"/>
      <c r="C131" s="17" t="s">
        <v>193</v>
      </c>
      <c r="D131" s="16"/>
      <c r="E131" s="16"/>
    </row>
    <row r="132" spans="1:5" x14ac:dyDescent="0.25">
      <c r="A132" s="16" t="s">
        <v>335</v>
      </c>
      <c r="B132" s="35" t="s">
        <v>299</v>
      </c>
      <c r="C132" s="292">
        <v>87</v>
      </c>
      <c r="D132" s="16"/>
      <c r="E132" s="16"/>
    </row>
    <row r="133" spans="1:5" x14ac:dyDescent="0.25">
      <c r="A133" s="16" t="s">
        <v>336</v>
      </c>
      <c r="B133" s="35" t="s">
        <v>299</v>
      </c>
      <c r="C133" s="292">
        <v>62</v>
      </c>
      <c r="D133" s="16"/>
      <c r="E133" s="16"/>
    </row>
    <row r="134" spans="1:5" x14ac:dyDescent="0.25">
      <c r="A134" s="16" t="s">
        <v>337</v>
      </c>
      <c r="B134" s="35" t="s">
        <v>299</v>
      </c>
      <c r="C134" s="296">
        <v>103</v>
      </c>
      <c r="D134" s="16"/>
      <c r="E134" s="16"/>
    </row>
    <row r="135" spans="1:5" x14ac:dyDescent="0.25">
      <c r="A135" s="16" t="s">
        <v>338</v>
      </c>
      <c r="B135" s="35" t="s">
        <v>299</v>
      </c>
      <c r="C135" s="292"/>
      <c r="D135" s="16"/>
      <c r="E135" s="16"/>
    </row>
    <row r="136" spans="1:5" x14ac:dyDescent="0.25">
      <c r="A136" s="16" t="s">
        <v>339</v>
      </c>
      <c r="B136" s="35" t="s">
        <v>299</v>
      </c>
      <c r="C136" s="292">
        <v>61</v>
      </c>
      <c r="D136" s="16"/>
      <c r="E136" s="16"/>
    </row>
    <row r="137" spans="1:5" x14ac:dyDescent="0.25">
      <c r="A137" s="16" t="s">
        <v>340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27</v>
      </c>
      <c r="D138" s="16"/>
      <c r="E138" s="16"/>
    </row>
    <row r="139" spans="1:5" x14ac:dyDescent="0.25">
      <c r="A139" s="16" t="s">
        <v>341</v>
      </c>
      <c r="B139" s="35" t="s">
        <v>299</v>
      </c>
      <c r="C139" s="294"/>
      <c r="D139" s="16"/>
      <c r="E139" s="16"/>
    </row>
    <row r="140" spans="1:5" x14ac:dyDescent="0.25">
      <c r="A140" s="16" t="s">
        <v>342</v>
      </c>
      <c r="B140" s="35"/>
      <c r="C140" s="292"/>
      <c r="D140" s="16"/>
      <c r="E140" s="16"/>
    </row>
    <row r="141" spans="1:5" x14ac:dyDescent="0.25">
      <c r="A141" s="16" t="s">
        <v>332</v>
      </c>
      <c r="B141" s="35" t="s">
        <v>299</v>
      </c>
      <c r="C141" s="292"/>
      <c r="D141" s="16"/>
      <c r="E141" s="16"/>
    </row>
    <row r="142" spans="1:5" x14ac:dyDescent="0.25">
      <c r="A142" s="16" t="s">
        <v>343</v>
      </c>
      <c r="B142" s="35" t="s">
        <v>299</v>
      </c>
      <c r="C142" s="292">
        <v>92</v>
      </c>
      <c r="D142" s="16"/>
      <c r="E142" s="16"/>
    </row>
    <row r="143" spans="1:5" x14ac:dyDescent="0.25">
      <c r="A143" s="16" t="s">
        <v>344</v>
      </c>
      <c r="B143" s="16"/>
      <c r="C143" s="22"/>
      <c r="D143" s="16"/>
      <c r="E143" s="25">
        <f>SUM(C132:C142)</f>
        <v>432</v>
      </c>
    </row>
    <row r="144" spans="1:5" x14ac:dyDescent="0.25">
      <c r="A144" s="16" t="s">
        <v>345</v>
      </c>
      <c r="B144" s="35" t="s">
        <v>299</v>
      </c>
      <c r="C144" s="294">
        <v>497</v>
      </c>
      <c r="D144" s="16"/>
      <c r="E144" s="16"/>
    </row>
    <row r="145" spans="1:6" x14ac:dyDescent="0.25">
      <c r="A145" s="16" t="s">
        <v>346</v>
      </c>
      <c r="B145" s="35" t="s">
        <v>299</v>
      </c>
      <c r="C145" s="292"/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347</v>
      </c>
      <c r="B147" s="35" t="s">
        <v>299</v>
      </c>
      <c r="C147" s="294"/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348</v>
      </c>
      <c r="B152" s="37"/>
      <c r="C152" s="37"/>
      <c r="D152" s="37"/>
      <c r="E152" s="37"/>
    </row>
    <row r="153" spans="1:6" x14ac:dyDescent="0.25">
      <c r="A153" s="38" t="s">
        <v>349</v>
      </c>
      <c r="B153" s="39" t="s">
        <v>350</v>
      </c>
      <c r="C153" s="40" t="s">
        <v>351</v>
      </c>
      <c r="D153" s="39" t="s">
        <v>158</v>
      </c>
      <c r="E153" s="39" t="s">
        <v>229</v>
      </c>
    </row>
    <row r="154" spans="1:6" x14ac:dyDescent="0.25">
      <c r="A154" s="16" t="s">
        <v>329</v>
      </c>
      <c r="B154" s="295">
        <v>11059.274662481803</v>
      </c>
      <c r="C154" s="295">
        <v>5303.2904746423055</v>
      </c>
      <c r="D154" s="295">
        <v>8427.4348628758926</v>
      </c>
      <c r="E154" s="25">
        <f>SUM(B154:D154)</f>
        <v>24790</v>
      </c>
    </row>
    <row r="155" spans="1:6" x14ac:dyDescent="0.25">
      <c r="A155" s="16" t="s">
        <v>241</v>
      </c>
      <c r="B155" s="295">
        <v>59387.224895622858</v>
      </c>
      <c r="C155" s="295">
        <v>25091.687768083742</v>
      </c>
      <c r="D155" s="295">
        <v>39873.0873362934</v>
      </c>
      <c r="E155" s="25">
        <f>SUM(B155:D155)</f>
        <v>124352</v>
      </c>
    </row>
    <row r="156" spans="1:6" x14ac:dyDescent="0.25">
      <c r="A156" s="16" t="s">
        <v>352</v>
      </c>
      <c r="B156" s="295">
        <v>149848</v>
      </c>
      <c r="C156" s="295">
        <v>64325</v>
      </c>
      <c r="D156" s="295">
        <v>194326</v>
      </c>
      <c r="E156" s="25">
        <f>SUM(B156:D156)</f>
        <v>408499</v>
      </c>
    </row>
    <row r="157" spans="1:6" x14ac:dyDescent="0.25">
      <c r="A157" s="16" t="s">
        <v>286</v>
      </c>
      <c r="B157" s="295">
        <v>964464226.80999994</v>
      </c>
      <c r="C157" s="295">
        <v>432927418.94999999</v>
      </c>
      <c r="D157" s="295">
        <v>539583467.00999999</v>
      </c>
      <c r="E157" s="25">
        <f>SUM(B157:D157)</f>
        <v>1936975112.77</v>
      </c>
      <c r="F157" s="14"/>
    </row>
    <row r="158" spans="1:6" x14ac:dyDescent="0.25">
      <c r="A158" s="16" t="s">
        <v>287</v>
      </c>
      <c r="B158" s="295">
        <v>1286703504.1500001</v>
      </c>
      <c r="C158" s="295">
        <v>653939293.06999993</v>
      </c>
      <c r="D158" s="295">
        <v>1344097566.8300002</v>
      </c>
      <c r="E158" s="25">
        <f>SUM(B158:D158)</f>
        <v>3284740364.0500002</v>
      </c>
      <c r="F158" s="14"/>
    </row>
    <row r="159" spans="1:6" x14ac:dyDescent="0.25">
      <c r="A159" s="38" t="s">
        <v>353</v>
      </c>
      <c r="B159" s="39" t="s">
        <v>350</v>
      </c>
      <c r="C159" s="40" t="s">
        <v>351</v>
      </c>
      <c r="D159" s="39" t="s">
        <v>158</v>
      </c>
      <c r="E159" s="39" t="s">
        <v>229</v>
      </c>
    </row>
    <row r="160" spans="1:6" x14ac:dyDescent="0.25">
      <c r="A160" s="16" t="s">
        <v>329</v>
      </c>
      <c r="B160" s="272"/>
      <c r="C160" s="272"/>
      <c r="D160" s="272"/>
      <c r="E160" s="25">
        <f>SUM(B160:D160)</f>
        <v>0</v>
      </c>
    </row>
    <row r="161" spans="1:5" x14ac:dyDescent="0.25">
      <c r="A161" s="16" t="s">
        <v>241</v>
      </c>
      <c r="B161" s="272"/>
      <c r="C161" s="272"/>
      <c r="D161" s="272"/>
      <c r="E161" s="25">
        <f>SUM(B161:D161)</f>
        <v>0</v>
      </c>
    </row>
    <row r="162" spans="1:5" x14ac:dyDescent="0.25">
      <c r="A162" s="16" t="s">
        <v>352</v>
      </c>
      <c r="B162" s="295"/>
      <c r="C162" s="295"/>
      <c r="D162" s="295"/>
      <c r="E162" s="25">
        <f>SUM(B162:D162)</f>
        <v>0</v>
      </c>
    </row>
    <row r="163" spans="1:5" x14ac:dyDescent="0.25">
      <c r="A163" s="16" t="s">
        <v>286</v>
      </c>
      <c r="B163" s="272"/>
      <c r="C163" s="272"/>
      <c r="D163" s="272"/>
      <c r="E163" s="25">
        <f>SUM(B163:D163)</f>
        <v>0</v>
      </c>
    </row>
    <row r="164" spans="1:5" x14ac:dyDescent="0.25">
      <c r="A164" s="16" t="s">
        <v>287</v>
      </c>
      <c r="B164" s="295"/>
      <c r="C164" s="295"/>
      <c r="D164" s="295"/>
      <c r="E164" s="25">
        <f>SUM(B164:D164)</f>
        <v>0</v>
      </c>
    </row>
    <row r="165" spans="1:5" x14ac:dyDescent="0.25">
      <c r="A165" s="38" t="s">
        <v>354</v>
      </c>
      <c r="B165" s="39" t="s">
        <v>350</v>
      </c>
      <c r="C165" s="40" t="s">
        <v>351</v>
      </c>
      <c r="D165" s="39" t="s">
        <v>158</v>
      </c>
      <c r="E165" s="39" t="s">
        <v>229</v>
      </c>
    </row>
    <row r="166" spans="1:5" x14ac:dyDescent="0.25">
      <c r="A166" s="16" t="s">
        <v>329</v>
      </c>
      <c r="B166" s="295"/>
      <c r="C166" s="295"/>
      <c r="D166" s="295"/>
      <c r="E166" s="25">
        <f>SUM(B166:D166)</f>
        <v>0</v>
      </c>
    </row>
    <row r="167" spans="1:5" x14ac:dyDescent="0.25">
      <c r="A167" s="16" t="s">
        <v>241</v>
      </c>
      <c r="B167" s="295"/>
      <c r="C167" s="295"/>
      <c r="D167" s="295"/>
      <c r="E167" s="25">
        <f>SUM(B167:D167)</f>
        <v>0</v>
      </c>
    </row>
    <row r="168" spans="1:5" x14ac:dyDescent="0.25">
      <c r="A168" s="16" t="s">
        <v>352</v>
      </c>
      <c r="B168" s="295"/>
      <c r="C168" s="295"/>
      <c r="D168" s="295"/>
      <c r="E168" s="25">
        <f>SUM(B168:D168)</f>
        <v>0</v>
      </c>
    </row>
    <row r="169" spans="1:5" x14ac:dyDescent="0.25">
      <c r="A169" s="16" t="s">
        <v>286</v>
      </c>
      <c r="B169" s="295"/>
      <c r="C169" s="295"/>
      <c r="D169" s="295"/>
      <c r="E169" s="25">
        <f>SUM(B169:D169)</f>
        <v>0</v>
      </c>
    </row>
    <row r="170" spans="1:5" x14ac:dyDescent="0.25">
      <c r="A170" s="16" t="s">
        <v>287</v>
      </c>
      <c r="B170" s="295"/>
      <c r="C170" s="295"/>
      <c r="D170" s="295"/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355</v>
      </c>
      <c r="B172" s="39" t="s">
        <v>356</v>
      </c>
      <c r="C172" s="40" t="s">
        <v>357</v>
      </c>
      <c r="D172" s="16"/>
      <c r="E172" s="16"/>
    </row>
    <row r="173" spans="1:5" x14ac:dyDescent="0.25">
      <c r="A173" s="20" t="s">
        <v>358</v>
      </c>
      <c r="B173" s="272"/>
      <c r="C173" s="272"/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359</v>
      </c>
      <c r="B179" s="30"/>
      <c r="C179" s="30"/>
      <c r="D179" s="30"/>
      <c r="E179" s="30"/>
    </row>
    <row r="180" spans="1:5" x14ac:dyDescent="0.25">
      <c r="A180" s="34" t="s">
        <v>360</v>
      </c>
      <c r="B180" s="34"/>
      <c r="C180" s="34"/>
      <c r="D180" s="34"/>
      <c r="E180" s="34"/>
    </row>
    <row r="181" spans="1:5" x14ac:dyDescent="0.25">
      <c r="A181" s="16" t="s">
        <v>361</v>
      </c>
      <c r="B181" s="35" t="s">
        <v>299</v>
      </c>
      <c r="C181" s="292">
        <v>26892585.239999998</v>
      </c>
      <c r="D181" s="16"/>
      <c r="E181" s="16"/>
    </row>
    <row r="182" spans="1:5" x14ac:dyDescent="0.25">
      <c r="A182" s="16" t="s">
        <v>362</v>
      </c>
      <c r="B182" s="35" t="s">
        <v>299</v>
      </c>
      <c r="C182" s="292">
        <v>-402.73</v>
      </c>
      <c r="D182" s="16"/>
      <c r="E182" s="16"/>
    </row>
    <row r="183" spans="1:5" x14ac:dyDescent="0.25">
      <c r="A183" s="20" t="s">
        <v>363</v>
      </c>
      <c r="B183" s="35" t="s">
        <v>299</v>
      </c>
      <c r="C183" s="292">
        <v>0</v>
      </c>
      <c r="D183" s="16"/>
      <c r="E183" s="16"/>
    </row>
    <row r="184" spans="1:5" x14ac:dyDescent="0.25">
      <c r="A184" s="16" t="s">
        <v>364</v>
      </c>
      <c r="B184" s="35" t="s">
        <v>299</v>
      </c>
      <c r="C184" s="292">
        <v>39907312.5</v>
      </c>
      <c r="D184" s="16"/>
      <c r="E184" s="16"/>
    </row>
    <row r="185" spans="1:5" x14ac:dyDescent="0.25">
      <c r="A185" s="16" t="s">
        <v>365</v>
      </c>
      <c r="B185" s="35" t="s">
        <v>299</v>
      </c>
      <c r="C185" s="292">
        <v>0</v>
      </c>
      <c r="D185" s="16"/>
      <c r="E185" s="16"/>
    </row>
    <row r="186" spans="1:5" x14ac:dyDescent="0.25">
      <c r="A186" s="16" t="s">
        <v>366</v>
      </c>
      <c r="B186" s="35" t="s">
        <v>299</v>
      </c>
      <c r="C186" s="292">
        <v>0</v>
      </c>
      <c r="D186" s="16"/>
      <c r="E186" s="16"/>
    </row>
    <row r="187" spans="1:5" x14ac:dyDescent="0.25">
      <c r="A187" s="16" t="s">
        <v>367</v>
      </c>
      <c r="B187" s="35" t="s">
        <v>299</v>
      </c>
      <c r="C187" s="292">
        <v>19427591.350000001</v>
      </c>
      <c r="D187" s="16"/>
      <c r="E187" s="16"/>
    </row>
    <row r="188" spans="1:5" x14ac:dyDescent="0.25">
      <c r="A188" s="16" t="s">
        <v>367</v>
      </c>
      <c r="B188" s="35" t="s">
        <v>299</v>
      </c>
      <c r="C188" s="292">
        <v>250397.38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f>SUM(C181:C188)</f>
        <v>86477483.739999995</v>
      </c>
      <c r="E189" s="16"/>
    </row>
    <row r="190" spans="1:5" x14ac:dyDescent="0.25">
      <c r="A190" s="34" t="s">
        <v>368</v>
      </c>
      <c r="B190" s="34"/>
      <c r="C190" s="34"/>
      <c r="D190" s="34"/>
      <c r="E190" s="34"/>
    </row>
    <row r="191" spans="1:5" x14ac:dyDescent="0.25">
      <c r="A191" s="16" t="s">
        <v>369</v>
      </c>
      <c r="B191" s="35" t="s">
        <v>299</v>
      </c>
      <c r="C191" s="292">
        <v>4122893.61</v>
      </c>
      <c r="D191" s="16"/>
      <c r="E191" s="16"/>
    </row>
    <row r="192" spans="1:5" x14ac:dyDescent="0.25">
      <c r="A192" s="16" t="s">
        <v>370</v>
      </c>
      <c r="B192" s="35" t="s">
        <v>299</v>
      </c>
      <c r="C192" s="292">
        <v>5797307.71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f>SUM(C191:C192)</f>
        <v>9920201.3200000003</v>
      </c>
      <c r="E193" s="16"/>
    </row>
    <row r="194" spans="1:5" x14ac:dyDescent="0.25">
      <c r="A194" s="34" t="s">
        <v>371</v>
      </c>
      <c r="B194" s="34"/>
      <c r="C194" s="34"/>
      <c r="D194" s="34"/>
      <c r="E194" s="34"/>
    </row>
    <row r="195" spans="1:5" x14ac:dyDescent="0.25">
      <c r="A195" s="16" t="s">
        <v>372</v>
      </c>
      <c r="B195" s="35" t="s">
        <v>299</v>
      </c>
      <c r="C195" s="292">
        <v>14844643.01</v>
      </c>
      <c r="D195" s="16"/>
      <c r="E195" s="16"/>
    </row>
    <row r="196" spans="1:5" x14ac:dyDescent="0.25">
      <c r="A196" s="16" t="s">
        <v>373</v>
      </c>
      <c r="B196" s="35" t="s">
        <v>299</v>
      </c>
      <c r="C196" s="292">
        <v>0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f>SUM(C195:C196)</f>
        <v>14844643.01</v>
      </c>
      <c r="E197" s="16"/>
    </row>
    <row r="198" spans="1:5" x14ac:dyDescent="0.25">
      <c r="A198" s="34" t="s">
        <v>374</v>
      </c>
      <c r="B198" s="34"/>
      <c r="C198" s="34"/>
      <c r="D198" s="34"/>
      <c r="E198" s="34"/>
    </row>
    <row r="199" spans="1:5" x14ac:dyDescent="0.25">
      <c r="A199" s="16" t="s">
        <v>375</v>
      </c>
      <c r="B199" s="35" t="s">
        <v>299</v>
      </c>
      <c r="C199" s="292">
        <v>230866.24</v>
      </c>
      <c r="D199" s="16"/>
      <c r="E199" s="16"/>
    </row>
    <row r="200" spans="1:5" x14ac:dyDescent="0.25">
      <c r="A200" s="16" t="s">
        <v>376</v>
      </c>
      <c r="B200" s="35" t="s">
        <v>299</v>
      </c>
      <c r="C200" s="292">
        <v>9142021.9800000004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75317.67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f>SUM(C199:C201)</f>
        <v>9448205.8900000006</v>
      </c>
      <c r="E202" s="16"/>
    </row>
    <row r="203" spans="1:5" x14ac:dyDescent="0.25">
      <c r="A203" s="34" t="s">
        <v>377</v>
      </c>
      <c r="B203" s="34"/>
      <c r="C203" s="34"/>
      <c r="D203" s="34"/>
      <c r="E203" s="34"/>
    </row>
    <row r="204" spans="1:5" x14ac:dyDescent="0.25">
      <c r="A204" s="16" t="s">
        <v>378</v>
      </c>
      <c r="B204" s="35" t="s">
        <v>299</v>
      </c>
      <c r="C204" s="292"/>
      <c r="D204" s="16"/>
      <c r="E204" s="16"/>
    </row>
    <row r="205" spans="1:5" x14ac:dyDescent="0.25">
      <c r="A205" s="16" t="s">
        <v>379</v>
      </c>
      <c r="B205" s="35" t="s">
        <v>299</v>
      </c>
      <c r="C205" s="292">
        <v>17999065.68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f>SUM(C204:C205)</f>
        <v>17999065.68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380</v>
      </c>
      <c r="B208" s="30"/>
      <c r="C208" s="30"/>
      <c r="D208" s="30"/>
      <c r="E208" s="30"/>
    </row>
    <row r="209" spans="1:5" x14ac:dyDescent="0.25">
      <c r="A209" s="37" t="s">
        <v>381</v>
      </c>
      <c r="B209" s="30"/>
      <c r="C209" s="30"/>
      <c r="D209" s="30"/>
      <c r="E209" s="30"/>
    </row>
    <row r="210" spans="1:5" x14ac:dyDescent="0.25">
      <c r="A210" s="21"/>
      <c r="B210" s="18" t="s">
        <v>382</v>
      </c>
      <c r="C210" s="17" t="s">
        <v>383</v>
      </c>
      <c r="D210" s="18" t="s">
        <v>384</v>
      </c>
      <c r="E210" s="18" t="s">
        <v>385</v>
      </c>
    </row>
    <row r="211" spans="1:5" x14ac:dyDescent="0.25">
      <c r="A211" s="16" t="s">
        <v>386</v>
      </c>
      <c r="B211" s="292">
        <v>7581710.04</v>
      </c>
      <c r="C211" s="292">
        <v>0</v>
      </c>
      <c r="D211" s="295">
        <v>0</v>
      </c>
      <c r="E211" s="25">
        <f t="shared" ref="E211:E219" si="22">SUM(B211:C211)-D211</f>
        <v>7581710.04</v>
      </c>
    </row>
    <row r="212" spans="1:5" x14ac:dyDescent="0.25">
      <c r="A212" s="16" t="s">
        <v>387</v>
      </c>
      <c r="B212" s="292">
        <v>3324681.27</v>
      </c>
      <c r="C212" s="292">
        <v>1378070.3699999999</v>
      </c>
      <c r="D212" s="295">
        <v>0</v>
      </c>
      <c r="E212" s="25">
        <f t="shared" si="22"/>
        <v>4702751.6399999997</v>
      </c>
    </row>
    <row r="213" spans="1:5" x14ac:dyDescent="0.25">
      <c r="A213" s="16" t="s">
        <v>388</v>
      </c>
      <c r="B213" s="292">
        <v>642016330.22000003</v>
      </c>
      <c r="C213" s="292">
        <v>3425105.07</v>
      </c>
      <c r="D213" s="295">
        <v>8768265.6500000004</v>
      </c>
      <c r="E213" s="25">
        <f t="shared" si="22"/>
        <v>636673169.6400001</v>
      </c>
    </row>
    <row r="214" spans="1:5" x14ac:dyDescent="0.25">
      <c r="A214" s="16" t="s">
        <v>390</v>
      </c>
      <c r="B214" s="292"/>
      <c r="C214" s="292"/>
      <c r="D214" s="295"/>
      <c r="E214" s="25">
        <f t="shared" si="22"/>
        <v>0</v>
      </c>
    </row>
    <row r="215" spans="1:5" x14ac:dyDescent="0.25">
      <c r="A215" s="16" t="s">
        <v>391</v>
      </c>
      <c r="B215" s="292">
        <v>35342627.979999997</v>
      </c>
      <c r="C215" s="292">
        <v>371407.78</v>
      </c>
      <c r="D215" s="295">
        <v>116</v>
      </c>
      <c r="E215" s="25">
        <f t="shared" si="22"/>
        <v>35713919.759999998</v>
      </c>
    </row>
    <row r="216" spans="1:5" x14ac:dyDescent="0.25">
      <c r="A216" s="16" t="s">
        <v>392</v>
      </c>
      <c r="B216" s="292">
        <v>199638405.87</v>
      </c>
      <c r="C216" s="292">
        <v>12083508.01</v>
      </c>
      <c r="D216" s="295">
        <v>11114419.879999999</v>
      </c>
      <c r="E216" s="25">
        <f t="shared" si="22"/>
        <v>200607494</v>
      </c>
    </row>
    <row r="217" spans="1:5" x14ac:dyDescent="0.25">
      <c r="A217" s="16" t="s">
        <v>393</v>
      </c>
      <c r="B217" s="292">
        <v>0</v>
      </c>
      <c r="C217" s="292">
        <v>0</v>
      </c>
      <c r="D217" s="295"/>
      <c r="E217" s="25">
        <f t="shared" si="22"/>
        <v>0</v>
      </c>
    </row>
    <row r="218" spans="1:5" x14ac:dyDescent="0.25">
      <c r="A218" s="16" t="s">
        <v>394</v>
      </c>
      <c r="B218" s="292">
        <v>14880078.33</v>
      </c>
      <c r="C218" s="292">
        <v>0</v>
      </c>
      <c r="D218" s="295">
        <v>250000</v>
      </c>
      <c r="E218" s="25">
        <f t="shared" si="22"/>
        <v>14630078.33</v>
      </c>
    </row>
    <row r="219" spans="1:5" x14ac:dyDescent="0.25">
      <c r="A219" s="16" t="s">
        <v>395</v>
      </c>
      <c r="B219" s="292">
        <v>409522</v>
      </c>
      <c r="C219" s="292">
        <v>23094916.359999999</v>
      </c>
      <c r="D219" s="295">
        <v>8300746.2199999997</v>
      </c>
      <c r="E219" s="25">
        <f t="shared" si="22"/>
        <v>15203692.140000001</v>
      </c>
    </row>
    <row r="220" spans="1:5" x14ac:dyDescent="0.25">
      <c r="A220" s="16" t="s">
        <v>229</v>
      </c>
      <c r="B220" s="25">
        <f>SUM(B211:B219)</f>
        <v>903193355.71000004</v>
      </c>
      <c r="C220" s="225">
        <f>SUM(C211:C219)</f>
        <v>40353007.590000004</v>
      </c>
      <c r="D220" s="25">
        <f>SUM(D211:D219)</f>
        <v>28433547.75</v>
      </c>
      <c r="E220" s="25">
        <f>SUM(E211:E219)</f>
        <v>915112815.55000007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396</v>
      </c>
      <c r="B222" s="37"/>
      <c r="C222" s="37"/>
      <c r="D222" s="37"/>
      <c r="E222" s="37"/>
    </row>
    <row r="223" spans="1:5" x14ac:dyDescent="0.25">
      <c r="A223" s="21"/>
      <c r="B223" s="18" t="s">
        <v>382</v>
      </c>
      <c r="C223" s="17" t="s">
        <v>383</v>
      </c>
      <c r="D223" s="18" t="s">
        <v>384</v>
      </c>
      <c r="E223" s="18" t="s">
        <v>385</v>
      </c>
    </row>
    <row r="224" spans="1:5" x14ac:dyDescent="0.25">
      <c r="A224" s="16" t="s">
        <v>386</v>
      </c>
      <c r="B224" s="42"/>
      <c r="C224" s="41"/>
      <c r="D224" s="42"/>
      <c r="E224" s="16"/>
    </row>
    <row r="225" spans="1:6" x14ac:dyDescent="0.25">
      <c r="A225" s="16" t="s">
        <v>387</v>
      </c>
      <c r="B225" s="292">
        <v>2626408.09</v>
      </c>
      <c r="C225" s="292">
        <v>343512.83</v>
      </c>
      <c r="D225" s="295">
        <v>0</v>
      </c>
      <c r="E225" s="25">
        <f t="shared" ref="E225:E232" si="23">SUM(B225:C225)-D225</f>
        <v>2969920.92</v>
      </c>
    </row>
    <row r="226" spans="1:6" x14ac:dyDescent="0.25">
      <c r="A226" s="16" t="s">
        <v>388</v>
      </c>
      <c r="B226" s="292">
        <v>343285301.45999998</v>
      </c>
      <c r="C226" s="292">
        <v>14875302.779999999</v>
      </c>
      <c r="D226" s="295">
        <v>2704882.1</v>
      </c>
      <c r="E226" s="25">
        <f t="shared" si="23"/>
        <v>355455722.13999993</v>
      </c>
    </row>
    <row r="227" spans="1:6" x14ac:dyDescent="0.25">
      <c r="A227" s="16" t="s">
        <v>390</v>
      </c>
      <c r="B227" s="292"/>
      <c r="C227" s="292"/>
      <c r="D227" s="295"/>
      <c r="E227" s="25">
        <f t="shared" si="23"/>
        <v>0</v>
      </c>
    </row>
    <row r="228" spans="1:6" x14ac:dyDescent="0.25">
      <c r="A228" s="16" t="s">
        <v>391</v>
      </c>
      <c r="B228" s="292">
        <v>28639860.48</v>
      </c>
      <c r="C228" s="292">
        <v>1151774.7</v>
      </c>
      <c r="D228" s="295">
        <v>0</v>
      </c>
      <c r="E228" s="25">
        <f t="shared" si="23"/>
        <v>29791635.18</v>
      </c>
    </row>
    <row r="229" spans="1:6" x14ac:dyDescent="0.25">
      <c r="A229" s="16" t="s">
        <v>392</v>
      </c>
      <c r="B229" s="292">
        <v>154072721.66</v>
      </c>
      <c r="C229" s="292">
        <v>9564431.5299999993</v>
      </c>
      <c r="D229" s="295">
        <v>9359581</v>
      </c>
      <c r="E229" s="25">
        <f t="shared" si="23"/>
        <v>154277572.19</v>
      </c>
    </row>
    <row r="230" spans="1:6" x14ac:dyDescent="0.25">
      <c r="A230" s="16" t="s">
        <v>393</v>
      </c>
      <c r="B230" s="292">
        <v>0</v>
      </c>
      <c r="C230" s="292">
        <v>0</v>
      </c>
      <c r="D230" s="295">
        <v>0</v>
      </c>
      <c r="E230" s="25">
        <f t="shared" si="23"/>
        <v>0</v>
      </c>
    </row>
    <row r="231" spans="1:6" x14ac:dyDescent="0.25">
      <c r="A231" s="16" t="s">
        <v>394</v>
      </c>
      <c r="B231" s="292">
        <v>11047329.050000001</v>
      </c>
      <c r="C231" s="292">
        <v>812181.79</v>
      </c>
      <c r="D231" s="295">
        <v>0</v>
      </c>
      <c r="E231" s="25">
        <f t="shared" si="23"/>
        <v>11859510.84</v>
      </c>
    </row>
    <row r="232" spans="1:6" x14ac:dyDescent="0.25">
      <c r="A232" s="16" t="s">
        <v>395</v>
      </c>
      <c r="B232" s="292"/>
      <c r="C232" s="292"/>
      <c r="D232" s="295"/>
      <c r="E232" s="25">
        <f t="shared" si="23"/>
        <v>0</v>
      </c>
    </row>
    <row r="233" spans="1:6" x14ac:dyDescent="0.25">
      <c r="A233" s="16" t="s">
        <v>229</v>
      </c>
      <c r="B233" s="25">
        <f>SUM(B224:B232)</f>
        <v>539671620.73999989</v>
      </c>
      <c r="C233" s="225">
        <f>SUM(C224:C232)</f>
        <v>26747203.629999995</v>
      </c>
      <c r="D233" s="25">
        <f>SUM(D224:D232)</f>
        <v>12064463.1</v>
      </c>
      <c r="E233" s="25">
        <f>SUM(E224:E232)</f>
        <v>554354361.26999998</v>
      </c>
    </row>
    <row r="234" spans="1:6" x14ac:dyDescent="0.25">
      <c r="A234" s="16"/>
      <c r="B234" s="16"/>
      <c r="C234" s="22"/>
      <c r="D234" s="16"/>
      <c r="E234" s="16"/>
      <c r="F234" s="11">
        <f>E220-E233</f>
        <v>360758454.28000009</v>
      </c>
    </row>
    <row r="235" spans="1:6" x14ac:dyDescent="0.25">
      <c r="A235" s="30" t="s">
        <v>397</v>
      </c>
      <c r="B235" s="30"/>
      <c r="C235" s="30"/>
      <c r="D235" s="30"/>
      <c r="E235" s="30"/>
    </row>
    <row r="236" spans="1:6" x14ac:dyDescent="0.25">
      <c r="A236" s="30"/>
      <c r="B236" s="341" t="s">
        <v>398</v>
      </c>
      <c r="C236" s="341"/>
      <c r="D236" s="30"/>
      <c r="E236" s="30"/>
    </row>
    <row r="237" spans="1:6" x14ac:dyDescent="0.25">
      <c r="A237" s="43" t="s">
        <v>398</v>
      </c>
      <c r="B237" s="30"/>
      <c r="C237" s="292">
        <v>30913860.77</v>
      </c>
      <c r="D237" s="32">
        <f>C237</f>
        <v>30913860.77</v>
      </c>
      <c r="E237" s="30"/>
    </row>
    <row r="238" spans="1:6" x14ac:dyDescent="0.25">
      <c r="A238" s="34" t="s">
        <v>399</v>
      </c>
      <c r="B238" s="34"/>
      <c r="C238" s="34"/>
      <c r="D238" s="34"/>
      <c r="E238" s="34"/>
    </row>
    <row r="239" spans="1:6" x14ac:dyDescent="0.25">
      <c r="A239" s="16" t="s">
        <v>400</v>
      </c>
      <c r="B239" s="35" t="s">
        <v>299</v>
      </c>
      <c r="C239" s="292">
        <v>1618797857.5138028</v>
      </c>
      <c r="D239" s="16"/>
      <c r="E239" s="16"/>
    </row>
    <row r="240" spans="1:6" x14ac:dyDescent="0.25">
      <c r="A240" s="16" t="s">
        <v>401</v>
      </c>
      <c r="B240" s="35" t="s">
        <v>299</v>
      </c>
      <c r="C240" s="292">
        <v>776267478.66643357</v>
      </c>
      <c r="D240" s="16"/>
      <c r="E240" s="16"/>
    </row>
    <row r="241" spans="1:5" x14ac:dyDescent="0.25">
      <c r="A241" s="16" t="s">
        <v>402</v>
      </c>
      <c r="B241" s="35" t="s">
        <v>299</v>
      </c>
      <c r="C241" s="292">
        <v>37952976.549999982</v>
      </c>
      <c r="D241" s="16"/>
      <c r="E241" s="16"/>
    </row>
    <row r="242" spans="1:5" x14ac:dyDescent="0.25">
      <c r="A242" s="16" t="s">
        <v>403</v>
      </c>
      <c r="B242" s="35" t="s">
        <v>299</v>
      </c>
      <c r="C242" s="292">
        <v>119068536.93914366</v>
      </c>
      <c r="D242" s="16"/>
      <c r="E242" s="16"/>
    </row>
    <row r="243" spans="1:5" x14ac:dyDescent="0.25">
      <c r="A243" s="16" t="s">
        <v>404</v>
      </c>
      <c r="B243" s="35" t="s">
        <v>299</v>
      </c>
      <c r="C243" s="292"/>
      <c r="D243" s="16"/>
      <c r="E243" s="16"/>
    </row>
    <row r="244" spans="1:5" x14ac:dyDescent="0.25">
      <c r="A244" s="16" t="s">
        <v>405</v>
      </c>
      <c r="B244" s="35" t="s">
        <v>299</v>
      </c>
      <c r="C244" s="292">
        <v>1045261779.9206202</v>
      </c>
      <c r="D244" s="16"/>
      <c r="E244" s="16"/>
    </row>
    <row r="245" spans="1:5" x14ac:dyDescent="0.25">
      <c r="A245" s="16" t="s">
        <v>406</v>
      </c>
      <c r="B245" s="16"/>
      <c r="C245" s="22"/>
      <c r="D245" s="25">
        <f>SUM(C239:C244)</f>
        <v>3597348629.5900002</v>
      </c>
      <c r="E245" s="16"/>
    </row>
    <row r="246" spans="1:5" x14ac:dyDescent="0.25">
      <c r="A246" s="34" t="s">
        <v>407</v>
      </c>
      <c r="B246" s="34"/>
      <c r="C246" s="34"/>
      <c r="D246" s="34"/>
      <c r="E246" s="34"/>
    </row>
    <row r="247" spans="1:5" x14ac:dyDescent="0.25">
      <c r="A247" s="21" t="s">
        <v>408</v>
      </c>
      <c r="B247" s="35" t="s">
        <v>299</v>
      </c>
      <c r="C247" s="294">
        <v>29275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409</v>
      </c>
      <c r="B249" s="35" t="s">
        <v>299</v>
      </c>
      <c r="C249" s="292">
        <v>28518556.600000001</v>
      </c>
      <c r="D249" s="16"/>
      <c r="E249" s="16"/>
    </row>
    <row r="250" spans="1:5" x14ac:dyDescent="0.25">
      <c r="A250" s="21" t="s">
        <v>410</v>
      </c>
      <c r="B250" s="35" t="s">
        <v>299</v>
      </c>
      <c r="C250" s="292">
        <v>63359804.009999998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411</v>
      </c>
      <c r="B252" s="16"/>
      <c r="C252" s="22"/>
      <c r="D252" s="25">
        <f>SUM(C249:C251)</f>
        <v>91878360.609999999</v>
      </c>
      <c r="E252" s="16"/>
    </row>
    <row r="253" spans="1:5" x14ac:dyDescent="0.25">
      <c r="A253" s="34" t="s">
        <v>412</v>
      </c>
      <c r="B253" s="34"/>
      <c r="C253" s="34"/>
      <c r="D253" s="34"/>
      <c r="E253" s="34"/>
    </row>
    <row r="254" spans="1:5" x14ac:dyDescent="0.25">
      <c r="A254" s="16" t="s">
        <v>413</v>
      </c>
      <c r="B254" s="35" t="s">
        <v>299</v>
      </c>
      <c r="C254" s="292">
        <v>31279839.500000004</v>
      </c>
      <c r="D254" s="16"/>
      <c r="E254" s="16"/>
    </row>
    <row r="255" spans="1:5" x14ac:dyDescent="0.25">
      <c r="A255" s="16" t="s">
        <v>412</v>
      </c>
      <c r="B255" s="35" t="s">
        <v>299</v>
      </c>
      <c r="C255" s="292">
        <v>26616644.449999999</v>
      </c>
      <c r="D255" s="16"/>
      <c r="E255" s="16"/>
    </row>
    <row r="256" spans="1:5" x14ac:dyDescent="0.25">
      <c r="A256" s="16" t="s">
        <v>414</v>
      </c>
      <c r="B256" s="16"/>
      <c r="C256" s="22"/>
      <c r="D256" s="25">
        <f>SUM(C254:C255)</f>
        <v>57896483.950000003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415</v>
      </c>
      <c r="B258" s="16"/>
      <c r="C258" s="22"/>
      <c r="D258" s="25">
        <f>D237+D245+D252+D256</f>
        <v>3778037334.9200001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416</v>
      </c>
      <c r="B264" s="30"/>
      <c r="C264" s="30"/>
      <c r="D264" s="30"/>
      <c r="E264" s="30"/>
    </row>
    <row r="265" spans="1:5" x14ac:dyDescent="0.25">
      <c r="A265" s="34" t="s">
        <v>417</v>
      </c>
      <c r="B265" s="34"/>
      <c r="C265" s="34"/>
      <c r="D265" s="34"/>
      <c r="E265" s="34"/>
    </row>
    <row r="266" spans="1:5" x14ac:dyDescent="0.25">
      <c r="A266" s="16" t="s">
        <v>418</v>
      </c>
      <c r="B266" s="35" t="s">
        <v>299</v>
      </c>
      <c r="C266" s="292">
        <v>0</v>
      </c>
      <c r="D266" s="16"/>
      <c r="E266" s="16"/>
    </row>
    <row r="267" spans="1:5" x14ac:dyDescent="0.25">
      <c r="A267" s="16" t="s">
        <v>419</v>
      </c>
      <c r="B267" s="35" t="s">
        <v>299</v>
      </c>
      <c r="C267" s="292"/>
      <c r="D267" s="16"/>
      <c r="E267" s="16"/>
    </row>
    <row r="268" spans="1:5" x14ac:dyDescent="0.25">
      <c r="A268" s="16" t="s">
        <v>420</v>
      </c>
      <c r="B268" s="35" t="s">
        <v>299</v>
      </c>
      <c r="C268" s="292">
        <v>729601994.47000003</v>
      </c>
      <c r="D268" s="16"/>
      <c r="E268" s="16"/>
    </row>
    <row r="269" spans="1:5" x14ac:dyDescent="0.25">
      <c r="A269" s="16" t="s">
        <v>421</v>
      </c>
      <c r="B269" s="35" t="s">
        <v>299</v>
      </c>
      <c r="C269" s="292">
        <v>507020040.20000005</v>
      </c>
      <c r="D269" s="16"/>
      <c r="E269" s="16"/>
    </row>
    <row r="270" spans="1:5" x14ac:dyDescent="0.25">
      <c r="A270" s="16" t="s">
        <v>422</v>
      </c>
      <c r="B270" s="35" t="s">
        <v>299</v>
      </c>
      <c r="C270" s="292"/>
      <c r="D270" s="16"/>
      <c r="E270" s="16"/>
    </row>
    <row r="271" spans="1:5" x14ac:dyDescent="0.25">
      <c r="A271" s="16" t="s">
        <v>423</v>
      </c>
      <c r="B271" s="35" t="s">
        <v>299</v>
      </c>
      <c r="C271" s="292">
        <v>3708760.65</v>
      </c>
      <c r="D271" s="16"/>
      <c r="E271" s="16"/>
    </row>
    <row r="272" spans="1:5" x14ac:dyDescent="0.25">
      <c r="A272" s="16" t="s">
        <v>424</v>
      </c>
      <c r="B272" s="35" t="s">
        <v>299</v>
      </c>
      <c r="C272" s="292"/>
      <c r="D272" s="16"/>
      <c r="E272" s="16"/>
    </row>
    <row r="273" spans="1:5" x14ac:dyDescent="0.25">
      <c r="A273" s="16" t="s">
        <v>425</v>
      </c>
      <c r="B273" s="35" t="s">
        <v>299</v>
      </c>
      <c r="C273" s="292">
        <v>18751155.460000001</v>
      </c>
      <c r="D273" s="16"/>
      <c r="E273" s="16"/>
    </row>
    <row r="274" spans="1:5" x14ac:dyDescent="0.25">
      <c r="A274" s="16" t="s">
        <v>426</v>
      </c>
      <c r="B274" s="35" t="s">
        <v>299</v>
      </c>
      <c r="C274" s="292">
        <v>3350248.51</v>
      </c>
      <c r="D274" s="16"/>
      <c r="E274" s="16"/>
    </row>
    <row r="275" spans="1:5" x14ac:dyDescent="0.25">
      <c r="A275" s="16" t="s">
        <v>427</v>
      </c>
      <c r="B275" s="35" t="s">
        <v>299</v>
      </c>
      <c r="C275" s="292"/>
      <c r="D275" s="16"/>
      <c r="E275" s="16"/>
    </row>
    <row r="276" spans="1:5" x14ac:dyDescent="0.25">
      <c r="A276" s="16" t="s">
        <v>428</v>
      </c>
      <c r="B276" s="16"/>
      <c r="C276" s="22"/>
      <c r="D276" s="25">
        <f>SUM(C266:C268)-C269+SUM(C270:C275)</f>
        <v>248392118.88999999</v>
      </c>
      <c r="E276" s="16"/>
    </row>
    <row r="277" spans="1:5" x14ac:dyDescent="0.25">
      <c r="A277" s="34" t="s">
        <v>429</v>
      </c>
      <c r="B277" s="34"/>
      <c r="C277" s="34"/>
      <c r="D277" s="34"/>
      <c r="E277" s="34"/>
    </row>
    <row r="278" spans="1:5" x14ac:dyDescent="0.25">
      <c r="A278" s="16" t="s">
        <v>418</v>
      </c>
      <c r="B278" s="35" t="s">
        <v>299</v>
      </c>
      <c r="C278" s="292">
        <v>0</v>
      </c>
      <c r="D278" s="16"/>
      <c r="E278" s="16"/>
    </row>
    <row r="279" spans="1:5" x14ac:dyDescent="0.25">
      <c r="A279" s="16" t="s">
        <v>419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430</v>
      </c>
      <c r="B280" s="35" t="s">
        <v>299</v>
      </c>
      <c r="C280" s="292">
        <v>0</v>
      </c>
      <c r="D280" s="16"/>
      <c r="E280" s="16"/>
    </row>
    <row r="281" spans="1:5" x14ac:dyDescent="0.25">
      <c r="A281" s="16" t="s">
        <v>431</v>
      </c>
      <c r="B281" s="16"/>
      <c r="C281" s="22"/>
      <c r="D281" s="25">
        <f>SUM(C278:C280)</f>
        <v>0</v>
      </c>
      <c r="E281" s="16"/>
    </row>
    <row r="282" spans="1:5" x14ac:dyDescent="0.25">
      <c r="A282" s="34" t="s">
        <v>432</v>
      </c>
      <c r="B282" s="34"/>
      <c r="C282" s="34"/>
      <c r="D282" s="34"/>
      <c r="E282" s="34"/>
    </row>
    <row r="283" spans="1:5" x14ac:dyDescent="0.25">
      <c r="A283" s="16" t="s">
        <v>386</v>
      </c>
      <c r="B283" s="35" t="s">
        <v>299</v>
      </c>
      <c r="C283" s="292">
        <v>7581710.04</v>
      </c>
      <c r="D283" s="16"/>
      <c r="E283" s="16"/>
    </row>
    <row r="284" spans="1:5" x14ac:dyDescent="0.25">
      <c r="A284" s="16" t="s">
        <v>387</v>
      </c>
      <c r="B284" s="35" t="s">
        <v>299</v>
      </c>
      <c r="C284" s="292">
        <v>4702751.6399999997</v>
      </c>
      <c r="D284" s="16"/>
      <c r="E284" s="16"/>
    </row>
    <row r="285" spans="1:5" x14ac:dyDescent="0.25">
      <c r="A285" s="16" t="s">
        <v>388</v>
      </c>
      <c r="B285" s="35" t="s">
        <v>299</v>
      </c>
      <c r="C285" s="292">
        <v>636673169.63999999</v>
      </c>
      <c r="D285" s="16"/>
      <c r="E285" s="16"/>
    </row>
    <row r="286" spans="1:5" x14ac:dyDescent="0.25">
      <c r="A286" s="16" t="s">
        <v>433</v>
      </c>
      <c r="B286" s="35" t="s">
        <v>299</v>
      </c>
      <c r="C286" s="292"/>
      <c r="D286" s="16"/>
      <c r="E286" s="16"/>
    </row>
    <row r="287" spans="1:5" x14ac:dyDescent="0.25">
      <c r="A287" s="16" t="s">
        <v>434</v>
      </c>
      <c r="B287" s="35" t="s">
        <v>299</v>
      </c>
      <c r="C287" s="292"/>
      <c r="D287" s="16"/>
      <c r="E287" s="16"/>
    </row>
    <row r="288" spans="1:5" x14ac:dyDescent="0.25">
      <c r="A288" s="16" t="s">
        <v>435</v>
      </c>
      <c r="B288" s="35" t="s">
        <v>299</v>
      </c>
      <c r="C288" s="292">
        <v>237017185.54999998</v>
      </c>
      <c r="D288" s="16"/>
      <c r="E288" s="16"/>
    </row>
    <row r="289" spans="1:5" x14ac:dyDescent="0.25">
      <c r="A289" s="16" t="s">
        <v>394</v>
      </c>
      <c r="B289" s="35" t="s">
        <v>299</v>
      </c>
      <c r="C289" s="292">
        <v>14630078.33</v>
      </c>
      <c r="D289" s="16"/>
      <c r="E289" s="16"/>
    </row>
    <row r="290" spans="1:5" x14ac:dyDescent="0.25">
      <c r="A290" s="16" t="s">
        <v>395</v>
      </c>
      <c r="B290" s="35" t="s">
        <v>299</v>
      </c>
      <c r="C290" s="292">
        <v>14507920.35</v>
      </c>
      <c r="D290" s="16"/>
      <c r="E290" s="16"/>
    </row>
    <row r="291" spans="1:5" x14ac:dyDescent="0.25">
      <c r="A291" s="16" t="s">
        <v>436</v>
      </c>
      <c r="B291" s="16"/>
      <c r="C291" s="22"/>
      <c r="D291" s="25">
        <f>SUM(C283:C290)</f>
        <v>915112815.54999995</v>
      </c>
      <c r="E291" s="16"/>
    </row>
    <row r="292" spans="1:5" x14ac:dyDescent="0.25">
      <c r="A292" s="16" t="s">
        <v>437</v>
      </c>
      <c r="B292" s="35" t="s">
        <v>299</v>
      </c>
      <c r="C292" s="292">
        <v>554354361.26999998</v>
      </c>
      <c r="D292" s="16"/>
      <c r="E292" s="16"/>
    </row>
    <row r="293" spans="1:5" x14ac:dyDescent="0.25">
      <c r="A293" s="16" t="s">
        <v>438</v>
      </c>
      <c r="B293" s="16"/>
      <c r="C293" s="22"/>
      <c r="D293" s="25">
        <f>D291-C292</f>
        <v>360758454.27999997</v>
      </c>
      <c r="E293" s="16"/>
    </row>
    <row r="294" spans="1:5" x14ac:dyDescent="0.25">
      <c r="A294" s="34" t="s">
        <v>439</v>
      </c>
      <c r="B294" s="34"/>
      <c r="C294" s="34"/>
      <c r="D294" s="34"/>
      <c r="E294" s="34"/>
    </row>
    <row r="295" spans="1:5" x14ac:dyDescent="0.25">
      <c r="A295" s="16" t="s">
        <v>440</v>
      </c>
      <c r="B295" s="35" t="s">
        <v>299</v>
      </c>
      <c r="C295" s="292"/>
      <c r="D295" s="16"/>
      <c r="E295" s="16"/>
    </row>
    <row r="296" spans="1:5" x14ac:dyDescent="0.25">
      <c r="A296" s="16" t="s">
        <v>441</v>
      </c>
      <c r="B296" s="35" t="s">
        <v>299</v>
      </c>
      <c r="C296" s="292"/>
      <c r="D296" s="16"/>
      <c r="E296" s="16"/>
    </row>
    <row r="297" spans="1:5" x14ac:dyDescent="0.25">
      <c r="A297" s="16" t="s">
        <v>442</v>
      </c>
      <c r="B297" s="35" t="s">
        <v>299</v>
      </c>
      <c r="C297" s="292"/>
      <c r="D297" s="16"/>
      <c r="E297" s="16"/>
    </row>
    <row r="298" spans="1:5" x14ac:dyDescent="0.25">
      <c r="A298" s="16" t="s">
        <v>430</v>
      </c>
      <c r="B298" s="35" t="s">
        <v>299</v>
      </c>
      <c r="C298" s="292">
        <v>106906.62</v>
      </c>
      <c r="D298" s="16"/>
      <c r="E298" s="16"/>
    </row>
    <row r="299" spans="1:5" x14ac:dyDescent="0.25">
      <c r="A299" s="16" t="s">
        <v>443</v>
      </c>
      <c r="B299" s="16"/>
      <c r="C299" s="22"/>
      <c r="D299" s="25">
        <f>C295-C296+C297+C298</f>
        <v>106906.62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444</v>
      </c>
      <c r="B301" s="34"/>
      <c r="C301" s="34"/>
      <c r="D301" s="34"/>
      <c r="E301" s="34"/>
    </row>
    <row r="302" spans="1:5" x14ac:dyDescent="0.25">
      <c r="A302" s="16" t="s">
        <v>445</v>
      </c>
      <c r="B302" s="35" t="s">
        <v>299</v>
      </c>
      <c r="C302" s="292"/>
      <c r="D302" s="16"/>
      <c r="E302" s="16"/>
    </row>
    <row r="303" spans="1:5" x14ac:dyDescent="0.25">
      <c r="A303" s="16" t="s">
        <v>446</v>
      </c>
      <c r="B303" s="35" t="s">
        <v>299</v>
      </c>
      <c r="C303" s="292"/>
      <c r="D303" s="16"/>
      <c r="E303" s="16"/>
    </row>
    <row r="304" spans="1:5" x14ac:dyDescent="0.25">
      <c r="A304" s="16" t="s">
        <v>447</v>
      </c>
      <c r="B304" s="35" t="s">
        <v>299</v>
      </c>
      <c r="C304" s="292"/>
      <c r="D304" s="16"/>
      <c r="E304" s="16"/>
    </row>
    <row r="305" spans="1:6" x14ac:dyDescent="0.25">
      <c r="A305" s="16" t="s">
        <v>448</v>
      </c>
      <c r="B305" s="35" t="s">
        <v>299</v>
      </c>
      <c r="C305" s="292"/>
      <c r="D305" s="16"/>
      <c r="E305" s="16"/>
    </row>
    <row r="306" spans="1:6" x14ac:dyDescent="0.25">
      <c r="A306" s="16" t="s">
        <v>449</v>
      </c>
      <c r="B306" s="16"/>
      <c r="C306" s="22"/>
      <c r="D306" s="25">
        <f>SUM(C302:C305)</f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450</v>
      </c>
      <c r="B308" s="16"/>
      <c r="C308" s="22"/>
      <c r="D308" s="25">
        <f>D276+D281+D293+D299+D306</f>
        <v>609257479.78999996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609257479.78999996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451</v>
      </c>
      <c r="B312" s="30"/>
      <c r="C312" s="30"/>
      <c r="D312" s="30"/>
      <c r="E312" s="30"/>
    </row>
    <row r="313" spans="1:6" x14ac:dyDescent="0.25">
      <c r="A313" s="34" t="s">
        <v>452</v>
      </c>
      <c r="B313" s="34"/>
      <c r="C313" s="34"/>
      <c r="D313" s="34"/>
      <c r="E313" s="34"/>
    </row>
    <row r="314" spans="1:6" x14ac:dyDescent="0.25">
      <c r="A314" s="16" t="s">
        <v>453</v>
      </c>
      <c r="B314" s="35" t="s">
        <v>299</v>
      </c>
      <c r="C314" s="292"/>
      <c r="D314" s="16"/>
      <c r="E314" s="16"/>
    </row>
    <row r="315" spans="1:6" x14ac:dyDescent="0.25">
      <c r="A315" s="16" t="s">
        <v>454</v>
      </c>
      <c r="B315" s="35" t="s">
        <v>299</v>
      </c>
      <c r="C315" s="292">
        <v>47388129.329999834</v>
      </c>
      <c r="D315" s="16"/>
      <c r="E315" s="16"/>
    </row>
    <row r="316" spans="1:6" x14ac:dyDescent="0.25">
      <c r="A316" s="16" t="s">
        <v>455</v>
      </c>
      <c r="B316" s="35" t="s">
        <v>299</v>
      </c>
      <c r="C316" s="292">
        <v>320884568.58000004</v>
      </c>
      <c r="D316" s="16"/>
      <c r="E316" s="16"/>
    </row>
    <row r="317" spans="1:6" x14ac:dyDescent="0.25">
      <c r="A317" s="16" t="s">
        <v>456</v>
      </c>
      <c r="B317" s="35" t="s">
        <v>299</v>
      </c>
      <c r="C317" s="292"/>
      <c r="D317" s="16"/>
      <c r="E317" s="16"/>
    </row>
    <row r="318" spans="1:6" x14ac:dyDescent="0.25">
      <c r="A318" s="16" t="s">
        <v>457</v>
      </c>
      <c r="B318" s="35" t="s">
        <v>299</v>
      </c>
      <c r="C318" s="292"/>
      <c r="D318" s="16"/>
      <c r="E318" s="16"/>
    </row>
    <row r="319" spans="1:6" x14ac:dyDescent="0.25">
      <c r="A319" s="16" t="s">
        <v>458</v>
      </c>
      <c r="B319" s="35" t="s">
        <v>299</v>
      </c>
      <c r="C319" s="292">
        <v>11536657.83</v>
      </c>
      <c r="D319" s="16"/>
      <c r="E319" s="16"/>
    </row>
    <row r="320" spans="1:6" x14ac:dyDescent="0.25">
      <c r="A320" s="16" t="s">
        <v>459</v>
      </c>
      <c r="B320" s="35" t="s">
        <v>299</v>
      </c>
      <c r="C320" s="292">
        <v>1400000</v>
      </c>
      <c r="D320" s="16"/>
      <c r="E320" s="16"/>
    </row>
    <row r="321" spans="1:5" x14ac:dyDescent="0.25">
      <c r="A321" s="16" t="s">
        <v>460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461</v>
      </c>
      <c r="B322" s="35" t="s">
        <v>299</v>
      </c>
      <c r="C322" s="292">
        <v>0</v>
      </c>
      <c r="D322" s="16"/>
      <c r="E322" s="16"/>
    </row>
    <row r="323" spans="1:5" x14ac:dyDescent="0.25">
      <c r="A323" s="16" t="s">
        <v>462</v>
      </c>
      <c r="B323" s="35" t="s">
        <v>299</v>
      </c>
      <c r="C323" s="292">
        <v>0</v>
      </c>
      <c r="D323" s="16"/>
      <c r="E323" s="16"/>
    </row>
    <row r="324" spans="1:5" x14ac:dyDescent="0.25">
      <c r="A324" s="16" t="s">
        <v>463</v>
      </c>
      <c r="B324" s="16"/>
      <c r="C324" s="22"/>
      <c r="D324" s="25">
        <f>SUM(C314:C323)</f>
        <v>381209355.73999983</v>
      </c>
      <c r="E324" s="16"/>
    </row>
    <row r="325" spans="1:5" x14ac:dyDescent="0.25">
      <c r="A325" s="34" t="s">
        <v>464</v>
      </c>
      <c r="B325" s="34"/>
      <c r="C325" s="34"/>
      <c r="D325" s="34"/>
      <c r="E325" s="34"/>
    </row>
    <row r="326" spans="1:5" x14ac:dyDescent="0.25">
      <c r="A326" s="16" t="s">
        <v>465</v>
      </c>
      <c r="B326" s="35" t="s">
        <v>299</v>
      </c>
      <c r="C326" s="292"/>
      <c r="D326" s="16"/>
      <c r="E326" s="16"/>
    </row>
    <row r="327" spans="1:5" x14ac:dyDescent="0.25">
      <c r="A327" s="16" t="s">
        <v>466</v>
      </c>
      <c r="B327" s="35" t="s">
        <v>299</v>
      </c>
      <c r="C327" s="292"/>
      <c r="D327" s="16"/>
      <c r="E327" s="16"/>
    </row>
    <row r="328" spans="1:5" x14ac:dyDescent="0.25">
      <c r="A328" s="16" t="s">
        <v>467</v>
      </c>
      <c r="B328" s="35" t="s">
        <v>299</v>
      </c>
      <c r="C328" s="292"/>
      <c r="D328" s="16"/>
      <c r="E328" s="16"/>
    </row>
    <row r="329" spans="1:5" x14ac:dyDescent="0.25">
      <c r="A329" s="16" t="s">
        <v>468</v>
      </c>
      <c r="B329" s="16"/>
      <c r="C329" s="22"/>
      <c r="D329" s="25">
        <f>SUM(C326:C328)</f>
        <v>0</v>
      </c>
      <c r="E329" s="16"/>
    </row>
    <row r="330" spans="1:5" x14ac:dyDescent="0.25">
      <c r="A330" s="34" t="s">
        <v>469</v>
      </c>
      <c r="B330" s="34"/>
      <c r="C330" s="34"/>
      <c r="D330" s="34"/>
      <c r="E330" s="34"/>
    </row>
    <row r="331" spans="1:5" x14ac:dyDescent="0.25">
      <c r="A331" s="16" t="s">
        <v>470</v>
      </c>
      <c r="B331" s="35" t="s">
        <v>299</v>
      </c>
      <c r="C331" s="292"/>
      <c r="D331" s="16"/>
      <c r="E331" s="16"/>
    </row>
    <row r="332" spans="1:5" x14ac:dyDescent="0.25">
      <c r="A332" s="16" t="s">
        <v>471</v>
      </c>
      <c r="B332" s="35" t="s">
        <v>299</v>
      </c>
      <c r="C332" s="292"/>
      <c r="D332" s="16"/>
      <c r="E332" s="16"/>
    </row>
    <row r="333" spans="1:5" x14ac:dyDescent="0.25">
      <c r="A333" s="16" t="s">
        <v>472</v>
      </c>
      <c r="B333" s="35" t="s">
        <v>299</v>
      </c>
      <c r="C333" s="292"/>
      <c r="D333" s="16"/>
      <c r="E333" s="16"/>
    </row>
    <row r="334" spans="1:5" x14ac:dyDescent="0.25">
      <c r="A334" s="21" t="s">
        <v>473</v>
      </c>
      <c r="B334" s="35" t="s">
        <v>299</v>
      </c>
      <c r="C334" s="292">
        <v>0</v>
      </c>
      <c r="D334" s="16"/>
      <c r="E334" s="16"/>
    </row>
    <row r="335" spans="1:5" x14ac:dyDescent="0.25">
      <c r="A335" s="16" t="s">
        <v>474</v>
      </c>
      <c r="B335" s="35" t="s">
        <v>299</v>
      </c>
      <c r="C335" s="292" t="s">
        <v>389</v>
      </c>
      <c r="D335" s="16"/>
      <c r="E335" s="16"/>
    </row>
    <row r="336" spans="1:5" x14ac:dyDescent="0.25">
      <c r="A336" s="21" t="s">
        <v>475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476</v>
      </c>
      <c r="B337" s="35" t="s">
        <v>299</v>
      </c>
      <c r="C337" s="298"/>
      <c r="D337" s="16"/>
      <c r="E337" s="16"/>
    </row>
    <row r="338" spans="1:5" x14ac:dyDescent="0.25">
      <c r="A338" s="16" t="s">
        <v>477</v>
      </c>
      <c r="B338" s="35" t="s">
        <v>299</v>
      </c>
      <c r="C338" s="292">
        <v>0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f>SUM(C331:C338)</f>
        <v>0</v>
      </c>
      <c r="E339" s="16"/>
    </row>
    <row r="340" spans="1:5" x14ac:dyDescent="0.25">
      <c r="A340" s="16" t="s">
        <v>478</v>
      </c>
      <c r="B340" s="16"/>
      <c r="C340" s="22"/>
      <c r="D340" s="25">
        <f>C323</f>
        <v>0</v>
      </c>
      <c r="E340" s="16"/>
    </row>
    <row r="341" spans="1:5" x14ac:dyDescent="0.25">
      <c r="A341" s="16" t="s">
        <v>479</v>
      </c>
      <c r="B341" s="16"/>
      <c r="C341" s="22"/>
      <c r="D341" s="25">
        <f>D339-D340</f>
        <v>0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480</v>
      </c>
      <c r="B343" s="35" t="s">
        <v>299</v>
      </c>
      <c r="C343" s="297">
        <v>228048124.05000007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481</v>
      </c>
      <c r="B345" s="35" t="s">
        <v>299</v>
      </c>
      <c r="C345" s="293"/>
      <c r="D345" s="16"/>
      <c r="E345" s="16"/>
    </row>
    <row r="346" spans="1:5" x14ac:dyDescent="0.25">
      <c r="A346" s="16" t="s">
        <v>482</v>
      </c>
      <c r="B346" s="35" t="s">
        <v>299</v>
      </c>
      <c r="C346" s="293"/>
      <c r="D346" s="16"/>
      <c r="E346" s="16"/>
    </row>
    <row r="347" spans="1:5" x14ac:dyDescent="0.25">
      <c r="A347" s="16" t="s">
        <v>483</v>
      </c>
      <c r="B347" s="35" t="s">
        <v>299</v>
      </c>
      <c r="C347" s="293"/>
      <c r="D347" s="16"/>
      <c r="E347" s="16"/>
    </row>
    <row r="348" spans="1:5" x14ac:dyDescent="0.25">
      <c r="A348" s="16" t="s">
        <v>484</v>
      </c>
      <c r="B348" s="35" t="s">
        <v>299</v>
      </c>
      <c r="C348" s="293"/>
      <c r="D348" s="16"/>
      <c r="E348" s="16"/>
    </row>
    <row r="349" spans="1:5" x14ac:dyDescent="0.25">
      <c r="A349" s="16" t="s">
        <v>485</v>
      </c>
      <c r="B349" s="35" t="s">
        <v>299</v>
      </c>
      <c r="C349" s="293"/>
      <c r="D349" s="16"/>
      <c r="E349" s="16"/>
    </row>
    <row r="350" spans="1:5" x14ac:dyDescent="0.25">
      <c r="A350" s="16" t="s">
        <v>486</v>
      </c>
      <c r="B350" s="16"/>
      <c r="C350" s="22"/>
      <c r="D350" s="25">
        <f>D324+D329+D341+C343+C347+C348</f>
        <v>609257479.78999996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487</v>
      </c>
      <c r="B352" s="16"/>
      <c r="C352" s="22"/>
      <c r="D352" s="25">
        <f>D308</f>
        <v>609257479.78999996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488</v>
      </c>
      <c r="B356" s="30"/>
      <c r="C356" s="30"/>
      <c r="D356" s="30"/>
      <c r="E356" s="30"/>
    </row>
    <row r="357" spans="1:5" x14ac:dyDescent="0.25">
      <c r="A357" s="34" t="s">
        <v>489</v>
      </c>
      <c r="B357" s="34"/>
      <c r="C357" s="34"/>
      <c r="D357" s="34"/>
      <c r="E357" s="34"/>
    </row>
    <row r="358" spans="1:5" x14ac:dyDescent="0.25">
      <c r="A358" s="16" t="s">
        <v>490</v>
      </c>
      <c r="B358" s="35" t="s">
        <v>299</v>
      </c>
      <c r="C358" s="292">
        <v>1936975112.7700002</v>
      </c>
      <c r="D358" s="16"/>
      <c r="E358" s="16"/>
    </row>
    <row r="359" spans="1:5" x14ac:dyDescent="0.25">
      <c r="A359" s="16" t="s">
        <v>491</v>
      </c>
      <c r="B359" s="35" t="s">
        <v>299</v>
      </c>
      <c r="C359" s="292">
        <v>3284740364.0500002</v>
      </c>
      <c r="D359" s="16"/>
      <c r="E359" s="16"/>
    </row>
    <row r="360" spans="1:5" x14ac:dyDescent="0.25">
      <c r="A360" s="16" t="s">
        <v>492</v>
      </c>
      <c r="B360" s="16"/>
      <c r="C360" s="22"/>
      <c r="D360" s="25">
        <f>SUM(C358:C359)</f>
        <v>5221715476.8200006</v>
      </c>
      <c r="E360" s="16"/>
    </row>
    <row r="361" spans="1:5" x14ac:dyDescent="0.25">
      <c r="A361" s="34" t="s">
        <v>493</v>
      </c>
      <c r="B361" s="34"/>
      <c r="C361" s="34"/>
      <c r="D361" s="34"/>
      <c r="E361" s="34"/>
    </row>
    <row r="362" spans="1:5" x14ac:dyDescent="0.25">
      <c r="A362" s="16" t="s">
        <v>398</v>
      </c>
      <c r="B362" s="34"/>
      <c r="C362" s="292">
        <v>30913860.77</v>
      </c>
      <c r="D362" s="16"/>
      <c r="E362" s="34"/>
    </row>
    <row r="363" spans="1:5" x14ac:dyDescent="0.25">
      <c r="A363" s="16" t="s">
        <v>494</v>
      </c>
      <c r="B363" s="35" t="s">
        <v>299</v>
      </c>
      <c r="C363" s="292">
        <f>D245</f>
        <v>3597348629.5900002</v>
      </c>
      <c r="D363" s="16"/>
      <c r="E363" s="16"/>
    </row>
    <row r="364" spans="1:5" x14ac:dyDescent="0.25">
      <c r="A364" s="16" t="s">
        <v>495</v>
      </c>
      <c r="B364" s="35" t="s">
        <v>299</v>
      </c>
      <c r="C364" s="292">
        <v>91878360.609999999</v>
      </c>
      <c r="D364" s="16"/>
      <c r="E364" s="16"/>
    </row>
    <row r="365" spans="1:5" x14ac:dyDescent="0.25">
      <c r="A365" s="16" t="s">
        <v>496</v>
      </c>
      <c r="B365" s="35" t="s">
        <v>299</v>
      </c>
      <c r="C365" s="292">
        <f>D256</f>
        <v>57896483.950000003</v>
      </c>
      <c r="D365" s="16"/>
      <c r="E365" s="16"/>
    </row>
    <row r="366" spans="1:5" x14ac:dyDescent="0.25">
      <c r="A366" s="16" t="s">
        <v>415</v>
      </c>
      <c r="B366" s="16"/>
      <c r="C366" s="22"/>
      <c r="D366" s="25">
        <f>SUM(C362:C365)</f>
        <v>3778037334.9200001</v>
      </c>
      <c r="E366" s="16"/>
    </row>
    <row r="367" spans="1:5" x14ac:dyDescent="0.25">
      <c r="A367" s="16" t="s">
        <v>497</v>
      </c>
      <c r="B367" s="16"/>
      <c r="C367" s="22"/>
      <c r="D367" s="25">
        <f>D360-D366</f>
        <v>1443678141.9000006</v>
      </c>
      <c r="E367" s="16"/>
    </row>
    <row r="368" spans="1:5" x14ac:dyDescent="0.25">
      <c r="A368" s="45" t="s">
        <v>498</v>
      </c>
      <c r="B368" s="34"/>
      <c r="C368" s="34"/>
      <c r="D368" s="34"/>
      <c r="E368" s="34"/>
    </row>
    <row r="369" spans="1:6" x14ac:dyDescent="0.25">
      <c r="A369" s="25" t="s">
        <v>499</v>
      </c>
      <c r="B369" s="16"/>
      <c r="C369" s="16"/>
      <c r="D369" s="16"/>
      <c r="E369" s="16"/>
    </row>
    <row r="370" spans="1:6" x14ac:dyDescent="0.25">
      <c r="A370" s="46" t="s">
        <v>500</v>
      </c>
      <c r="B370" s="32" t="s">
        <v>299</v>
      </c>
      <c r="C370" s="292">
        <v>0</v>
      </c>
      <c r="D370" s="25">
        <v>0</v>
      </c>
      <c r="E370" s="25"/>
    </row>
    <row r="371" spans="1:6" x14ac:dyDescent="0.25">
      <c r="A371" s="46" t="s">
        <v>501</v>
      </c>
      <c r="B371" s="32" t="s">
        <v>299</v>
      </c>
      <c r="C371" s="292">
        <v>760215.61</v>
      </c>
      <c r="D371" s="25">
        <v>0</v>
      </c>
      <c r="E371" s="25"/>
    </row>
    <row r="372" spans="1:6" x14ac:dyDescent="0.25">
      <c r="A372" s="46" t="s">
        <v>502</v>
      </c>
      <c r="B372" s="32" t="s">
        <v>299</v>
      </c>
      <c r="C372" s="292">
        <v>0</v>
      </c>
      <c r="D372" s="25">
        <v>0</v>
      </c>
      <c r="E372" s="25"/>
    </row>
    <row r="373" spans="1:6" x14ac:dyDescent="0.25">
      <c r="A373" s="46" t="s">
        <v>503</v>
      </c>
      <c r="B373" s="32" t="s">
        <v>299</v>
      </c>
      <c r="C373" s="292"/>
      <c r="D373" s="25">
        <v>0</v>
      </c>
      <c r="E373" s="25"/>
    </row>
    <row r="374" spans="1:6" x14ac:dyDescent="0.25">
      <c r="A374" s="46" t="s">
        <v>504</v>
      </c>
      <c r="B374" s="32" t="s">
        <v>299</v>
      </c>
      <c r="C374" s="292"/>
      <c r="D374" s="25">
        <v>0</v>
      </c>
      <c r="E374" s="25"/>
    </row>
    <row r="375" spans="1:6" x14ac:dyDescent="0.25">
      <c r="A375" s="46" t="s">
        <v>505</v>
      </c>
      <c r="B375" s="32" t="s">
        <v>299</v>
      </c>
      <c r="C375" s="292"/>
      <c r="D375" s="25">
        <v>0</v>
      </c>
      <c r="E375" s="25"/>
    </row>
    <row r="376" spans="1:6" x14ac:dyDescent="0.25">
      <c r="A376" s="46" t="s">
        <v>506</v>
      </c>
      <c r="B376" s="32" t="s">
        <v>299</v>
      </c>
      <c r="C376" s="292"/>
      <c r="D376" s="25">
        <v>0</v>
      </c>
      <c r="E376" s="25"/>
    </row>
    <row r="377" spans="1:6" x14ac:dyDescent="0.25">
      <c r="A377" s="46" t="s">
        <v>507</v>
      </c>
      <c r="B377" s="32" t="s">
        <v>299</v>
      </c>
      <c r="C377" s="292">
        <v>94968698.75</v>
      </c>
      <c r="D377" s="25">
        <v>0</v>
      </c>
      <c r="E377" s="25"/>
    </row>
    <row r="378" spans="1:6" x14ac:dyDescent="0.25">
      <c r="A378" s="46" t="s">
        <v>508</v>
      </c>
      <c r="B378" s="32" t="s">
        <v>299</v>
      </c>
      <c r="C378" s="292">
        <v>41431.410000000003</v>
      </c>
      <c r="D378" s="25">
        <v>0</v>
      </c>
      <c r="E378" s="25"/>
    </row>
    <row r="379" spans="1:6" x14ac:dyDescent="0.25">
      <c r="A379" s="46" t="s">
        <v>509</v>
      </c>
      <c r="B379" s="32" t="s">
        <v>299</v>
      </c>
      <c r="C379" s="292">
        <v>21636.67</v>
      </c>
      <c r="D379" s="25">
        <v>0</v>
      </c>
      <c r="E379" s="25"/>
    </row>
    <row r="380" spans="1:6" x14ac:dyDescent="0.25">
      <c r="A380" s="46" t="s">
        <v>510</v>
      </c>
      <c r="B380" s="32" t="s">
        <v>299</v>
      </c>
      <c r="C380" s="294">
        <v>6242901.480000007</v>
      </c>
      <c r="D380" s="25">
        <v>0</v>
      </c>
      <c r="E380" s="204" t="str">
        <f>IF(OR(C380&gt;999999,C380/(D360+D383)&gt;0.01),"Additional Classification Necessary - See Responses-2 Tab","")</f>
        <v>Additional Classification Necessary - See Responses-2 Tab</v>
      </c>
      <c r="F380" s="47"/>
    </row>
    <row r="381" spans="1:6" x14ac:dyDescent="0.25">
      <c r="A381" s="48" t="s">
        <v>511</v>
      </c>
      <c r="B381" s="35"/>
      <c r="C381" s="35"/>
      <c r="D381" s="25">
        <f>SUM(C370:C380)</f>
        <v>102034883.92</v>
      </c>
      <c r="E381" s="25"/>
      <c r="F381" s="47"/>
    </row>
    <row r="382" spans="1:6" x14ac:dyDescent="0.25">
      <c r="A382" s="43" t="s">
        <v>512</v>
      </c>
      <c r="B382" s="35" t="s">
        <v>299</v>
      </c>
      <c r="C382" s="292"/>
      <c r="D382" s="25">
        <v>0</v>
      </c>
      <c r="E382" s="16"/>
    </row>
    <row r="383" spans="1:6" x14ac:dyDescent="0.25">
      <c r="A383" s="16" t="s">
        <v>513</v>
      </c>
      <c r="B383" s="16"/>
      <c r="C383" s="22"/>
      <c r="D383" s="25">
        <f>D381+C382</f>
        <v>102034883.92</v>
      </c>
      <c r="E383" s="16"/>
    </row>
    <row r="384" spans="1:6" x14ac:dyDescent="0.25">
      <c r="A384" s="16" t="s">
        <v>514</v>
      </c>
      <c r="B384" s="16"/>
      <c r="C384" s="22"/>
      <c r="D384" s="25">
        <f>D367+D383</f>
        <v>1545713025.8200006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515</v>
      </c>
      <c r="B388" s="34"/>
      <c r="C388" s="34"/>
      <c r="D388" s="34"/>
      <c r="E388" s="34"/>
    </row>
    <row r="389" spans="1:5" x14ac:dyDescent="0.25">
      <c r="A389" s="16" t="s">
        <v>516</v>
      </c>
      <c r="B389" s="35" t="s">
        <v>299</v>
      </c>
      <c r="C389" s="292">
        <v>388880579.90000004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86477483.710000023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54367529.229999989</v>
      </c>
      <c r="D391" s="16"/>
      <c r="E391" s="16"/>
    </row>
    <row r="392" spans="1:5" x14ac:dyDescent="0.25">
      <c r="A392" s="16" t="s">
        <v>517</v>
      </c>
      <c r="B392" s="35" t="s">
        <v>299</v>
      </c>
      <c r="C392" s="292">
        <v>348030151.14999992</v>
      </c>
      <c r="D392" s="16"/>
      <c r="E392" s="16"/>
    </row>
    <row r="393" spans="1:5" x14ac:dyDescent="0.25">
      <c r="A393" s="16" t="s">
        <v>518</v>
      </c>
      <c r="B393" s="35" t="s">
        <v>299</v>
      </c>
      <c r="C393" s="292"/>
      <c r="D393" s="16"/>
      <c r="E393" s="16"/>
    </row>
    <row r="394" spans="1:5" x14ac:dyDescent="0.25">
      <c r="A394" s="16" t="s">
        <v>519</v>
      </c>
      <c r="B394" s="35" t="s">
        <v>299</v>
      </c>
      <c r="C394" s="292">
        <v>319683489.1699999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20429356.149999999</v>
      </c>
      <c r="D395" s="16"/>
      <c r="E395" s="16"/>
    </row>
    <row r="396" spans="1:5" x14ac:dyDescent="0.25">
      <c r="A396" s="16" t="s">
        <v>520</v>
      </c>
      <c r="B396" s="35" t="s">
        <v>299</v>
      </c>
      <c r="C396" s="292">
        <v>9920201.3200000003</v>
      </c>
      <c r="D396" s="16"/>
      <c r="E396" s="16"/>
    </row>
    <row r="397" spans="1:5" x14ac:dyDescent="0.25">
      <c r="A397" s="16" t="s">
        <v>521</v>
      </c>
      <c r="B397" s="35" t="s">
        <v>299</v>
      </c>
      <c r="C397" s="294"/>
      <c r="D397" s="16"/>
      <c r="E397" s="16"/>
    </row>
    <row r="398" spans="1:5" x14ac:dyDescent="0.25">
      <c r="A398" s="16" t="s">
        <v>522</v>
      </c>
      <c r="B398" s="35" t="s">
        <v>299</v>
      </c>
      <c r="C398" s="294"/>
      <c r="D398" s="16"/>
      <c r="E398" s="16"/>
    </row>
    <row r="399" spans="1:5" x14ac:dyDescent="0.25">
      <c r="A399" s="16" t="s">
        <v>523</v>
      </c>
      <c r="B399" s="35" t="s">
        <v>299</v>
      </c>
      <c r="C399" s="294">
        <v>17999065.68</v>
      </c>
      <c r="D399" s="16"/>
      <c r="E399" s="16"/>
    </row>
    <row r="400" spans="1:5" x14ac:dyDescent="0.25">
      <c r="A400" s="25" t="s">
        <v>524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3941235.93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29285977.43</v>
      </c>
      <c r="D402" s="25">
        <v>0</v>
      </c>
      <c r="E402" s="25"/>
    </row>
    <row r="403" spans="1:9" x14ac:dyDescent="0.25">
      <c r="A403" s="26" t="s">
        <v>525</v>
      </c>
      <c r="B403" s="32" t="s">
        <v>299</v>
      </c>
      <c r="C403" s="292">
        <v>2062320.1000000006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14844643.010000002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2737088.18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58783.819999999992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3856213.5400000005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115737946.38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35546.700000000004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340197.72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9217339.6500000004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2364916.7600000007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62723646.440000013</v>
      </c>
      <c r="D414" s="25">
        <v>0</v>
      </c>
      <c r="E414" s="204" t="str">
        <f>IF(OR(C414&gt;999999,C414/(D416)&gt;0.01),"Additional Classification Necessary - See Responses-2 Tab","")</f>
        <v>Additional Classification Necessary - See Responses-2 Tab</v>
      </c>
      <c r="F414" s="47"/>
      <c r="G414" s="47"/>
      <c r="H414" s="47"/>
      <c r="I414" s="47"/>
    </row>
    <row r="415" spans="1:9" x14ac:dyDescent="0.25">
      <c r="A415" s="49" t="s">
        <v>526</v>
      </c>
      <c r="B415" s="35"/>
      <c r="C415" s="35"/>
      <c r="D415" s="25">
        <f>SUM(C401:C414)</f>
        <v>247205855.65999997</v>
      </c>
      <c r="E415" s="25"/>
      <c r="F415" s="47"/>
      <c r="G415" s="47"/>
      <c r="H415" s="47"/>
      <c r="I415" s="47"/>
    </row>
    <row r="416" spans="1:9" x14ac:dyDescent="0.25">
      <c r="A416" s="25" t="s">
        <v>527</v>
      </c>
      <c r="B416" s="16"/>
      <c r="C416" s="22"/>
      <c r="D416" s="25">
        <f>SUM(C389:C399,D415)</f>
        <v>1492993711.9699998</v>
      </c>
      <c r="E416" s="25"/>
    </row>
    <row r="417" spans="1:13" x14ac:dyDescent="0.25">
      <c r="A417" s="25" t="s">
        <v>528</v>
      </c>
      <c r="B417" s="16"/>
      <c r="C417" s="22"/>
      <c r="D417" s="25">
        <f>D384-D416</f>
        <v>52719313.850000858</v>
      </c>
      <c r="E417" s="25"/>
    </row>
    <row r="418" spans="1:13" x14ac:dyDescent="0.25">
      <c r="A418" s="25" t="s">
        <v>529</v>
      </c>
      <c r="B418" s="16"/>
      <c r="C418" s="294"/>
      <c r="D418" s="25">
        <v>0</v>
      </c>
      <c r="E418" s="25"/>
    </row>
    <row r="419" spans="1:13" x14ac:dyDescent="0.25">
      <c r="A419" s="46" t="s">
        <v>530</v>
      </c>
      <c r="B419" s="35" t="s">
        <v>299</v>
      </c>
      <c r="C419" s="292"/>
      <c r="D419" s="25">
        <v>0</v>
      </c>
      <c r="E419" s="25"/>
    </row>
    <row r="420" spans="1:13" x14ac:dyDescent="0.25">
      <c r="A420" s="48" t="s">
        <v>531</v>
      </c>
      <c r="B420" s="16"/>
      <c r="C420" s="16"/>
      <c r="D420" s="25">
        <f>SUM(C418:C419)</f>
        <v>0</v>
      </c>
      <c r="E420" s="25"/>
      <c r="F420" s="11">
        <f>D420-C399</f>
        <v>-17999065.68</v>
      </c>
    </row>
    <row r="421" spans="1:13" x14ac:dyDescent="0.25">
      <c r="A421" s="25" t="s">
        <v>532</v>
      </c>
      <c r="B421" s="16"/>
      <c r="C421" s="22"/>
      <c r="D421" s="25">
        <f>D417+D420</f>
        <v>52719313.850000858</v>
      </c>
      <c r="E421" s="25"/>
      <c r="F421" s="50"/>
    </row>
    <row r="422" spans="1:13" x14ac:dyDescent="0.25">
      <c r="A422" s="25" t="s">
        <v>533</v>
      </c>
      <c r="B422" s="35" t="s">
        <v>299</v>
      </c>
      <c r="C422" s="292"/>
      <c r="D422" s="25">
        <v>0</v>
      </c>
      <c r="E422" s="16"/>
    </row>
    <row r="423" spans="1:13" x14ac:dyDescent="0.25">
      <c r="A423" s="16" t="s">
        <v>534</v>
      </c>
      <c r="B423" s="35" t="s">
        <v>299</v>
      </c>
      <c r="C423" s="292"/>
      <c r="D423" s="25">
        <v>0</v>
      </c>
      <c r="E423" s="16"/>
    </row>
    <row r="424" spans="1:13" x14ac:dyDescent="0.25">
      <c r="A424" s="16" t="s">
        <v>535</v>
      </c>
      <c r="B424" s="16"/>
      <c r="C424" s="22"/>
      <c r="D424" s="25">
        <f>D421+C422-C423</f>
        <v>52719313.850000858</v>
      </c>
      <c r="E424" s="16"/>
    </row>
    <row r="426" spans="1:13" ht="29.1" customHeight="1" x14ac:dyDescent="0.25">
      <c r="A426" s="342" t="s">
        <v>536</v>
      </c>
      <c r="B426" s="342"/>
      <c r="C426" s="342"/>
      <c r="D426" s="342"/>
      <c r="E426" s="342"/>
    </row>
    <row r="427" spans="1:13" x14ac:dyDescent="0.25">
      <c r="A427" s="306"/>
      <c r="B427" s="306"/>
      <c r="C427" s="306"/>
      <c r="D427" s="306"/>
      <c r="E427" s="306"/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537</v>
      </c>
      <c r="D612" s="217">
        <f>CE90-(BE90+CD90)</f>
        <v>492814.49499999988</v>
      </c>
      <c r="E612" s="219">
        <f>SUM(C624:D647)+SUM(C668:D713)</f>
        <v>1191799776.0356522</v>
      </c>
      <c r="F612" s="219">
        <f>CE64-(AX64+BD64+BE64+BG64+BJ64+BN64+BP64+BQ64+CB64+CC64+CD64)</f>
        <v>349212105.56999993</v>
      </c>
      <c r="G612" s="217">
        <f>CE91-(AX91+AY91+BD91+BE91+BG91+BJ91+BN91+BP91+BQ91+CB91+CC91+CD91)</f>
        <v>384908</v>
      </c>
      <c r="H612" s="222">
        <f>CE60-(AX60+AY60+AZ60+BD60+BE60+BG60+BJ60+BN60+BO60+BP60+BQ60+BR60+CB60+CC60+CD60)</f>
        <v>3662</v>
      </c>
      <c r="I612" s="217">
        <f>CE92-(AX92+AY92+AZ92+BD92+BE92+BF92+BG92+BJ92+BN92+BO92+BP92+BQ92+BR92+CB92+CC92+CD92)</f>
        <v>212014.4</v>
      </c>
      <c r="J612" s="217">
        <f>CE93-(AX93+AY93+AZ93+BA93+BD93+BE93+BF93+BG93+BJ93+BN93+BO93+BP93+BQ93+BR93+CB93+CC93+CD93)</f>
        <v>3706456.62</v>
      </c>
      <c r="K612" s="217">
        <f>CE89-(AW89+AX89+AY89+AZ89+BA89+BB89+BC89+BD89+BE89+BF89+BG89+BH89+BI89+BJ89+BK89+BL89+BM89+BN89+BO89+BP89+BQ89+BR89+BS89+BT89+BU89+BV89+BW89+BX89+CB89+CC89+CD89)</f>
        <v>5221715476.8199997</v>
      </c>
      <c r="L612" s="223">
        <f>CE94-(AW94+AX94+AY94+AZ94+BA94+BB94+BC94+BD94+BE94+BF94+BG94+BH94+BI94+BJ94+BK94+BL94+BM94+BN94+BO94+BP94+BQ94+BR94+BS94+BT94+BU94+BV94+BW94+BX94+BY94+BZ94+CA94+CB94+CC94+CD94)</f>
        <v>1556</v>
      </c>
    </row>
    <row r="613" spans="1:14" s="202" customFormat="1" ht="12.6" customHeight="1" x14ac:dyDescent="0.2">
      <c r="A613" s="212"/>
      <c r="C613" s="210" t="s">
        <v>538</v>
      </c>
      <c r="D613" s="218" t="s">
        <v>539</v>
      </c>
      <c r="E613" s="220" t="s">
        <v>540</v>
      </c>
      <c r="F613" s="221" t="s">
        <v>541</v>
      </c>
      <c r="G613" s="218" t="s">
        <v>542</v>
      </c>
      <c r="H613" s="221" t="s">
        <v>543</v>
      </c>
      <c r="I613" s="218" t="s">
        <v>544</v>
      </c>
      <c r="J613" s="218" t="s">
        <v>545</v>
      </c>
      <c r="K613" s="210" t="s">
        <v>546</v>
      </c>
      <c r="L613" s="211" t="s">
        <v>547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5339.429999999702</v>
      </c>
      <c r="D614" s="217"/>
      <c r="E614" s="219"/>
      <c r="F614" s="219"/>
      <c r="G614" s="217"/>
      <c r="H614" s="219"/>
      <c r="I614" s="217"/>
      <c r="J614" s="217"/>
      <c r="N614" s="213" t="s">
        <v>548</v>
      </c>
    </row>
    <row r="615" spans="1:14" s="202" customFormat="1" ht="12.6" customHeight="1" x14ac:dyDescent="0.2">
      <c r="A615" s="212"/>
      <c r="B615" s="211" t="s">
        <v>549</v>
      </c>
      <c r="C615" s="217">
        <f>CD69-CD84</f>
        <v>0</v>
      </c>
      <c r="D615" s="217">
        <f>SUM(C614:C615)</f>
        <v>5339.429999999702</v>
      </c>
      <c r="E615" s="219"/>
      <c r="F615" s="219"/>
      <c r="G615" s="217"/>
      <c r="H615" s="219"/>
      <c r="I615" s="217"/>
      <c r="J615" s="217"/>
      <c r="N615" s="213" t="s">
        <v>550</v>
      </c>
    </row>
    <row r="616" spans="1:14" s="202" customFormat="1" ht="12.6" customHeight="1" x14ac:dyDescent="0.2">
      <c r="A616" s="212">
        <v>8310</v>
      </c>
      <c r="B616" s="216" t="s">
        <v>551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552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0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553</v>
      </c>
    </row>
    <row r="618" spans="1:14" s="202" customFormat="1" ht="12.6" customHeight="1" x14ac:dyDescent="0.2">
      <c r="A618" s="212">
        <v>8470</v>
      </c>
      <c r="B618" s="216" t="s">
        <v>554</v>
      </c>
      <c r="C618" s="217">
        <f>BG85</f>
        <v>0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555</v>
      </c>
    </row>
    <row r="619" spans="1:14" s="202" customFormat="1" ht="12.6" customHeight="1" x14ac:dyDescent="0.2">
      <c r="A619" s="212">
        <v>8610</v>
      </c>
      <c r="B619" s="216" t="s">
        <v>556</v>
      </c>
      <c r="C619" s="217">
        <f>BN85</f>
        <v>0</v>
      </c>
      <c r="D619" s="217">
        <f>(D615/D612)*BN90</f>
        <v>108.60664085924873</v>
      </c>
      <c r="E619" s="219"/>
      <c r="F619" s="219"/>
      <c r="G619" s="217"/>
      <c r="H619" s="219"/>
      <c r="I619" s="217"/>
      <c r="J619" s="217"/>
      <c r="N619" s="213" t="s">
        <v>557</v>
      </c>
    </row>
    <row r="620" spans="1:14" s="202" customFormat="1" ht="12.6" customHeight="1" x14ac:dyDescent="0.2">
      <c r="A620" s="212">
        <v>8790</v>
      </c>
      <c r="B620" s="216" t="s">
        <v>558</v>
      </c>
      <c r="C620" s="217">
        <f>CC85</f>
        <v>181174243.45000002</v>
      </c>
      <c r="D620" s="217">
        <f>(D615/D612)*CC90</f>
        <v>37.417707197307536</v>
      </c>
      <c r="E620" s="219"/>
      <c r="F620" s="219"/>
      <c r="G620" s="217"/>
      <c r="H620" s="219"/>
      <c r="I620" s="217"/>
      <c r="J620" s="217"/>
      <c r="N620" s="213" t="s">
        <v>559</v>
      </c>
    </row>
    <row r="621" spans="1:14" s="202" customFormat="1" ht="12.6" customHeight="1" x14ac:dyDescent="0.2">
      <c r="A621" s="212">
        <v>8630</v>
      </c>
      <c r="B621" s="216" t="s">
        <v>560</v>
      </c>
      <c r="C621" s="217">
        <f>BP85</f>
        <v>-14403.280000000028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561</v>
      </c>
    </row>
    <row r="622" spans="1:14" s="202" customFormat="1" ht="12.6" customHeight="1" x14ac:dyDescent="0.2">
      <c r="A622" s="212">
        <v>8770</v>
      </c>
      <c r="B622" s="211" t="s">
        <v>562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563</v>
      </c>
    </row>
    <row r="623" spans="1:14" s="202" customFormat="1" ht="12.6" customHeight="1" x14ac:dyDescent="0.2">
      <c r="A623" s="212">
        <v>8640</v>
      </c>
      <c r="B623" s="216" t="s">
        <v>564</v>
      </c>
      <c r="C623" s="217">
        <f>BQ85</f>
        <v>0</v>
      </c>
      <c r="D623" s="217">
        <f>(D615/D612)*BQ90</f>
        <v>0</v>
      </c>
      <c r="E623" s="219">
        <f>SUM(C616:D623)</f>
        <v>181159986.19434807</v>
      </c>
      <c r="F623" s="219"/>
      <c r="G623" s="217"/>
      <c r="H623" s="219"/>
      <c r="I623" s="217"/>
      <c r="J623" s="217"/>
      <c r="N623" s="213" t="s">
        <v>565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0</v>
      </c>
      <c r="D624" s="217">
        <f>(D615/D612)*BD90</f>
        <v>23.478499369218753</v>
      </c>
      <c r="E624" s="219">
        <f>(E623/E612)*SUM(C624:D624)</f>
        <v>3.5688583830246006</v>
      </c>
      <c r="F624" s="219">
        <f>SUM(C624:E624)</f>
        <v>27.047357752243354</v>
      </c>
      <c r="G624" s="217"/>
      <c r="H624" s="219"/>
      <c r="I624" s="217"/>
      <c r="J624" s="217"/>
      <c r="N624" s="213" t="s">
        <v>566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198048.90999999968</v>
      </c>
      <c r="D625" s="217">
        <f>(D615/D612)*AY90</f>
        <v>84.010231215495594</v>
      </c>
      <c r="E625" s="219">
        <f>(E623/E612)*SUM(C625:D625)</f>
        <v>30117.271219103724</v>
      </c>
      <c r="F625" s="219">
        <f>(F624/F612)*AY64</f>
        <v>3.8080824367715614E-2</v>
      </c>
      <c r="G625" s="217">
        <f>SUM(C625:F625)</f>
        <v>228250.22953114327</v>
      </c>
      <c r="H625" s="219"/>
      <c r="I625" s="217"/>
      <c r="J625" s="217"/>
      <c r="N625" s="213" t="s">
        <v>567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0</v>
      </c>
      <c r="D626" s="217">
        <f>(D615/D612)*BR90</f>
        <v>0</v>
      </c>
      <c r="E626" s="219">
        <f>(E623/E612)*SUM(C626:D626)</f>
        <v>0</v>
      </c>
      <c r="F626" s="219">
        <f>(F624/F612)*BR64</f>
        <v>0</v>
      </c>
      <c r="G626" s="217">
        <f>(G625/G612)*BR91</f>
        <v>0</v>
      </c>
      <c r="H626" s="219"/>
      <c r="I626" s="217"/>
      <c r="J626" s="217"/>
      <c r="N626" s="213" t="s">
        <v>568</v>
      </c>
    </row>
    <row r="627" spans="1:14" s="202" customFormat="1" ht="12.6" customHeight="1" x14ac:dyDescent="0.2">
      <c r="A627" s="212">
        <v>8620</v>
      </c>
      <c r="B627" s="211" t="s">
        <v>569</v>
      </c>
      <c r="C627" s="217">
        <f>BO85</f>
        <v>0</v>
      </c>
      <c r="D627" s="217">
        <f>(D615/D612)*BO90</f>
        <v>0</v>
      </c>
      <c r="E627" s="219">
        <f>(E623/E612)*SUM(C627:D627)</f>
        <v>0</v>
      </c>
      <c r="F627" s="219">
        <f>(F624/F612)*BO64</f>
        <v>0</v>
      </c>
      <c r="G627" s="217">
        <f>(G625/G612)*BO91</f>
        <v>0</v>
      </c>
      <c r="H627" s="219"/>
      <c r="I627" s="217"/>
      <c r="J627" s="217"/>
      <c r="N627" s="213" t="s">
        <v>570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>
        <f>(G625/G612)*AZ91</f>
        <v>0</v>
      </c>
      <c r="H628" s="219">
        <f>SUM(C626:G628)</f>
        <v>0</v>
      </c>
      <c r="I628" s="217"/>
      <c r="J628" s="217"/>
      <c r="N628" s="213" t="s">
        <v>571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20247.630000000005</v>
      </c>
      <c r="D629" s="217">
        <f>(D615/D612)*BF90</f>
        <v>21.744102424583524</v>
      </c>
      <c r="E629" s="219">
        <f>(E623/E612)*SUM(C629:D629)</f>
        <v>3081.054054883014</v>
      </c>
      <c r="F629" s="219">
        <f>(F624/F612)*BF64</f>
        <v>8.9740300871295961E-3</v>
      </c>
      <c r="G629" s="217">
        <f>(G625/G612)*BF91</f>
        <v>0</v>
      </c>
      <c r="H629" s="219">
        <f>(H628/H612)*BF60</f>
        <v>0</v>
      </c>
      <c r="I629" s="217">
        <f>SUM(C629:H629)</f>
        <v>23350.437131337687</v>
      </c>
      <c r="J629" s="217"/>
      <c r="N629" s="213" t="s">
        <v>572</v>
      </c>
    </row>
    <row r="630" spans="1:14" s="202" customFormat="1" ht="12.6" customHeight="1" x14ac:dyDescent="0.2">
      <c r="A630" s="212">
        <v>8350</v>
      </c>
      <c r="B630" s="216" t="s">
        <v>573</v>
      </c>
      <c r="C630" s="217">
        <f>BA85</f>
        <v>0</v>
      </c>
      <c r="D630" s="217">
        <f>(D615/D612)*BA90</f>
        <v>0</v>
      </c>
      <c r="E630" s="219">
        <f>(E623/E612)*SUM(C630:D630)</f>
        <v>0</v>
      </c>
      <c r="F630" s="219">
        <f>(F624/F612)*BA64</f>
        <v>0</v>
      </c>
      <c r="G630" s="217">
        <f>(G625/G612)*BA91</f>
        <v>0</v>
      </c>
      <c r="H630" s="219">
        <f>(H628/H612)*BA60</f>
        <v>0</v>
      </c>
      <c r="I630" s="217">
        <f>(I629/I612)*BA92</f>
        <v>0</v>
      </c>
      <c r="J630" s="217">
        <f>SUM(C630:I630)</f>
        <v>0</v>
      </c>
      <c r="N630" s="213" t="s">
        <v>574</v>
      </c>
    </row>
    <row r="631" spans="1:14" s="202" customFormat="1" ht="12.6" customHeight="1" x14ac:dyDescent="0.2">
      <c r="A631" s="212">
        <v>8200</v>
      </c>
      <c r="B631" s="216" t="s">
        <v>575</v>
      </c>
      <c r="C631" s="217">
        <f>AW85</f>
        <v>7607240.4999999991</v>
      </c>
      <c r="D631" s="217">
        <f>(D615/D612)*AW90</f>
        <v>9.2557510111380701</v>
      </c>
      <c r="E631" s="219">
        <f>(E623/E612)*SUM(C631:D631)</f>
        <v>1156342.9432022183</v>
      </c>
      <c r="F631" s="219">
        <f>(F624/F612)*AW64</f>
        <v>2.0725883977276453E-3</v>
      </c>
      <c r="G631" s="217">
        <f>(G625/G612)*AW91</f>
        <v>0</v>
      </c>
      <c r="H631" s="219">
        <f>(H628/H612)*AW60</f>
        <v>0</v>
      </c>
      <c r="I631" s="217">
        <f>(I629/I612)*AW92</f>
        <v>0</v>
      </c>
      <c r="J631" s="217">
        <f>(J630/J612)*AW93</f>
        <v>0</v>
      </c>
      <c r="N631" s="213" t="s">
        <v>576</v>
      </c>
    </row>
    <row r="632" spans="1:14" s="202" customFormat="1" ht="12.6" customHeight="1" x14ac:dyDescent="0.2">
      <c r="A632" s="212">
        <v>8360</v>
      </c>
      <c r="B632" s="216" t="s">
        <v>577</v>
      </c>
      <c r="C632" s="217">
        <f>BB85</f>
        <v>22897.390000001062</v>
      </c>
      <c r="D632" s="217">
        <f>(D615/D612)*BB90</f>
        <v>8.3699170893903414</v>
      </c>
      <c r="E632" s="219">
        <f>(E623/E612)*SUM(C632:D632)</f>
        <v>3481.7989009481266</v>
      </c>
      <c r="F632" s="219">
        <f>(F624/F612)*BB64</f>
        <v>7.9439255064384952E-4</v>
      </c>
      <c r="G632" s="217">
        <f>(G625/G612)*BB91</f>
        <v>0</v>
      </c>
      <c r="H632" s="219">
        <f>(H628/H612)*BB60</f>
        <v>0</v>
      </c>
      <c r="I632" s="217">
        <f>(I629/I612)*BB92</f>
        <v>0</v>
      </c>
      <c r="J632" s="217">
        <f>(J630/J612)*BB93</f>
        <v>0</v>
      </c>
      <c r="N632" s="213" t="s">
        <v>578</v>
      </c>
    </row>
    <row r="633" spans="1:14" s="202" customFormat="1" ht="12.6" customHeight="1" x14ac:dyDescent="0.2">
      <c r="A633" s="212">
        <v>8370</v>
      </c>
      <c r="B633" s="216" t="s">
        <v>579</v>
      </c>
      <c r="C633" s="217">
        <f>BC85</f>
        <v>4088.9099999999089</v>
      </c>
      <c r="D633" s="217">
        <f>(D615/D612)*BC90</f>
        <v>0</v>
      </c>
      <c r="E633" s="219">
        <f>(E623/E612)*SUM(C633:D633)</f>
        <v>621.53634699773272</v>
      </c>
      <c r="F633" s="219">
        <f>(F624/F612)*BC64</f>
        <v>4.7262302511125466E-5</v>
      </c>
      <c r="G633" s="217">
        <f>(G625/G612)*BC91</f>
        <v>0</v>
      </c>
      <c r="H633" s="219">
        <f>(H628/H612)*BC60</f>
        <v>0</v>
      </c>
      <c r="I633" s="217">
        <f>(I629/I612)*BC92</f>
        <v>0</v>
      </c>
      <c r="J633" s="217">
        <f>(J630/J612)*BC93</f>
        <v>0</v>
      </c>
      <c r="N633" s="213" t="s">
        <v>580</v>
      </c>
    </row>
    <row r="634" spans="1:14" s="202" customFormat="1" ht="12.6" customHeight="1" x14ac:dyDescent="0.2">
      <c r="A634" s="212">
        <v>8490</v>
      </c>
      <c r="B634" s="216" t="s">
        <v>581</v>
      </c>
      <c r="C634" s="217">
        <f>BI85</f>
        <v>524179.72</v>
      </c>
      <c r="D634" s="217">
        <f>(D615/D612)*BI90</f>
        <v>0</v>
      </c>
      <c r="E634" s="219">
        <f>(E623/E612)*SUM(C634:D634)</f>
        <v>79678.141201225168</v>
      </c>
      <c r="F634" s="219">
        <f>(F624/F612)*BI64</f>
        <v>4.0037511264773493E-2</v>
      </c>
      <c r="G634" s="217">
        <f>(G625/G612)*BI91</f>
        <v>0</v>
      </c>
      <c r="H634" s="219">
        <f>(H628/H612)*BI60</f>
        <v>0</v>
      </c>
      <c r="I634" s="217">
        <f>(I629/I612)*BI92</f>
        <v>0</v>
      </c>
      <c r="J634" s="217">
        <f>(J630/J612)*BI93</f>
        <v>0</v>
      </c>
      <c r="N634" s="213" t="s">
        <v>582</v>
      </c>
    </row>
    <row r="635" spans="1:14" s="202" customFormat="1" ht="12.6" customHeight="1" x14ac:dyDescent="0.2">
      <c r="A635" s="212">
        <v>8530</v>
      </c>
      <c r="B635" s="216" t="s">
        <v>583</v>
      </c>
      <c r="C635" s="217">
        <f>BK85</f>
        <v>0</v>
      </c>
      <c r="D635" s="217">
        <f>(D615/D612)*BK90</f>
        <v>0</v>
      </c>
      <c r="E635" s="219">
        <f>(E623/E612)*SUM(C635:D635)</f>
        <v>0</v>
      </c>
      <c r="F635" s="219">
        <f>(F624/F612)*BK64</f>
        <v>0</v>
      </c>
      <c r="G635" s="217">
        <f>(G625/G612)*BK91</f>
        <v>0</v>
      </c>
      <c r="H635" s="219">
        <f>(H628/H612)*BK60</f>
        <v>0</v>
      </c>
      <c r="I635" s="217">
        <f>(I629/I612)*BK92</f>
        <v>0</v>
      </c>
      <c r="J635" s="217">
        <f>(J630/J612)*BK93</f>
        <v>0</v>
      </c>
      <c r="N635" s="213" t="s">
        <v>584</v>
      </c>
    </row>
    <row r="636" spans="1:14" s="202" customFormat="1" ht="12.6" customHeight="1" x14ac:dyDescent="0.2">
      <c r="A636" s="212">
        <v>8480</v>
      </c>
      <c r="B636" s="216" t="s">
        <v>585</v>
      </c>
      <c r="C636" s="217">
        <f>BH85</f>
        <v>0</v>
      </c>
      <c r="D636" s="217">
        <f>(D615/D612)*BH90</f>
        <v>0</v>
      </c>
      <c r="E636" s="219">
        <f>(E623/E612)*SUM(C636:D636)</f>
        <v>0</v>
      </c>
      <c r="F636" s="219">
        <f>(F624/F612)*BH64</f>
        <v>0</v>
      </c>
      <c r="G636" s="217">
        <f>(G625/G612)*BH91</f>
        <v>0</v>
      </c>
      <c r="H636" s="219">
        <f>(H628/H612)*BH60</f>
        <v>0</v>
      </c>
      <c r="I636" s="217">
        <f>(I629/I612)*BH92</f>
        <v>0</v>
      </c>
      <c r="J636" s="217">
        <f>(J630/J612)*BH93</f>
        <v>0</v>
      </c>
      <c r="N636" s="213" t="s">
        <v>586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-140977.87999999989</v>
      </c>
      <c r="D637" s="217">
        <f>(D615/D612)*BL90</f>
        <v>15.523329375284661</v>
      </c>
      <c r="E637" s="219">
        <f>(E623/E612)*SUM(C637:D637)</f>
        <v>-21427.037579514701</v>
      </c>
      <c r="F637" s="219">
        <f>(F624/F612)*BL64</f>
        <v>2.4883775378490786E-3</v>
      </c>
      <c r="G637" s="217">
        <f>(G625/G612)*BL91</f>
        <v>0</v>
      </c>
      <c r="H637" s="219">
        <f>(H628/H612)*BL60</f>
        <v>0</v>
      </c>
      <c r="I637" s="217">
        <f>(I629/I612)*BL92</f>
        <v>0</v>
      </c>
      <c r="J637" s="217">
        <f>(J630/J612)*BL93</f>
        <v>0</v>
      </c>
      <c r="N637" s="213" t="s">
        <v>587</v>
      </c>
    </row>
    <row r="638" spans="1:14" s="202" customFormat="1" ht="12.6" customHeight="1" x14ac:dyDescent="0.2">
      <c r="A638" s="212">
        <v>8590</v>
      </c>
      <c r="B638" s="216" t="s">
        <v>588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>
        <f>(I629/I612)*BM92</f>
        <v>0</v>
      </c>
      <c r="J638" s="217">
        <f>(J630/J612)*BM93</f>
        <v>0</v>
      </c>
      <c r="N638" s="213" t="s">
        <v>589</v>
      </c>
    </row>
    <row r="639" spans="1:14" s="202" customFormat="1" ht="12.6" customHeight="1" x14ac:dyDescent="0.2">
      <c r="A639" s="212">
        <v>8660</v>
      </c>
      <c r="B639" s="216" t="s">
        <v>590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>
        <f>(G625/G612)*BS91</f>
        <v>0</v>
      </c>
      <c r="H639" s="219">
        <f>(H628/H612)*BS60</f>
        <v>0</v>
      </c>
      <c r="I639" s="217">
        <f>(I629/I612)*BS92</f>
        <v>0</v>
      </c>
      <c r="J639" s="217">
        <f>(J630/J612)*BS93</f>
        <v>0</v>
      </c>
      <c r="N639" s="213" t="s">
        <v>591</v>
      </c>
    </row>
    <row r="640" spans="1:14" s="202" customFormat="1" ht="12.6" customHeight="1" x14ac:dyDescent="0.2">
      <c r="A640" s="212">
        <v>8670</v>
      </c>
      <c r="B640" s="216" t="s">
        <v>592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>
        <f>(I629/I612)*BT92</f>
        <v>0</v>
      </c>
      <c r="J640" s="217">
        <f>(J630/J612)*BT93</f>
        <v>0</v>
      </c>
      <c r="N640" s="213" t="s">
        <v>593</v>
      </c>
    </row>
    <row r="641" spans="1:14" s="202" customFormat="1" ht="12.6" customHeight="1" x14ac:dyDescent="0.2">
      <c r="A641" s="212">
        <v>8680</v>
      </c>
      <c r="B641" s="216" t="s">
        <v>594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595</v>
      </c>
    </row>
    <row r="642" spans="1:14" s="202" customFormat="1" ht="12.6" customHeight="1" x14ac:dyDescent="0.2">
      <c r="A642" s="212">
        <v>8690</v>
      </c>
      <c r="B642" s="216" t="s">
        <v>596</v>
      </c>
      <c r="C642" s="217">
        <f>BV85</f>
        <v>0</v>
      </c>
      <c r="D642" s="217">
        <f>(D615/D612)*BV90</f>
        <v>0</v>
      </c>
      <c r="E642" s="219">
        <f>(E623/E612)*SUM(C642:D642)</f>
        <v>0</v>
      </c>
      <c r="F642" s="219">
        <f>(F624/F612)*BV64</f>
        <v>0</v>
      </c>
      <c r="G642" s="217">
        <f>(G625/G612)*BV91</f>
        <v>0</v>
      </c>
      <c r="H642" s="219">
        <f>(H628/H612)*BV60</f>
        <v>0</v>
      </c>
      <c r="I642" s="217">
        <f>(I629/I612)*BV92</f>
        <v>0</v>
      </c>
      <c r="J642" s="217">
        <f>(J630/J612)*BV93</f>
        <v>0</v>
      </c>
      <c r="N642" s="213" t="s">
        <v>597</v>
      </c>
    </row>
    <row r="643" spans="1:14" s="202" customFormat="1" ht="12.6" customHeight="1" x14ac:dyDescent="0.2">
      <c r="A643" s="212">
        <v>8700</v>
      </c>
      <c r="B643" s="216" t="s">
        <v>598</v>
      </c>
      <c r="C643" s="217">
        <f>BW85</f>
        <v>0</v>
      </c>
      <c r="D643" s="217">
        <f>(D615/D612)*BW90</f>
        <v>0</v>
      </c>
      <c r="E643" s="219">
        <f>(E623/E612)*SUM(C643:D643)</f>
        <v>0</v>
      </c>
      <c r="F643" s="219">
        <f>(F624/F612)*BW64</f>
        <v>0</v>
      </c>
      <c r="G643" s="217">
        <f>(G625/G612)*BW91</f>
        <v>0</v>
      </c>
      <c r="H643" s="219">
        <f>(H628/H612)*BW60</f>
        <v>0</v>
      </c>
      <c r="I643" s="217">
        <f>(I629/I612)*BW92</f>
        <v>0</v>
      </c>
      <c r="J643" s="217">
        <f>(J630/J612)*BW93</f>
        <v>0</v>
      </c>
      <c r="N643" s="213" t="s">
        <v>599</v>
      </c>
    </row>
    <row r="644" spans="1:14" s="202" customFormat="1" ht="12.6" customHeight="1" x14ac:dyDescent="0.2">
      <c r="A644" s="212">
        <v>8710</v>
      </c>
      <c r="B644" s="216" t="s">
        <v>600</v>
      </c>
      <c r="C644" s="217">
        <f>BX85</f>
        <v>0</v>
      </c>
      <c r="D644" s="217">
        <f>(D615/D612)*BX90</f>
        <v>27.410145816427843</v>
      </c>
      <c r="E644" s="219">
        <f>(E623/E612)*SUM(C644:D644)</f>
        <v>4.166489822817848</v>
      </c>
      <c r="F644" s="219">
        <f>(F624/F612)*BX64</f>
        <v>0</v>
      </c>
      <c r="G644" s="217">
        <f>(G625/G612)*BX91</f>
        <v>0</v>
      </c>
      <c r="H644" s="219">
        <f>(H628/H612)*BX60</f>
        <v>0</v>
      </c>
      <c r="I644" s="217">
        <f>(I629/I612)*BX92</f>
        <v>0</v>
      </c>
      <c r="J644" s="217">
        <f>(J630/J612)*BX93</f>
        <v>0</v>
      </c>
      <c r="K644" s="219">
        <f>SUM(C631:J644)</f>
        <v>9236190.7931451257</v>
      </c>
      <c r="L644" s="219"/>
      <c r="N644" s="213" t="s">
        <v>601</v>
      </c>
    </row>
    <row r="645" spans="1:14" s="202" customFormat="1" ht="12.6" customHeight="1" x14ac:dyDescent="0.2">
      <c r="A645" s="212">
        <v>8720</v>
      </c>
      <c r="B645" s="216" t="s">
        <v>602</v>
      </c>
      <c r="C645" s="217">
        <f>BY85</f>
        <v>0</v>
      </c>
      <c r="D645" s="217">
        <f>(D615/D612)*BY90</f>
        <v>5.3927956972934661</v>
      </c>
      <c r="E645" s="219">
        <f>(E623/E612)*SUM(C645:D645)</f>
        <v>0.81973399703122507</v>
      </c>
      <c r="F645" s="219">
        <f>(F624/F612)*BY64</f>
        <v>0</v>
      </c>
      <c r="G645" s="217">
        <f>(G625/G612)*BY91</f>
        <v>0</v>
      </c>
      <c r="H645" s="219">
        <f>(H628/H612)*BY60</f>
        <v>0</v>
      </c>
      <c r="I645" s="217">
        <f>(I629/I612)*BY92</f>
        <v>0</v>
      </c>
      <c r="J645" s="217">
        <f>(J630/J612)*BY93</f>
        <v>0</v>
      </c>
      <c r="K645" s="219">
        <v>0</v>
      </c>
      <c r="L645" s="219"/>
      <c r="N645" s="213" t="s">
        <v>603</v>
      </c>
    </row>
    <row r="646" spans="1:14" s="202" customFormat="1" ht="12.6" customHeight="1" x14ac:dyDescent="0.2">
      <c r="A646" s="212">
        <v>8730</v>
      </c>
      <c r="B646" s="216" t="s">
        <v>604</v>
      </c>
      <c r="C646" s="217">
        <f>BZ85</f>
        <v>1125949.2</v>
      </c>
      <c r="D646" s="217">
        <f>(D615/D612)*BZ90</f>
        <v>4.1243933340473014</v>
      </c>
      <c r="E646" s="219">
        <f>(E623/E612)*SUM(C646:D646)</f>
        <v>171150.97082924339</v>
      </c>
      <c r="F646" s="219">
        <f>(F624/F612)*BZ64</f>
        <v>2.8631873239192657E-5</v>
      </c>
      <c r="G646" s="217">
        <f>(G625/G612)*BZ91</f>
        <v>0</v>
      </c>
      <c r="H646" s="219">
        <f>(H628/H612)*BZ60</f>
        <v>0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605</v>
      </c>
    </row>
    <row r="647" spans="1:14" s="202" customFormat="1" ht="12.6" customHeight="1" x14ac:dyDescent="0.2">
      <c r="A647" s="212">
        <v>8740</v>
      </c>
      <c r="B647" s="216" t="s">
        <v>606</v>
      </c>
      <c r="C647" s="217">
        <f>CA85</f>
        <v>0</v>
      </c>
      <c r="D647" s="217">
        <f>(D615/D612)*CA90</f>
        <v>0</v>
      </c>
      <c r="E647" s="219">
        <f>(E623/E612)*SUM(C647:D647)</f>
        <v>0</v>
      </c>
      <c r="F647" s="219">
        <f>(F624/F612)*CA64</f>
        <v>0</v>
      </c>
      <c r="G647" s="217">
        <f>(G625/G612)*CA91</f>
        <v>0</v>
      </c>
      <c r="H647" s="219">
        <f>(H628/H612)*CA60</f>
        <v>0</v>
      </c>
      <c r="I647" s="217">
        <f>(I629/I612)*CA92</f>
        <v>0</v>
      </c>
      <c r="J647" s="217">
        <f>(J630/J612)*CA93</f>
        <v>0</v>
      </c>
      <c r="K647" s="219">
        <v>0</v>
      </c>
      <c r="L647" s="219">
        <f>SUM(C645:K647)</f>
        <v>1297110.5077809037</v>
      </c>
      <c r="N647" s="213" t="s">
        <v>607</v>
      </c>
    </row>
    <row r="648" spans="1:14" s="202" customFormat="1" ht="12.6" customHeight="1" x14ac:dyDescent="0.2">
      <c r="A648" s="212"/>
      <c r="B648" s="212"/>
      <c r="C648" s="202">
        <f>SUM(C614:C647)</f>
        <v>190526853.98000002</v>
      </c>
      <c r="L648" s="215"/>
    </row>
    <row r="666" spans="1:14" s="202" customFormat="1" ht="12.6" customHeight="1" x14ac:dyDescent="0.2">
      <c r="C666" s="210" t="s">
        <v>608</v>
      </c>
      <c r="M666" s="210" t="s">
        <v>609</v>
      </c>
    </row>
    <row r="667" spans="1:14" s="202" customFormat="1" ht="12.6" customHeight="1" x14ac:dyDescent="0.2">
      <c r="C667" s="210" t="s">
        <v>538</v>
      </c>
      <c r="D667" s="210" t="s">
        <v>539</v>
      </c>
      <c r="E667" s="211" t="s">
        <v>540</v>
      </c>
      <c r="F667" s="210" t="s">
        <v>541</v>
      </c>
      <c r="G667" s="210" t="s">
        <v>542</v>
      </c>
      <c r="H667" s="210" t="s">
        <v>543</v>
      </c>
      <c r="I667" s="210" t="s">
        <v>544</v>
      </c>
      <c r="J667" s="210" t="s">
        <v>545</v>
      </c>
      <c r="K667" s="210" t="s">
        <v>546</v>
      </c>
      <c r="L667" s="211" t="s">
        <v>547</v>
      </c>
      <c r="M667" s="210" t="s">
        <v>610</v>
      </c>
    </row>
    <row r="668" spans="1:14" s="202" customFormat="1" ht="12.6" customHeight="1" x14ac:dyDescent="0.2">
      <c r="A668" s="212">
        <v>6010</v>
      </c>
      <c r="B668" s="211" t="s">
        <v>335</v>
      </c>
      <c r="C668" s="217">
        <f>C85</f>
        <v>145662477</v>
      </c>
      <c r="D668" s="217">
        <f>(D615/D612)*C90</f>
        <v>801.94373749716556</v>
      </c>
      <c r="E668" s="219">
        <f>(E623/E612)*SUM(C668:D668)</f>
        <v>22141603.088941645</v>
      </c>
      <c r="F668" s="219">
        <f>(F624/F612)*C64</f>
        <v>0.54925524438000473</v>
      </c>
      <c r="G668" s="217">
        <f>(G625/G612)*C91</f>
        <v>38851.186121939303</v>
      </c>
      <c r="H668" s="219">
        <f>(H628/H612)*C60</f>
        <v>0</v>
      </c>
      <c r="I668" s="217">
        <f>(I629/I612)*C92</f>
        <v>2439.8333645885127</v>
      </c>
      <c r="J668" s="217">
        <f>(J630/J612)*C93</f>
        <v>0</v>
      </c>
      <c r="K668" s="217">
        <f>(K644/K612)*C89</f>
        <v>573924.99484335457</v>
      </c>
      <c r="L668" s="217">
        <f>(L647/L612)*C94</f>
        <v>339282.76135400246</v>
      </c>
      <c r="M668" s="202">
        <f t="shared" ref="M668:M713" si="24">ROUND(SUM(D668:L668),0)</f>
        <v>23096904</v>
      </c>
      <c r="N668" s="211" t="s">
        <v>611</v>
      </c>
    </row>
    <row r="669" spans="1:14" s="202" customFormat="1" ht="12.6" customHeight="1" x14ac:dyDescent="0.2">
      <c r="A669" s="212">
        <v>6030</v>
      </c>
      <c r="B669" s="211" t="s">
        <v>336</v>
      </c>
      <c r="C669" s="217">
        <f>D85</f>
        <v>148181039.25</v>
      </c>
      <c r="D669" s="217">
        <f>(D615/D612)*D90</f>
        <v>107.03741683703333</v>
      </c>
      <c r="E669" s="219">
        <f>(E623/E612)*SUM(C669:D669)</f>
        <v>22524332.488956656</v>
      </c>
      <c r="F669" s="219">
        <f>(F624/F612)*D64</f>
        <v>2.2877239504841169</v>
      </c>
      <c r="G669" s="217">
        <f>(G625/G612)*D91</f>
        <v>16470.859557505006</v>
      </c>
      <c r="H669" s="219">
        <f>(H628/H612)*D60</f>
        <v>0</v>
      </c>
      <c r="I669" s="217">
        <f>(I629/I612)*D92</f>
        <v>164.30023826744764</v>
      </c>
      <c r="J669" s="217">
        <f>(J630/J612)*D93</f>
        <v>0</v>
      </c>
      <c r="K669" s="217">
        <f>(K644/K612)*D89</f>
        <v>1108613.3281418821</v>
      </c>
      <c r="L669" s="217">
        <f>(L647/L612)*D94</f>
        <v>202569.31451848304</v>
      </c>
      <c r="M669" s="202">
        <f t="shared" si="24"/>
        <v>23852260</v>
      </c>
      <c r="N669" s="211" t="s">
        <v>612</v>
      </c>
    </row>
    <row r="670" spans="1:14" s="202" customFormat="1" ht="12.6" customHeight="1" x14ac:dyDescent="0.2">
      <c r="A670" s="212">
        <v>6070</v>
      </c>
      <c r="B670" s="211" t="s">
        <v>613</v>
      </c>
      <c r="C670" s="217">
        <f>E85</f>
        <v>17688234.25</v>
      </c>
      <c r="D670" s="217">
        <f>(D615/D612)*E90</f>
        <v>450.50765614754823</v>
      </c>
      <c r="E670" s="219">
        <f>(E623/E612)*SUM(C670:D670)</f>
        <v>2688775.3722797325</v>
      </c>
      <c r="F670" s="219">
        <f>(F624/F612)*E64</f>
        <v>0.13553476116636035</v>
      </c>
      <c r="G670" s="217">
        <f>(G625/G612)*E91</f>
        <v>94753.500156214126</v>
      </c>
      <c r="H670" s="219">
        <f>(H628/H612)*E60</f>
        <v>0</v>
      </c>
      <c r="I670" s="217">
        <f>(I629/I612)*E92</f>
        <v>2148.4899390192691</v>
      </c>
      <c r="J670" s="217">
        <f>(J630/J612)*E93</f>
        <v>0</v>
      </c>
      <c r="K670" s="217">
        <f>(K644/K612)*E89</f>
        <v>97325.727963808531</v>
      </c>
      <c r="L670" s="217">
        <f>(L647/L612)*E94</f>
        <v>3334.4743130614493</v>
      </c>
      <c r="M670" s="202">
        <f t="shared" si="24"/>
        <v>2886788</v>
      </c>
      <c r="N670" s="211" t="s">
        <v>614</v>
      </c>
    </row>
    <row r="671" spans="1:14" s="202" customFormat="1" ht="12.6" customHeight="1" x14ac:dyDescent="0.2">
      <c r="A671" s="212">
        <v>6100</v>
      </c>
      <c r="B671" s="211" t="s">
        <v>615</v>
      </c>
      <c r="C671" s="217">
        <f>F85</f>
        <v>10808031.85</v>
      </c>
      <c r="D671" s="217">
        <f>(D615/D612)*F90</f>
        <v>0</v>
      </c>
      <c r="E671" s="219">
        <f>(E623/E612)*SUM(C671:D671)</f>
        <v>1642879.0641721869</v>
      </c>
      <c r="F671" s="219">
        <f>(F624/F612)*F64</f>
        <v>2.2242948819141531E-2</v>
      </c>
      <c r="G671" s="217">
        <f>(G625/G612)*F91</f>
        <v>0</v>
      </c>
      <c r="H671" s="219">
        <f>(H628/H612)*F60</f>
        <v>0</v>
      </c>
      <c r="I671" s="217">
        <f>(I629/I612)*F92</f>
        <v>0</v>
      </c>
      <c r="J671" s="217">
        <f>(J630/J612)*F93</f>
        <v>0</v>
      </c>
      <c r="K671" s="217">
        <f>(K644/K612)*F89</f>
        <v>47594.827241195067</v>
      </c>
      <c r="L671" s="217">
        <f>(L647/L612)*F94</f>
        <v>38346.454600206664</v>
      </c>
      <c r="M671" s="202">
        <f t="shared" si="24"/>
        <v>1728820</v>
      </c>
      <c r="N671" s="211" t="s">
        <v>616</v>
      </c>
    </row>
    <row r="672" spans="1:14" s="202" customFormat="1" ht="12.6" customHeight="1" x14ac:dyDescent="0.2">
      <c r="A672" s="212">
        <v>6120</v>
      </c>
      <c r="B672" s="211" t="s">
        <v>617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2">
        <f t="shared" si="24"/>
        <v>0</v>
      </c>
      <c r="N672" s="211" t="s">
        <v>618</v>
      </c>
    </row>
    <row r="673" spans="1:14" s="202" customFormat="1" ht="12.6" customHeight="1" x14ac:dyDescent="0.2">
      <c r="A673" s="212">
        <v>6140</v>
      </c>
      <c r="B673" s="211" t="s">
        <v>619</v>
      </c>
      <c r="C673" s="217">
        <f>H85</f>
        <v>14051135.580000002</v>
      </c>
      <c r="D673" s="217">
        <f>(D615/D612)*H90</f>
        <v>162.84381627795975</v>
      </c>
      <c r="E673" s="219">
        <f>(E623/E612)*SUM(C673:D673)</f>
        <v>2135873.0549006863</v>
      </c>
      <c r="F673" s="219">
        <f>(F624/F612)*H64</f>
        <v>6.7373763388828799E-3</v>
      </c>
      <c r="G673" s="217">
        <f>(G625/G612)*H91</f>
        <v>22988.953163771203</v>
      </c>
      <c r="H673" s="219">
        <f>(H628/H612)*H60</f>
        <v>0</v>
      </c>
      <c r="I673" s="217">
        <f>(I629/I612)*H92</f>
        <v>0</v>
      </c>
      <c r="J673" s="217">
        <f>(J630/J612)*H93</f>
        <v>0</v>
      </c>
      <c r="K673" s="217">
        <f>(K644/K612)*H89</f>
        <v>90046.609865602339</v>
      </c>
      <c r="L673" s="217">
        <f>(L647/L612)*H94</f>
        <v>22507.701613164783</v>
      </c>
      <c r="M673" s="202">
        <f t="shared" si="24"/>
        <v>2271579</v>
      </c>
      <c r="N673" s="211" t="s">
        <v>620</v>
      </c>
    </row>
    <row r="674" spans="1:14" s="202" customFormat="1" ht="12.6" customHeight="1" x14ac:dyDescent="0.2">
      <c r="A674" s="212">
        <v>6150</v>
      </c>
      <c r="B674" s="211" t="s">
        <v>621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2">
        <f t="shared" si="24"/>
        <v>0</v>
      </c>
      <c r="N674" s="211" t="s">
        <v>622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>
        <f>(G625/G612)*J91</f>
        <v>0</v>
      </c>
      <c r="H675" s="219">
        <f>(H628/H612)*J60</f>
        <v>0</v>
      </c>
      <c r="I675" s="217">
        <f>(I629/I612)*J92</f>
        <v>0</v>
      </c>
      <c r="J675" s="217">
        <f>(J630/J612)*J93</f>
        <v>0</v>
      </c>
      <c r="K675" s="217">
        <f>(K644/K612)*J89</f>
        <v>0</v>
      </c>
      <c r="L675" s="217">
        <f>(L647/L612)*J94</f>
        <v>0</v>
      </c>
      <c r="M675" s="202">
        <f t="shared" si="24"/>
        <v>0</v>
      </c>
      <c r="N675" s="211" t="s">
        <v>623</v>
      </c>
    </row>
    <row r="676" spans="1:14" s="202" customFormat="1" ht="12.6" customHeight="1" x14ac:dyDescent="0.2">
      <c r="A676" s="212">
        <v>6200</v>
      </c>
      <c r="B676" s="211" t="s">
        <v>341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2">
        <f t="shared" si="24"/>
        <v>0</v>
      </c>
      <c r="N676" s="211" t="s">
        <v>624</v>
      </c>
    </row>
    <row r="677" spans="1:14" s="202" customFormat="1" ht="12.6" customHeight="1" x14ac:dyDescent="0.2">
      <c r="A677" s="212">
        <v>6210</v>
      </c>
      <c r="B677" s="211" t="s">
        <v>342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>
        <f>(H628/H612)*L60</f>
        <v>0</v>
      </c>
      <c r="I677" s="217">
        <f>(I629/I612)*L92</f>
        <v>0</v>
      </c>
      <c r="J677" s="217">
        <f>(J630/J612)*L93</f>
        <v>0</v>
      </c>
      <c r="K677" s="217">
        <f>(K644/K612)*L89</f>
        <v>0</v>
      </c>
      <c r="L677" s="217">
        <f>(L647/L612)*L94</f>
        <v>0</v>
      </c>
      <c r="M677" s="202">
        <f t="shared" si="24"/>
        <v>0</v>
      </c>
      <c r="N677" s="211" t="s">
        <v>625</v>
      </c>
    </row>
    <row r="678" spans="1:14" s="202" customFormat="1" ht="12.6" customHeight="1" x14ac:dyDescent="0.2">
      <c r="A678" s="212">
        <v>6330</v>
      </c>
      <c r="B678" s="211" t="s">
        <v>626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2">
        <f t="shared" si="24"/>
        <v>0</v>
      </c>
      <c r="N678" s="211" t="s">
        <v>627</v>
      </c>
    </row>
    <row r="679" spans="1:14" s="202" customFormat="1" ht="12.6" customHeight="1" x14ac:dyDescent="0.2">
      <c r="A679" s="212">
        <v>6400</v>
      </c>
      <c r="B679" s="211" t="s">
        <v>628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>
        <f>(I629/I612)*N92</f>
        <v>0</v>
      </c>
      <c r="J679" s="217">
        <f>(J630/J612)*N93</f>
        <v>0</v>
      </c>
      <c r="K679" s="217">
        <f>(K644/K612)*N89</f>
        <v>0</v>
      </c>
      <c r="L679" s="217">
        <f>(L647/L612)*N94</f>
        <v>0</v>
      </c>
      <c r="M679" s="202">
        <f t="shared" si="24"/>
        <v>0</v>
      </c>
      <c r="N679" s="211" t="s">
        <v>629</v>
      </c>
    </row>
    <row r="680" spans="1:14" s="202" customFormat="1" ht="12.6" customHeight="1" x14ac:dyDescent="0.2">
      <c r="A680" s="212">
        <v>7010</v>
      </c>
      <c r="B680" s="211" t="s">
        <v>630</v>
      </c>
      <c r="C680" s="217">
        <f>O85</f>
        <v>38084584.270000011</v>
      </c>
      <c r="D680" s="217">
        <f>(D615/D612)*O90</f>
        <v>492.69918042241579</v>
      </c>
      <c r="E680" s="219">
        <f>(E623/E612)*SUM(C680:D680)</f>
        <v>5789136.8639936848</v>
      </c>
      <c r="F680" s="219">
        <f>(F624/F612)*O64</f>
        <v>0.17166798923934473</v>
      </c>
      <c r="G680" s="217">
        <f>(G625/G612)*O91</f>
        <v>12117.380090525718</v>
      </c>
      <c r="H680" s="219">
        <f>(H628/H612)*O60</f>
        <v>0</v>
      </c>
      <c r="I680" s="217">
        <f>(I629/I612)*O92</f>
        <v>1818.630778330129</v>
      </c>
      <c r="J680" s="217">
        <f>(J630/J612)*O93</f>
        <v>0</v>
      </c>
      <c r="K680" s="217">
        <f>(K644/K612)*O89</f>
        <v>156974.57469108092</v>
      </c>
      <c r="L680" s="217">
        <f>(L647/L612)*O94</f>
        <v>73358.43488735189</v>
      </c>
      <c r="M680" s="202">
        <f t="shared" si="24"/>
        <v>6033899</v>
      </c>
      <c r="N680" s="211" t="s">
        <v>631</v>
      </c>
    </row>
    <row r="681" spans="1:14" s="202" customFormat="1" ht="12.6" customHeight="1" x14ac:dyDescent="0.2">
      <c r="A681" s="212">
        <v>7020</v>
      </c>
      <c r="B681" s="211" t="s">
        <v>632</v>
      </c>
      <c r="C681" s="217">
        <f>P85</f>
        <v>213690892.55000007</v>
      </c>
      <c r="D681" s="217">
        <f>(D615/D612)*P90</f>
        <v>612.5476778195067</v>
      </c>
      <c r="E681" s="219">
        <f>(E623/E612)*SUM(C681:D681)</f>
        <v>32482259.933053318</v>
      </c>
      <c r="F681" s="219">
        <f>(F624/F612)*P64</f>
        <v>6.5274092361902509</v>
      </c>
      <c r="G681" s="217">
        <f>(G625/G612)*P91</f>
        <v>13821.612798309074</v>
      </c>
      <c r="H681" s="219">
        <f>(H628/H612)*P60</f>
        <v>0</v>
      </c>
      <c r="I681" s="217">
        <f>(I629/I612)*P92</f>
        <v>4336.502560481832</v>
      </c>
      <c r="J681" s="217">
        <f>(J630/J612)*P93</f>
        <v>0</v>
      </c>
      <c r="K681" s="217">
        <f>(K644/K612)*P89</f>
        <v>1912818.4371092604</v>
      </c>
      <c r="L681" s="217">
        <f>(L647/L612)*P94</f>
        <v>153385.81840082665</v>
      </c>
      <c r="M681" s="202">
        <f t="shared" si="24"/>
        <v>34567241</v>
      </c>
      <c r="N681" s="211" t="s">
        <v>633</v>
      </c>
    </row>
    <row r="682" spans="1:14" s="202" customFormat="1" ht="12.6" customHeight="1" x14ac:dyDescent="0.2">
      <c r="A682" s="212">
        <v>7030</v>
      </c>
      <c r="B682" s="211" t="s">
        <v>634</v>
      </c>
      <c r="C682" s="217">
        <f>Q85</f>
        <v>4448855.32</v>
      </c>
      <c r="D682" s="217">
        <f>(D615/D612)*Q90</f>
        <v>0</v>
      </c>
      <c r="E682" s="219">
        <f>(E623/E612)*SUM(C682:D682)</f>
        <v>676249.97466666938</v>
      </c>
      <c r="F682" s="219">
        <f>(F624/F612)*Q64</f>
        <v>3.8121164738473053E-2</v>
      </c>
      <c r="G682" s="217">
        <f>(G625/G612)*Q91</f>
        <v>0</v>
      </c>
      <c r="H682" s="219">
        <f>(H628/H612)*Q60</f>
        <v>0</v>
      </c>
      <c r="I682" s="217">
        <f>(I629/I612)*Q92</f>
        <v>0</v>
      </c>
      <c r="J682" s="217">
        <f>(J630/J612)*Q93</f>
        <v>0</v>
      </c>
      <c r="K682" s="217">
        <f>(K644/K612)*Q89</f>
        <v>33002.893614408407</v>
      </c>
      <c r="L682" s="217">
        <f>(L647/L612)*Q94</f>
        <v>12504.278673980434</v>
      </c>
      <c r="M682" s="202">
        <f t="shared" si="24"/>
        <v>721757</v>
      </c>
      <c r="N682" s="211" t="s">
        <v>635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19601838.739999995</v>
      </c>
      <c r="D683" s="217">
        <f>(D615/D612)*R90</f>
        <v>146.13114435017991</v>
      </c>
      <c r="E683" s="219">
        <f>(E623/E612)*SUM(C683:D683)</f>
        <v>2979607.2964961687</v>
      </c>
      <c r="F683" s="219">
        <f>(F624/F612)*R64</f>
        <v>5.6637660578281034E-2</v>
      </c>
      <c r="G683" s="217">
        <f>(G625/G612)*R91</f>
        <v>640.70075174412113</v>
      </c>
      <c r="H683" s="219">
        <f>(H628/H612)*R60</f>
        <v>0</v>
      </c>
      <c r="I683" s="217">
        <f>(I629/I612)*R92</f>
        <v>0</v>
      </c>
      <c r="J683" s="217">
        <f>(J630/J612)*R93</f>
        <v>0</v>
      </c>
      <c r="K683" s="217">
        <f>(K644/K612)*R89</f>
        <v>200223.64023352991</v>
      </c>
      <c r="L683" s="217">
        <f>(L647/L612)*R94</f>
        <v>62521.393369902173</v>
      </c>
      <c r="M683" s="202">
        <f t="shared" si="24"/>
        <v>3243139</v>
      </c>
      <c r="N683" s="211" t="s">
        <v>636</v>
      </c>
    </row>
    <row r="684" spans="1:14" s="202" customFormat="1" ht="12.6" customHeight="1" x14ac:dyDescent="0.2">
      <c r="A684" s="212">
        <v>7050</v>
      </c>
      <c r="B684" s="211" t="s">
        <v>637</v>
      </c>
      <c r="C684" s="217">
        <f>S85</f>
        <v>4531602.66</v>
      </c>
      <c r="D684" s="217">
        <f>(D615/D612)*S90</f>
        <v>114.63577214719886</v>
      </c>
      <c r="E684" s="219">
        <f>(E623/E612)*SUM(C684:D684)</f>
        <v>688845.44136230124</v>
      </c>
      <c r="F684" s="219">
        <f>(F624/F612)*S64</f>
        <v>0.16637924689144831</v>
      </c>
      <c r="G684" s="217">
        <f>(G625/G612)*S91</f>
        <v>0</v>
      </c>
      <c r="H684" s="219">
        <f>(H628/H612)*S60</f>
        <v>0</v>
      </c>
      <c r="I684" s="217">
        <f>(I629/I612)*S92</f>
        <v>203.57118387989172</v>
      </c>
      <c r="J684" s="217">
        <f>(J630/J612)*S93</f>
        <v>0</v>
      </c>
      <c r="K684" s="217">
        <f>(K644/K612)*S89</f>
        <v>0</v>
      </c>
      <c r="L684" s="217">
        <f>(L647/L612)*S94</f>
        <v>0</v>
      </c>
      <c r="M684" s="202">
        <f t="shared" si="24"/>
        <v>689164</v>
      </c>
      <c r="N684" s="211" t="s">
        <v>638</v>
      </c>
    </row>
    <row r="685" spans="1:14" s="202" customFormat="1" ht="12.6" customHeight="1" x14ac:dyDescent="0.2">
      <c r="A685" s="212">
        <v>7060</v>
      </c>
      <c r="B685" s="211" t="s">
        <v>639</v>
      </c>
      <c r="C685" s="217">
        <f>T85</f>
        <v>0</v>
      </c>
      <c r="D685" s="217">
        <f>(D615/D612)*T90</f>
        <v>9.359004402457245</v>
      </c>
      <c r="E685" s="219">
        <f>(E623/E612)*SUM(C685:D685)</f>
        <v>1.422619086220803</v>
      </c>
      <c r="F685" s="219">
        <f>(F624/F612)*T64</f>
        <v>0</v>
      </c>
      <c r="G685" s="217">
        <f>(G625/G612)*T91</f>
        <v>0</v>
      </c>
      <c r="H685" s="219">
        <f>(H628/H612)*T60</f>
        <v>0</v>
      </c>
      <c r="I685" s="217">
        <f>(I629/I612)*T92</f>
        <v>0</v>
      </c>
      <c r="J685" s="217">
        <f>(J630/J612)*T93</f>
        <v>0</v>
      </c>
      <c r="K685" s="217">
        <f>(K644/K612)*T89</f>
        <v>0</v>
      </c>
      <c r="L685" s="217">
        <f>(L647/L612)*T94</f>
        <v>0</v>
      </c>
      <c r="M685" s="202">
        <f t="shared" si="24"/>
        <v>11</v>
      </c>
      <c r="N685" s="211" t="s">
        <v>640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140182190.15999997</v>
      </c>
      <c r="D686" s="217">
        <f>(D615/D612)*U90</f>
        <v>232.37278644735002</v>
      </c>
      <c r="E686" s="219">
        <f>(E623/E612)*SUM(C686:D686)</f>
        <v>21308483.389050543</v>
      </c>
      <c r="F686" s="219">
        <f>(F624/F612)*U64</f>
        <v>3.2993770954525976</v>
      </c>
      <c r="G686" s="217">
        <f>(G625/G612)*U91</f>
        <v>0</v>
      </c>
      <c r="H686" s="219">
        <f>(H628/H612)*U60</f>
        <v>0</v>
      </c>
      <c r="I686" s="217">
        <f>(I629/I612)*U92</f>
        <v>78.290154394039149</v>
      </c>
      <c r="J686" s="217">
        <f>(J630/J612)*U93</f>
        <v>0</v>
      </c>
      <c r="K686" s="217">
        <f>(K644/K612)*U89</f>
        <v>880641.57135338185</v>
      </c>
      <c r="L686" s="217">
        <f>(L647/L612)*U94</f>
        <v>15005.134408776521</v>
      </c>
      <c r="M686" s="202">
        <f t="shared" si="24"/>
        <v>22204444</v>
      </c>
      <c r="N686" s="211" t="s">
        <v>641</v>
      </c>
    </row>
    <row r="687" spans="1:14" s="202" customFormat="1" ht="12.6" customHeight="1" x14ac:dyDescent="0.2">
      <c r="A687" s="212">
        <v>7110</v>
      </c>
      <c r="B687" s="211" t="s">
        <v>642</v>
      </c>
      <c r="C687" s="217">
        <f>V85</f>
        <v>0</v>
      </c>
      <c r="D687" s="217">
        <f>(D615/D612)*V90</f>
        <v>0</v>
      </c>
      <c r="E687" s="219">
        <f>(E623/E612)*SUM(C687:D687)</f>
        <v>0</v>
      </c>
      <c r="F687" s="219">
        <f>(F624/F612)*V64</f>
        <v>0</v>
      </c>
      <c r="G687" s="217">
        <f>(G625/G612)*V91</f>
        <v>0</v>
      </c>
      <c r="H687" s="219">
        <f>(H628/H612)*V60</f>
        <v>0</v>
      </c>
      <c r="I687" s="217">
        <f>(I629/I612)*V92</f>
        <v>0</v>
      </c>
      <c r="J687" s="217">
        <f>(J630/J612)*V93</f>
        <v>0</v>
      </c>
      <c r="K687" s="217">
        <f>(K644/K612)*V89</f>
        <v>0</v>
      </c>
      <c r="L687" s="217">
        <f>(L647/L612)*V94</f>
        <v>0</v>
      </c>
      <c r="M687" s="202">
        <f t="shared" si="24"/>
        <v>0</v>
      </c>
      <c r="N687" s="211" t="s">
        <v>643</v>
      </c>
    </row>
    <row r="688" spans="1:14" s="202" customFormat="1" ht="12.6" customHeight="1" x14ac:dyDescent="0.2">
      <c r="A688" s="212">
        <v>7120</v>
      </c>
      <c r="B688" s="211" t="s">
        <v>644</v>
      </c>
      <c r="C688" s="217">
        <f>W85</f>
        <v>10689334.690000001</v>
      </c>
      <c r="D688" s="217">
        <f>(D615/D612)*W90</f>
        <v>175.10079558525405</v>
      </c>
      <c r="E688" s="219">
        <f>(E623/E612)*SUM(C688:D688)</f>
        <v>1624863.0726936359</v>
      </c>
      <c r="F688" s="219">
        <f>(F624/F612)*W64</f>
        <v>4.5866013257042829E-2</v>
      </c>
      <c r="G688" s="217">
        <f>(G625/G612)*W91</f>
        <v>0</v>
      </c>
      <c r="H688" s="219">
        <f>(H628/H612)*W60</f>
        <v>0</v>
      </c>
      <c r="I688" s="217">
        <f>(I629/I612)*W92</f>
        <v>461.51752322316753</v>
      </c>
      <c r="J688" s="217">
        <f>(J630/J612)*W93</f>
        <v>0</v>
      </c>
      <c r="K688" s="217">
        <f>(K644/K612)*W89</f>
        <v>216546.92080809994</v>
      </c>
      <c r="L688" s="217">
        <f>(L647/L612)*W94</f>
        <v>0</v>
      </c>
      <c r="M688" s="202">
        <f t="shared" si="24"/>
        <v>1842047</v>
      </c>
      <c r="N688" s="211" t="s">
        <v>645</v>
      </c>
    </row>
    <row r="689" spans="1:14" s="202" customFormat="1" ht="12.6" customHeight="1" x14ac:dyDescent="0.2">
      <c r="A689" s="212">
        <v>7130</v>
      </c>
      <c r="B689" s="211" t="s">
        <v>646</v>
      </c>
      <c r="C689" s="217">
        <f>X85</f>
        <v>17593127.459999997</v>
      </c>
      <c r="D689" s="217">
        <f>(D615/D612)*X90</f>
        <v>30.313538003075926</v>
      </c>
      <c r="E689" s="219">
        <f>(E623/E612)*SUM(C689:D689)</f>
        <v>2674254.7560889865</v>
      </c>
      <c r="F689" s="219">
        <f>(F624/F612)*X64</f>
        <v>0.2061214409900026</v>
      </c>
      <c r="G689" s="217">
        <f>(G625/G612)*X91</f>
        <v>0</v>
      </c>
      <c r="H689" s="219">
        <f>(H628/H612)*X60</f>
        <v>0</v>
      </c>
      <c r="I689" s="217">
        <f>(I629/I612)*X92</f>
        <v>0</v>
      </c>
      <c r="J689" s="217">
        <f>(J630/J612)*X93</f>
        <v>0</v>
      </c>
      <c r="K689" s="217">
        <f>(K644/K612)*X89</f>
        <v>511995.13104121218</v>
      </c>
      <c r="L689" s="217">
        <f>(L647/L612)*X94</f>
        <v>0</v>
      </c>
      <c r="M689" s="202">
        <f t="shared" si="24"/>
        <v>3186280</v>
      </c>
      <c r="N689" s="211" t="s">
        <v>647</v>
      </c>
    </row>
    <row r="690" spans="1:14" s="202" customFormat="1" ht="12.6" customHeight="1" x14ac:dyDescent="0.2">
      <c r="A690" s="212">
        <v>7140</v>
      </c>
      <c r="B690" s="211" t="s">
        <v>648</v>
      </c>
      <c r="C690" s="217">
        <f>Y85</f>
        <v>30812405.270000003</v>
      </c>
      <c r="D690" s="217">
        <f>(D615/D612)*Y90</f>
        <v>142.16601910137837</v>
      </c>
      <c r="E690" s="219">
        <f>(E623/E612)*SUM(C690:D690)</f>
        <v>4683673.1977661764</v>
      </c>
      <c r="F690" s="219">
        <f>(F624/F612)*Y64</f>
        <v>0.53956397064881323</v>
      </c>
      <c r="G690" s="217">
        <f>(G625/G612)*Y91</f>
        <v>60.23682281354985</v>
      </c>
      <c r="H690" s="219">
        <f>(H628/H612)*Y60</f>
        <v>0</v>
      </c>
      <c r="I690" s="217">
        <f>(I629/I612)*Y92</f>
        <v>685.64721495572758</v>
      </c>
      <c r="J690" s="217">
        <f>(J630/J612)*Y93</f>
        <v>0</v>
      </c>
      <c r="K690" s="217">
        <f>(K644/K612)*Y89</f>
        <v>358543.63572565716</v>
      </c>
      <c r="L690" s="217">
        <f>(L647/L612)*Y94</f>
        <v>10837.04151744971</v>
      </c>
      <c r="M690" s="202">
        <f t="shared" si="24"/>
        <v>5053942</v>
      </c>
      <c r="N690" s="211" t="s">
        <v>649</v>
      </c>
    </row>
    <row r="691" spans="1:14" s="202" customFormat="1" ht="12.6" customHeight="1" x14ac:dyDescent="0.2">
      <c r="A691" s="212">
        <v>7150</v>
      </c>
      <c r="B691" s="211" t="s">
        <v>650</v>
      </c>
      <c r="C691" s="217">
        <f>Z85</f>
        <v>0</v>
      </c>
      <c r="D691" s="217">
        <f>(D615/D612)*Z90</f>
        <v>198.72453227982788</v>
      </c>
      <c r="E691" s="219">
        <f>(E623/E612)*SUM(C691:D691)</f>
        <v>30.207199437512685</v>
      </c>
      <c r="F691" s="219">
        <f>(F624/F612)*Z64</f>
        <v>0</v>
      </c>
      <c r="G691" s="217">
        <f>(G625/G612)*Z91</f>
        <v>0.97787050021996502</v>
      </c>
      <c r="H691" s="219">
        <f>(H628/H612)*Z60</f>
        <v>0</v>
      </c>
      <c r="I691" s="217">
        <f>(I629/I612)*Z92</f>
        <v>0</v>
      </c>
      <c r="J691" s="217">
        <f>(J630/J612)*Z93</f>
        <v>0</v>
      </c>
      <c r="K691" s="217">
        <f>(K644/K612)*Z89</f>
        <v>0</v>
      </c>
      <c r="L691" s="217">
        <f>(L647/L612)*Z94</f>
        <v>0</v>
      </c>
      <c r="M691" s="202">
        <f t="shared" si="24"/>
        <v>230</v>
      </c>
      <c r="N691" s="211" t="s">
        <v>651</v>
      </c>
    </row>
    <row r="692" spans="1:14" s="202" customFormat="1" ht="12.6" customHeight="1" x14ac:dyDescent="0.2">
      <c r="A692" s="212">
        <v>7160</v>
      </c>
      <c r="B692" s="211" t="s">
        <v>652</v>
      </c>
      <c r="C692" s="217">
        <f>AA85</f>
        <v>2153510.34</v>
      </c>
      <c r="D692" s="217">
        <f>(D615/D612)*AA90</f>
        <v>18.512368787365908</v>
      </c>
      <c r="E692" s="219">
        <f>(E623/E612)*SUM(C692:D692)</f>
        <v>327347.98664082738</v>
      </c>
      <c r="F692" s="219">
        <f>(F624/F612)*AA64</f>
        <v>5.0555144525379264E-2</v>
      </c>
      <c r="G692" s="217">
        <f>(G625/G612)*AA91</f>
        <v>0</v>
      </c>
      <c r="H692" s="219">
        <f>(H628/H612)*AA60</f>
        <v>0</v>
      </c>
      <c r="I692" s="217">
        <f>(I629/I612)*AA92</f>
        <v>0</v>
      </c>
      <c r="J692" s="217">
        <f>(J630/J612)*AA93</f>
        <v>0</v>
      </c>
      <c r="K692" s="217">
        <f>(K644/K612)*AA89</f>
        <v>15765.432188001032</v>
      </c>
      <c r="L692" s="217">
        <f>(L647/L612)*AA94</f>
        <v>0</v>
      </c>
      <c r="M692" s="202">
        <f t="shared" si="24"/>
        <v>343132</v>
      </c>
      <c r="N692" s="211" t="s">
        <v>653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219205997.19</v>
      </c>
      <c r="D693" s="217">
        <f>(D615/D612)*AB90</f>
        <v>145.46393025320012</v>
      </c>
      <c r="E693" s="219">
        <f>(E623/E612)*SUM(C693:D693)</f>
        <v>33320514.549009569</v>
      </c>
      <c r="F693" s="219">
        <f>(F624/F612)*AB64</f>
        <v>12.089990079722876</v>
      </c>
      <c r="G693" s="217">
        <f>(G625/G612)*AB91</f>
        <v>0</v>
      </c>
      <c r="H693" s="219">
        <f>(H628/H612)*AB60</f>
        <v>0</v>
      </c>
      <c r="I693" s="217">
        <f>(I629/I612)*AB92</f>
        <v>139.29437973644693</v>
      </c>
      <c r="J693" s="217">
        <f>(J630/J612)*AB93</f>
        <v>0</v>
      </c>
      <c r="K693" s="217">
        <f>(K644/K612)*AB89</f>
        <v>1672465.2978399801</v>
      </c>
      <c r="L693" s="217">
        <f>(L647/L612)*AB94</f>
        <v>0</v>
      </c>
      <c r="M693" s="202">
        <f t="shared" si="24"/>
        <v>34993277</v>
      </c>
      <c r="N693" s="211" t="s">
        <v>654</v>
      </c>
    </row>
    <row r="694" spans="1:14" s="202" customFormat="1" ht="12.6" customHeight="1" x14ac:dyDescent="0.2">
      <c r="A694" s="212">
        <v>7180</v>
      </c>
      <c r="B694" s="211" t="s">
        <v>655</v>
      </c>
      <c r="C694" s="217">
        <f>AC85</f>
        <v>13764414.500000002</v>
      </c>
      <c r="D694" s="217">
        <f>(D615/D612)*AC90</f>
        <v>24.993496400505261</v>
      </c>
      <c r="E694" s="219">
        <f>(E623/E612)*SUM(C694:D694)</f>
        <v>2092268.9521802308</v>
      </c>
      <c r="F694" s="219">
        <f>(F624/F612)*AC64</f>
        <v>0.11527637827901703</v>
      </c>
      <c r="G694" s="217">
        <f>(G625/G612)*AC91</f>
        <v>0</v>
      </c>
      <c r="H694" s="219">
        <f>(H628/H612)*AC60</f>
        <v>0</v>
      </c>
      <c r="I694" s="217">
        <f>(I629/I612)*AC92</f>
        <v>0</v>
      </c>
      <c r="J694" s="217">
        <f>(J630/J612)*AC93</f>
        <v>0</v>
      </c>
      <c r="K694" s="217">
        <f>(K644/K612)*AC89</f>
        <v>117242.72497454633</v>
      </c>
      <c r="L694" s="217">
        <f>(L647/L612)*AC94</f>
        <v>0</v>
      </c>
      <c r="M694" s="202">
        <f t="shared" si="24"/>
        <v>2209537</v>
      </c>
      <c r="N694" s="211" t="s">
        <v>656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3238138.27</v>
      </c>
      <c r="D695" s="217">
        <f>(D615/D612)*AD90</f>
        <v>3.5397602809955968</v>
      </c>
      <c r="E695" s="219">
        <f>(E623/E612)*SUM(C695:D695)</f>
        <v>492214.99898483383</v>
      </c>
      <c r="F695" s="219">
        <f>(F624/F612)*AD64</f>
        <v>1.6006957498843474E-3</v>
      </c>
      <c r="G695" s="217">
        <f>(G625/G612)*AD91</f>
        <v>0</v>
      </c>
      <c r="H695" s="219">
        <f>(H628/H612)*AD60</f>
        <v>0</v>
      </c>
      <c r="I695" s="217">
        <f>(I629/I612)*AD92</f>
        <v>0</v>
      </c>
      <c r="J695" s="217">
        <f>(J630/J612)*AD93</f>
        <v>0</v>
      </c>
      <c r="K695" s="217">
        <f>(K644/K612)*AD89</f>
        <v>9053.9341628556958</v>
      </c>
      <c r="L695" s="217">
        <f>(L647/L612)*AD94</f>
        <v>0</v>
      </c>
      <c r="M695" s="202">
        <f t="shared" si="24"/>
        <v>501272</v>
      </c>
      <c r="N695" s="211" t="s">
        <v>657</v>
      </c>
    </row>
    <row r="696" spans="1:14" s="202" customFormat="1" ht="12.6" customHeight="1" x14ac:dyDescent="0.2">
      <c r="A696" s="212">
        <v>7200</v>
      </c>
      <c r="B696" s="211" t="s">
        <v>658</v>
      </c>
      <c r="C696" s="217">
        <f>AE85</f>
        <v>14818.16</v>
      </c>
      <c r="D696" s="217">
        <f>(D615/D612)*AE90</f>
        <v>13.477547072148582</v>
      </c>
      <c r="E696" s="219">
        <f>(E623/E612)*SUM(C696:D696)</f>
        <v>2254.4888053299883</v>
      </c>
      <c r="F696" s="219">
        <f>(F624/F612)*AE64</f>
        <v>0</v>
      </c>
      <c r="G696" s="217">
        <f>(G625/G612)*AE91</f>
        <v>0</v>
      </c>
      <c r="H696" s="219">
        <f>(H628/H612)*AE60</f>
        <v>0</v>
      </c>
      <c r="I696" s="217">
        <f>(I629/I612)*AE92</f>
        <v>0</v>
      </c>
      <c r="J696" s="217">
        <f>(J630/J612)*AE93</f>
        <v>0</v>
      </c>
      <c r="K696" s="217">
        <f>(K644/K612)*AE89</f>
        <v>0</v>
      </c>
      <c r="L696" s="217">
        <f>(L647/L612)*AE94</f>
        <v>0</v>
      </c>
      <c r="M696" s="202">
        <f t="shared" si="24"/>
        <v>2268</v>
      </c>
      <c r="N696" s="211" t="s">
        <v>659</v>
      </c>
    </row>
    <row r="697" spans="1:14" s="202" customFormat="1" ht="12.6" customHeight="1" x14ac:dyDescent="0.2">
      <c r="A697" s="212">
        <v>7220</v>
      </c>
      <c r="B697" s="211" t="s">
        <v>660</v>
      </c>
      <c r="C697" s="217">
        <f>AF85</f>
        <v>-994.25999999999976</v>
      </c>
      <c r="D697" s="217">
        <f>(D615/D612)*AF90</f>
        <v>0</v>
      </c>
      <c r="E697" s="219">
        <f>(E623/E612)*SUM(C697:D697)</f>
        <v>-151.13287608824339</v>
      </c>
      <c r="F697" s="219">
        <f>(F624/F612)*AF64</f>
        <v>1.5707371149696406E-6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2">
        <f t="shared" si="24"/>
        <v>-151</v>
      </c>
      <c r="N697" s="211" t="s">
        <v>661</v>
      </c>
    </row>
    <row r="698" spans="1:14" s="202" customFormat="1" ht="12.6" customHeight="1" x14ac:dyDescent="0.2">
      <c r="A698" s="212">
        <v>7230</v>
      </c>
      <c r="B698" s="211" t="s">
        <v>662</v>
      </c>
      <c r="C698" s="217">
        <f>AG85</f>
        <v>84473022.520000026</v>
      </c>
      <c r="D698" s="217">
        <f>(D615/D612)*AG90</f>
        <v>552.06652171621852</v>
      </c>
      <c r="E698" s="219">
        <f>(E623/E612)*SUM(C698:D698)</f>
        <v>12840438.397115223</v>
      </c>
      <c r="F698" s="219">
        <f>(F624/F612)*AG64</f>
        <v>0.36236729657485722</v>
      </c>
      <c r="G698" s="217">
        <f>(G625/G612)*AG91</f>
        <v>12762.97019477094</v>
      </c>
      <c r="H698" s="219">
        <f>(H628/H612)*AG60</f>
        <v>0</v>
      </c>
      <c r="I698" s="217">
        <f>(I629/I612)*AG92</f>
        <v>1773.8216224390071</v>
      </c>
      <c r="J698" s="217">
        <f>(J630/J612)*AG93</f>
        <v>0</v>
      </c>
      <c r="K698" s="217">
        <f>(K644/K612)*AG89</f>
        <v>1009134.8422060676</v>
      </c>
      <c r="L698" s="217">
        <f>(L647/L612)*AG94</f>
        <v>144216.01403990769</v>
      </c>
      <c r="M698" s="202">
        <f t="shared" si="24"/>
        <v>14008878</v>
      </c>
      <c r="N698" s="211" t="s">
        <v>663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>
        <f>(I629/I612)*AH92</f>
        <v>0</v>
      </c>
      <c r="J699" s="217">
        <f>(J630/J612)*AH93</f>
        <v>0</v>
      </c>
      <c r="K699" s="217">
        <f>(K644/K612)*AH89</f>
        <v>0</v>
      </c>
      <c r="L699" s="217">
        <f>(L647/L612)*AH94</f>
        <v>0</v>
      </c>
      <c r="M699" s="202">
        <f t="shared" si="24"/>
        <v>0</v>
      </c>
      <c r="N699" s="211" t="s">
        <v>664</v>
      </c>
    </row>
    <row r="700" spans="1:14" s="202" customFormat="1" ht="12.6" customHeight="1" x14ac:dyDescent="0.2">
      <c r="A700" s="212">
        <v>7250</v>
      </c>
      <c r="B700" s="211" t="s">
        <v>665</v>
      </c>
      <c r="C700" s="217">
        <f>AI85</f>
        <v>0</v>
      </c>
      <c r="D700" s="217">
        <f>(D615/D612)*AI90</f>
        <v>84.577550635879106</v>
      </c>
      <c r="E700" s="219">
        <f>(E623/E612)*SUM(C700:D700)</f>
        <v>12.856243316737526</v>
      </c>
      <c r="F700" s="219">
        <f>(F624/F612)*AI64</f>
        <v>0</v>
      </c>
      <c r="G700" s="217">
        <f>(G625/G612)*AI91</f>
        <v>6116.9711270759699</v>
      </c>
      <c r="H700" s="219">
        <f>(H628/H612)*AI60</f>
        <v>0</v>
      </c>
      <c r="I700" s="217">
        <f>(I629/I612)*AI92</f>
        <v>0</v>
      </c>
      <c r="J700" s="217">
        <f>(J630/J612)*AI93</f>
        <v>0</v>
      </c>
      <c r="K700" s="217">
        <f>(K644/K612)*AI89</f>
        <v>0</v>
      </c>
      <c r="L700" s="217">
        <f>(L647/L612)*AI94</f>
        <v>0</v>
      </c>
      <c r="M700" s="202">
        <f t="shared" si="24"/>
        <v>6214</v>
      </c>
      <c r="N700" s="211" t="s">
        <v>666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2630043.4400000004</v>
      </c>
      <c r="D701" s="217">
        <f>(D615/D612)*AJ90</f>
        <v>92.122068999406096</v>
      </c>
      <c r="E701" s="219">
        <f>(E623/E612)*SUM(C701:D701)</f>
        <v>399794.77400021791</v>
      </c>
      <c r="F701" s="219">
        <f>(F624/F612)*AJ64</f>
        <v>6.5826091634452744E-3</v>
      </c>
      <c r="G701" s="217">
        <f>(G625/G612)*AJ91</f>
        <v>11.734446002639581</v>
      </c>
      <c r="H701" s="219">
        <f>(H628/H612)*AJ60</f>
        <v>0</v>
      </c>
      <c r="I701" s="217">
        <f>(I629/I612)*AJ92</f>
        <v>1021.7158841391432</v>
      </c>
      <c r="J701" s="217">
        <f>(J630/J612)*AJ93</f>
        <v>0</v>
      </c>
      <c r="K701" s="217">
        <f>(K644/K612)*AJ89</f>
        <v>11774.157685212074</v>
      </c>
      <c r="L701" s="217">
        <f>(L647/L612)*AJ94</f>
        <v>4168.0928913268117</v>
      </c>
      <c r="M701" s="202">
        <f t="shared" si="24"/>
        <v>416863</v>
      </c>
      <c r="N701" s="211" t="s">
        <v>667</v>
      </c>
    </row>
    <row r="702" spans="1:14" s="202" customFormat="1" ht="12.6" customHeight="1" x14ac:dyDescent="0.2">
      <c r="A702" s="212">
        <v>7310</v>
      </c>
      <c r="B702" s="211" t="s">
        <v>668</v>
      </c>
      <c r="C702" s="217">
        <f>AK85</f>
        <v>5473478.7000000002</v>
      </c>
      <c r="D702" s="217">
        <f>(D615/D612)*AK90</f>
        <v>0</v>
      </c>
      <c r="E702" s="219">
        <f>(E623/E612)*SUM(C702:D702)</f>
        <v>831998.24808273476</v>
      </c>
      <c r="F702" s="219">
        <f>(F624/F612)*AK64</f>
        <v>9.6717208424010076E-4</v>
      </c>
      <c r="G702" s="217">
        <f>(G625/G612)*AK91</f>
        <v>0</v>
      </c>
      <c r="H702" s="219">
        <f>(H628/H612)*AK60</f>
        <v>0</v>
      </c>
      <c r="I702" s="217">
        <f>(I629/I612)*AK92</f>
        <v>0</v>
      </c>
      <c r="J702" s="217">
        <f>(J630/J612)*AK93</f>
        <v>0</v>
      </c>
      <c r="K702" s="217">
        <f>(K644/K612)*AK89</f>
        <v>21386.204883078964</v>
      </c>
      <c r="L702" s="217">
        <f>(L647/L612)*AK94</f>
        <v>0</v>
      </c>
      <c r="M702" s="202">
        <f t="shared" si="24"/>
        <v>853384</v>
      </c>
      <c r="N702" s="211" t="s">
        <v>669</v>
      </c>
    </row>
    <row r="703" spans="1:14" s="202" customFormat="1" ht="12.6" customHeight="1" x14ac:dyDescent="0.2">
      <c r="A703" s="212">
        <v>7320</v>
      </c>
      <c r="B703" s="211" t="s">
        <v>670</v>
      </c>
      <c r="C703" s="217">
        <f>AL85</f>
        <v>1668269.14</v>
      </c>
      <c r="D703" s="217">
        <f>(D615/D612)*AL90</f>
        <v>0</v>
      </c>
      <c r="E703" s="219">
        <f>(E623/E612)*SUM(C703:D703)</f>
        <v>253585.89626200433</v>
      </c>
      <c r="F703" s="219">
        <f>(F624/F612)*AL64</f>
        <v>1.711847087474179E-3</v>
      </c>
      <c r="G703" s="217">
        <f>(G625/G612)*AL91</f>
        <v>73.927009816629351</v>
      </c>
      <c r="H703" s="219">
        <f>(H628/H612)*AL60</f>
        <v>0</v>
      </c>
      <c r="I703" s="217">
        <f>(I629/I612)*AL92</f>
        <v>0</v>
      </c>
      <c r="J703" s="217">
        <f>(J630/J612)*AL93</f>
        <v>0</v>
      </c>
      <c r="K703" s="217">
        <f>(K644/K612)*AL89</f>
        <v>6663.0312943137096</v>
      </c>
      <c r="L703" s="217">
        <f>(L647/L612)*AL94</f>
        <v>0</v>
      </c>
      <c r="M703" s="202">
        <f t="shared" si="24"/>
        <v>260323</v>
      </c>
      <c r="N703" s="211" t="s">
        <v>671</v>
      </c>
    </row>
    <row r="704" spans="1:14" s="202" customFormat="1" ht="12.6" customHeight="1" x14ac:dyDescent="0.2">
      <c r="A704" s="212">
        <v>7330</v>
      </c>
      <c r="B704" s="211" t="s">
        <v>672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2">
        <f t="shared" si="24"/>
        <v>0</v>
      </c>
      <c r="N704" s="211" t="s">
        <v>673</v>
      </c>
    </row>
    <row r="705" spans="1:14" s="202" customFormat="1" ht="12.6" customHeight="1" x14ac:dyDescent="0.2">
      <c r="A705" s="212">
        <v>7340</v>
      </c>
      <c r="B705" s="211" t="s">
        <v>674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2">
        <f t="shared" si="24"/>
        <v>0</v>
      </c>
      <c r="N705" s="211" t="s">
        <v>675</v>
      </c>
    </row>
    <row r="706" spans="1:14" s="202" customFormat="1" ht="12.6" customHeight="1" x14ac:dyDescent="0.2">
      <c r="A706" s="212">
        <v>7350</v>
      </c>
      <c r="B706" s="211" t="s">
        <v>676</v>
      </c>
      <c r="C706" s="217">
        <f>AO85</f>
        <v>19938301.370000001</v>
      </c>
      <c r="D706" s="217">
        <f>(D615/D612)*AO90</f>
        <v>0</v>
      </c>
      <c r="E706" s="219">
        <f>(E623/E612)*SUM(C706:D706)</f>
        <v>3030729.2160624634</v>
      </c>
      <c r="F706" s="219">
        <f>(F624/F612)*AO64</f>
        <v>5.2742866094773695E-2</v>
      </c>
      <c r="G706" s="217">
        <f>(G625/G612)*AO91</f>
        <v>0</v>
      </c>
      <c r="H706" s="219">
        <f>(H628/H612)*AO60</f>
        <v>0</v>
      </c>
      <c r="I706" s="217">
        <f>(I629/I612)*AO92</f>
        <v>0</v>
      </c>
      <c r="J706" s="217">
        <f>(J630/J612)*AO93</f>
        <v>0</v>
      </c>
      <c r="K706" s="217">
        <f>(K644/K612)*AO89</f>
        <v>48378.268826378837</v>
      </c>
      <c r="L706" s="217">
        <f>(L647/L612)*AO94</f>
        <v>35011.980287145219</v>
      </c>
      <c r="M706" s="202">
        <f t="shared" si="24"/>
        <v>3114120</v>
      </c>
      <c r="N706" s="211" t="s">
        <v>677</v>
      </c>
    </row>
    <row r="707" spans="1:14" s="202" customFormat="1" ht="12.6" customHeight="1" x14ac:dyDescent="0.2">
      <c r="A707" s="212">
        <v>7380</v>
      </c>
      <c r="B707" s="211" t="s">
        <v>678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>
        <f>(G625/G612)*AP91</f>
        <v>0</v>
      </c>
      <c r="H707" s="219">
        <f>(H628/H612)*AP60</f>
        <v>0</v>
      </c>
      <c r="I707" s="217">
        <f>(I629/I612)*AP92</f>
        <v>0</v>
      </c>
      <c r="J707" s="217">
        <f>(J630/J612)*AP93</f>
        <v>0</v>
      </c>
      <c r="K707" s="217">
        <f>(K644/K612)*AP89</f>
        <v>0</v>
      </c>
      <c r="L707" s="217">
        <f>(L647/L612)*AP94</f>
        <v>0</v>
      </c>
      <c r="M707" s="202">
        <f t="shared" si="24"/>
        <v>0</v>
      </c>
      <c r="N707" s="211" t="s">
        <v>679</v>
      </c>
    </row>
    <row r="708" spans="1:14" s="202" customFormat="1" ht="12.6" customHeight="1" x14ac:dyDescent="0.2">
      <c r="A708" s="212">
        <v>7390</v>
      </c>
      <c r="B708" s="211" t="s">
        <v>680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2">
        <f t="shared" si="24"/>
        <v>0</v>
      </c>
      <c r="N708" s="211" t="s">
        <v>681</v>
      </c>
    </row>
    <row r="709" spans="1:14" s="202" customFormat="1" ht="12.6" customHeight="1" x14ac:dyDescent="0.2">
      <c r="A709" s="212">
        <v>7400</v>
      </c>
      <c r="B709" s="211" t="s">
        <v>682</v>
      </c>
      <c r="C709" s="217">
        <f>AR85</f>
        <v>1009995.1799999999</v>
      </c>
      <c r="D709" s="217">
        <f>(D615/D612)*AR90</f>
        <v>0</v>
      </c>
      <c r="E709" s="219">
        <f>(E623/E612)*SUM(C709:D709)</f>
        <v>153524.7082138104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>
        <f>(I629/I612)*AR92</f>
        <v>0</v>
      </c>
      <c r="J709" s="217">
        <f>(J630/J612)*AR93</f>
        <v>0</v>
      </c>
      <c r="K709" s="217">
        <f>(K644/K612)*AR89</f>
        <v>2557.6904651689883</v>
      </c>
      <c r="L709" s="217">
        <f>(L647/L612)*AR94</f>
        <v>0</v>
      </c>
      <c r="M709" s="202">
        <f t="shared" si="24"/>
        <v>156082</v>
      </c>
      <c r="N709" s="211" t="s">
        <v>683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2">
        <f t="shared" si="24"/>
        <v>0</v>
      </c>
      <c r="N710" s="211" t="s">
        <v>684</v>
      </c>
    </row>
    <row r="711" spans="1:14" s="202" customFormat="1" ht="12.6" customHeight="1" x14ac:dyDescent="0.2">
      <c r="A711" s="212">
        <v>7420</v>
      </c>
      <c r="B711" s="211" t="s">
        <v>685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2">
        <f t="shared" si="24"/>
        <v>0</v>
      </c>
      <c r="N711" s="211" t="s">
        <v>686</v>
      </c>
    </row>
    <row r="712" spans="1:14" s="202" customFormat="1" ht="12.6" customHeight="1" x14ac:dyDescent="0.2">
      <c r="A712" s="212">
        <v>7430</v>
      </c>
      <c r="B712" s="211" t="s">
        <v>687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2">
        <f t="shared" si="24"/>
        <v>0</v>
      </c>
      <c r="N712" s="211" t="s">
        <v>688</v>
      </c>
    </row>
    <row r="713" spans="1:14" s="202" customFormat="1" ht="12.6" customHeight="1" x14ac:dyDescent="0.2">
      <c r="A713" s="212">
        <v>7490</v>
      </c>
      <c r="B713" s="211" t="s">
        <v>689</v>
      </c>
      <c r="C713" s="217">
        <f>AV85</f>
        <v>12838164.65</v>
      </c>
      <c r="D713" s="217">
        <f>(D615/D612)*AV90</f>
        <v>382.96016514619663</v>
      </c>
      <c r="E713" s="219">
        <f>(E623/E612)*SUM(C713:D713)</f>
        <v>1951528.3981253426</v>
      </c>
      <c r="F713" s="219">
        <f>(F624/F612)*AV64</f>
        <v>0.22040037466794818</v>
      </c>
      <c r="G713" s="217">
        <f>(G625/G612)*AV91</f>
        <v>9579.2194201547791</v>
      </c>
      <c r="H713" s="219">
        <f>(H628/H612)*AV60</f>
        <v>0</v>
      </c>
      <c r="I713" s="217">
        <f>(I629/I612)*AV92</f>
        <v>8078.8222878830729</v>
      </c>
      <c r="J713" s="217">
        <f>(J630/J612)*AV93</f>
        <v>0</v>
      </c>
      <c r="K713" s="217">
        <f>(K644/K612)*AV89</f>
        <v>133516.9159870492</v>
      </c>
      <c r="L713" s="217">
        <f>(L647/L612)*AV94</f>
        <v>180061.61290531827</v>
      </c>
      <c r="M713" s="202">
        <f t="shared" si="24"/>
        <v>2283148</v>
      </c>
      <c r="N713" s="213" t="s">
        <v>690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1372959762.2300005</v>
      </c>
      <c r="D715" s="202">
        <f>SUM(D616:D647)+SUM(D668:D713)</f>
        <v>5339.4299999997038</v>
      </c>
      <c r="E715" s="202">
        <f>SUM(E624:E647)+SUM(E668:E713)</f>
        <v>181159986.19434801</v>
      </c>
      <c r="F715" s="202">
        <f>SUM(F625:F648)+SUM(F668:F713)</f>
        <v>27.047357752243371</v>
      </c>
      <c r="G715" s="202">
        <f>SUM(G626:G647)+SUM(G668:G713)</f>
        <v>228250.22953114324</v>
      </c>
      <c r="H715" s="202">
        <f>SUM(H629:H647)+SUM(H668:H713)</f>
        <v>0</v>
      </c>
      <c r="I715" s="202">
        <f>SUM(I630:I647)+SUM(I668:I713)</f>
        <v>23350.437131337683</v>
      </c>
      <c r="J715" s="202">
        <f>SUM(J631:J647)+SUM(J668:J713)</f>
        <v>0</v>
      </c>
      <c r="K715" s="202">
        <f>SUM(K668:K713)</f>
        <v>9236190.7931451257</v>
      </c>
      <c r="L715" s="202">
        <f>SUM(L668:L713)</f>
        <v>1297110.5077809035</v>
      </c>
      <c r="M715" s="202">
        <f>SUM(M668:M713)</f>
        <v>190526852</v>
      </c>
      <c r="N715" s="211" t="s">
        <v>691</v>
      </c>
    </row>
    <row r="716" spans="1:14" s="202" customFormat="1" ht="12.6" customHeight="1" x14ac:dyDescent="0.2">
      <c r="C716" s="214">
        <f>CE85</f>
        <v>1372959762.230001</v>
      </c>
      <c r="D716" s="202">
        <f>D615</f>
        <v>5339.429999999702</v>
      </c>
      <c r="E716" s="202">
        <f>E623</f>
        <v>181159986.19434807</v>
      </c>
      <c r="F716" s="202">
        <f>F624</f>
        <v>27.047357752243354</v>
      </c>
      <c r="G716" s="202">
        <f>G625</f>
        <v>228250.22953114327</v>
      </c>
      <c r="H716" s="202">
        <f>H628</f>
        <v>0</v>
      </c>
      <c r="I716" s="202">
        <f>I629</f>
        <v>23350.437131337687</v>
      </c>
      <c r="J716" s="202">
        <f>J630</f>
        <v>0</v>
      </c>
      <c r="K716" s="202">
        <f>K644</f>
        <v>9236190.7931451257</v>
      </c>
      <c r="L716" s="202">
        <f>L647</f>
        <v>1297110.5077809037</v>
      </c>
      <c r="M716" s="202">
        <f>C648</f>
        <v>190526853.98000002</v>
      </c>
      <c r="N716" s="211" t="s">
        <v>692</v>
      </c>
    </row>
  </sheetData>
  <sheetProtection algorithmName="SHA-512" hashValue="vxEPuhpjAAbVcvmTRfsaMkk2F6Ey/fvis71hsTRrcKhiaNBBs61IESMUevMhv4ixOZYqDXQdQcMdhoC5vX+RLQ==" saltValue="m2m+wnh/oyuhFKELPLz9bw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10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zoomScaleNormal="100" workbookViewId="0">
      <selection activeCell="C71" sqref="C71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9" width="57.44140625" style="11" customWidth="1"/>
    <col min="10" max="16384" width="57.44140625" style="11"/>
  </cols>
  <sheetData>
    <row r="1" spans="1:3" ht="20.100000000000001" customHeight="1" x14ac:dyDescent="0.25">
      <c r="A1" s="168" t="s">
        <v>899</v>
      </c>
      <c r="B1" s="169"/>
      <c r="C1" s="169"/>
    </row>
    <row r="2" spans="1:3" ht="20.100000000000001" customHeight="1" x14ac:dyDescent="0.25">
      <c r="A2" s="168"/>
      <c r="B2" s="169"/>
      <c r="C2" s="94" t="s">
        <v>900</v>
      </c>
    </row>
    <row r="3" spans="1:3" ht="20.100000000000001" customHeight="1" x14ac:dyDescent="0.25">
      <c r="A3" s="120" t="str">
        <f>"Hospital: "&amp;data!C98</f>
        <v>Hospital: Tacoma General / Allenmore</v>
      </c>
      <c r="B3" s="170"/>
      <c r="C3" s="142" t="str">
        <f>"FYE: "&amp;data!C96</f>
        <v>FYE: 12/31/2024</v>
      </c>
    </row>
    <row r="4" spans="1:3" ht="20.100000000000001" customHeight="1" x14ac:dyDescent="0.25">
      <c r="A4" s="171"/>
      <c r="B4" s="172" t="s">
        <v>901</v>
      </c>
      <c r="C4" s="173"/>
    </row>
    <row r="5" spans="1:3" ht="20.100000000000001" customHeight="1" x14ac:dyDescent="0.25">
      <c r="A5" s="174">
        <v>1</v>
      </c>
      <c r="B5" s="175" t="s">
        <v>417</v>
      </c>
      <c r="C5" s="175"/>
    </row>
    <row r="6" spans="1:3" ht="20.100000000000001" customHeight="1" x14ac:dyDescent="0.25">
      <c r="A6" s="174">
        <v>2</v>
      </c>
      <c r="B6" s="176" t="s">
        <v>418</v>
      </c>
      <c r="C6" s="176">
        <f>data!C266</f>
        <v>0</v>
      </c>
    </row>
    <row r="7" spans="1:3" ht="20.100000000000001" customHeight="1" x14ac:dyDescent="0.25">
      <c r="A7" s="174">
        <v>3</v>
      </c>
      <c r="B7" s="176" t="s">
        <v>419</v>
      </c>
      <c r="C7" s="176">
        <f>data!C267</f>
        <v>0</v>
      </c>
    </row>
    <row r="8" spans="1:3" ht="20.100000000000001" customHeight="1" x14ac:dyDescent="0.25">
      <c r="A8" s="174">
        <v>4</v>
      </c>
      <c r="B8" s="176" t="s">
        <v>420</v>
      </c>
      <c r="C8" s="176">
        <f>data!C268</f>
        <v>729601994.47000003</v>
      </c>
    </row>
    <row r="9" spans="1:3" ht="20.100000000000001" customHeight="1" x14ac:dyDescent="0.25">
      <c r="A9" s="174">
        <v>5</v>
      </c>
      <c r="B9" s="176" t="s">
        <v>902</v>
      </c>
      <c r="C9" s="176">
        <f>data!C269</f>
        <v>507020040.20000005</v>
      </c>
    </row>
    <row r="10" spans="1:3" ht="20.100000000000001" customHeight="1" x14ac:dyDescent="0.25">
      <c r="A10" s="174">
        <v>6</v>
      </c>
      <c r="B10" s="176" t="s">
        <v>903</v>
      </c>
      <c r="C10" s="176">
        <f>data!C270</f>
        <v>0</v>
      </c>
    </row>
    <row r="11" spans="1:3" ht="20.100000000000001" customHeight="1" x14ac:dyDescent="0.25">
      <c r="A11" s="174">
        <v>7</v>
      </c>
      <c r="B11" s="176" t="s">
        <v>904</v>
      </c>
      <c r="C11" s="176">
        <f>data!C271</f>
        <v>3708760.65</v>
      </c>
    </row>
    <row r="12" spans="1:3" ht="20.100000000000001" customHeight="1" x14ac:dyDescent="0.25">
      <c r="A12" s="174">
        <v>8</v>
      </c>
      <c r="B12" s="176" t="s">
        <v>424</v>
      </c>
      <c r="C12" s="176">
        <f>data!C272</f>
        <v>0</v>
      </c>
    </row>
    <row r="13" spans="1:3" ht="20.100000000000001" customHeight="1" x14ac:dyDescent="0.25">
      <c r="A13" s="174">
        <v>9</v>
      </c>
      <c r="B13" s="176" t="s">
        <v>425</v>
      </c>
      <c r="C13" s="176">
        <f>data!C273</f>
        <v>18751155.460000001</v>
      </c>
    </row>
    <row r="14" spans="1:3" ht="20.100000000000001" customHeight="1" x14ac:dyDescent="0.25">
      <c r="A14" s="174">
        <v>10</v>
      </c>
      <c r="B14" s="176" t="s">
        <v>426</v>
      </c>
      <c r="C14" s="176">
        <f>data!C274</f>
        <v>3350248.51</v>
      </c>
    </row>
    <row r="15" spans="1:3" ht="20.100000000000001" customHeight="1" x14ac:dyDescent="0.25">
      <c r="A15" s="174">
        <v>11</v>
      </c>
      <c r="B15" s="176" t="s">
        <v>905</v>
      </c>
      <c r="C15" s="176">
        <f>data!C275</f>
        <v>0</v>
      </c>
    </row>
    <row r="16" spans="1:3" ht="20.100000000000001" customHeight="1" x14ac:dyDescent="0.25">
      <c r="A16" s="174">
        <v>12</v>
      </c>
      <c r="B16" s="176" t="s">
        <v>906</v>
      </c>
      <c r="C16" s="176">
        <f>data!D276</f>
        <v>248392118.88999999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907</v>
      </c>
      <c r="C18" s="175"/>
    </row>
    <row r="19" spans="1:3" ht="20.100000000000001" customHeight="1" x14ac:dyDescent="0.25">
      <c r="A19" s="174">
        <v>15</v>
      </c>
      <c r="B19" s="176" t="s">
        <v>418</v>
      </c>
      <c r="C19" s="176">
        <f>data!C278</f>
        <v>0</v>
      </c>
    </row>
    <row r="20" spans="1:3" ht="20.100000000000001" customHeight="1" x14ac:dyDescent="0.25">
      <c r="A20" s="174">
        <v>16</v>
      </c>
      <c r="B20" s="176" t="s">
        <v>419</v>
      </c>
      <c r="C20" s="176">
        <f>data!C279</f>
        <v>0</v>
      </c>
    </row>
    <row r="21" spans="1:3" ht="20.100000000000001" customHeight="1" x14ac:dyDescent="0.25">
      <c r="A21" s="174">
        <v>17</v>
      </c>
      <c r="B21" s="176" t="s">
        <v>430</v>
      </c>
      <c r="C21" s="176">
        <f>data!C280</f>
        <v>0</v>
      </c>
    </row>
    <row r="22" spans="1:3" ht="20.100000000000001" customHeight="1" x14ac:dyDescent="0.25">
      <c r="A22" s="174">
        <v>18</v>
      </c>
      <c r="B22" s="176" t="s">
        <v>908</v>
      </c>
      <c r="C22" s="176">
        <f>data!D281</f>
        <v>0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909</v>
      </c>
      <c r="C24" s="175"/>
    </row>
    <row r="25" spans="1:3" ht="20.100000000000001" customHeight="1" x14ac:dyDescent="0.25">
      <c r="A25" s="174">
        <v>21</v>
      </c>
      <c r="B25" s="176" t="s">
        <v>386</v>
      </c>
      <c r="C25" s="176">
        <f>data!C283</f>
        <v>7581710.04</v>
      </c>
    </row>
    <row r="26" spans="1:3" ht="20.100000000000001" customHeight="1" x14ac:dyDescent="0.25">
      <c r="A26" s="174">
        <v>22</v>
      </c>
      <c r="B26" s="176" t="s">
        <v>387</v>
      </c>
      <c r="C26" s="176">
        <f>data!C284</f>
        <v>4702751.6399999997</v>
      </c>
    </row>
    <row r="27" spans="1:3" ht="20.100000000000001" customHeight="1" x14ac:dyDescent="0.25">
      <c r="A27" s="174">
        <v>23</v>
      </c>
      <c r="B27" s="176" t="s">
        <v>388</v>
      </c>
      <c r="C27" s="176">
        <f>data!C285</f>
        <v>636673169.63999999</v>
      </c>
    </row>
    <row r="28" spans="1:3" ht="20.100000000000001" customHeight="1" x14ac:dyDescent="0.25">
      <c r="A28" s="174">
        <v>24</v>
      </c>
      <c r="B28" s="176" t="s">
        <v>910</v>
      </c>
      <c r="C28" s="176">
        <f>data!C286</f>
        <v>0</v>
      </c>
    </row>
    <row r="29" spans="1:3" ht="20.100000000000001" customHeight="1" x14ac:dyDescent="0.25">
      <c r="A29" s="174">
        <v>25</v>
      </c>
      <c r="B29" s="176" t="s">
        <v>391</v>
      </c>
      <c r="C29" s="176">
        <f>data!C287</f>
        <v>0</v>
      </c>
    </row>
    <row r="30" spans="1:3" ht="20.100000000000001" customHeight="1" x14ac:dyDescent="0.25">
      <c r="A30" s="174">
        <v>26</v>
      </c>
      <c r="B30" s="176" t="s">
        <v>435</v>
      </c>
      <c r="C30" s="176">
        <f>data!C288</f>
        <v>237017185.54999998</v>
      </c>
    </row>
    <row r="31" spans="1:3" ht="20.100000000000001" customHeight="1" x14ac:dyDescent="0.25">
      <c r="A31" s="174">
        <v>27</v>
      </c>
      <c r="B31" s="176" t="s">
        <v>394</v>
      </c>
      <c r="C31" s="176">
        <f>data!C289</f>
        <v>14630078.33</v>
      </c>
    </row>
    <row r="32" spans="1:3" ht="20.100000000000001" customHeight="1" x14ac:dyDescent="0.25">
      <c r="A32" s="174">
        <v>28</v>
      </c>
      <c r="B32" s="176" t="s">
        <v>395</v>
      </c>
      <c r="C32" s="176">
        <f>data!C290</f>
        <v>14507920.35</v>
      </c>
    </row>
    <row r="33" spans="1:3" ht="20.100000000000001" customHeight="1" x14ac:dyDescent="0.25">
      <c r="A33" s="174">
        <v>29</v>
      </c>
      <c r="B33" s="176" t="s">
        <v>609</v>
      </c>
      <c r="C33" s="176">
        <f>data!C291</f>
        <v>0</v>
      </c>
    </row>
    <row r="34" spans="1:3" ht="20.100000000000001" customHeight="1" x14ac:dyDescent="0.25">
      <c r="A34" s="174">
        <v>30</v>
      </c>
      <c r="B34" s="176" t="s">
        <v>911</v>
      </c>
      <c r="C34" s="176">
        <f>data!C292</f>
        <v>554354361.26999998</v>
      </c>
    </row>
    <row r="35" spans="1:3" ht="20.100000000000001" customHeight="1" x14ac:dyDescent="0.25">
      <c r="A35" s="174">
        <v>31</v>
      </c>
      <c r="B35" s="176" t="s">
        <v>912</v>
      </c>
      <c r="C35" s="176">
        <f>data!D293</f>
        <v>360758454.27999997</v>
      </c>
    </row>
    <row r="36" spans="1:3" ht="20.100000000000001" customHeight="1" x14ac:dyDescent="0.25">
      <c r="A36" s="174">
        <v>32</v>
      </c>
      <c r="B36" s="178"/>
      <c r="C36" s="176"/>
    </row>
    <row r="37" spans="1:3" ht="20.100000000000001" customHeight="1" x14ac:dyDescent="0.25">
      <c r="A37" s="174">
        <v>33</v>
      </c>
      <c r="B37" s="177" t="s">
        <v>913</v>
      </c>
      <c r="C37" s="175"/>
    </row>
    <row r="38" spans="1:3" ht="20.100000000000001" customHeight="1" x14ac:dyDescent="0.25">
      <c r="A38" s="174">
        <v>34</v>
      </c>
      <c r="B38" s="176" t="s">
        <v>914</v>
      </c>
      <c r="C38" s="176">
        <f>data!C295</f>
        <v>0</v>
      </c>
    </row>
    <row r="39" spans="1:3" ht="20.100000000000001" customHeight="1" x14ac:dyDescent="0.25">
      <c r="A39" s="174">
        <v>35</v>
      </c>
      <c r="B39" s="176" t="s">
        <v>915</v>
      </c>
      <c r="C39" s="176">
        <f>data!C296</f>
        <v>0</v>
      </c>
    </row>
    <row r="40" spans="1:3" ht="20.100000000000001" customHeight="1" x14ac:dyDescent="0.25">
      <c r="A40" s="174">
        <v>36</v>
      </c>
      <c r="B40" s="176" t="s">
        <v>442</v>
      </c>
      <c r="C40" s="176">
        <f>data!C297</f>
        <v>0</v>
      </c>
    </row>
    <row r="41" spans="1:3" ht="20.100000000000001" customHeight="1" x14ac:dyDescent="0.25">
      <c r="A41" s="174">
        <v>37</v>
      </c>
      <c r="B41" s="176" t="s">
        <v>430</v>
      </c>
      <c r="C41" s="176">
        <f>data!C298</f>
        <v>106906.62</v>
      </c>
    </row>
    <row r="42" spans="1:3" ht="20.100000000000001" customHeight="1" x14ac:dyDescent="0.25">
      <c r="A42" s="174">
        <v>38</v>
      </c>
      <c r="B42" s="176" t="s">
        <v>916</v>
      </c>
      <c r="C42" s="176">
        <f>data!D299</f>
        <v>106906.62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917</v>
      </c>
      <c r="C44" s="175"/>
    </row>
    <row r="45" spans="1:3" ht="20.100000000000001" customHeight="1" x14ac:dyDescent="0.25">
      <c r="A45" s="174">
        <v>41</v>
      </c>
      <c r="B45" s="176" t="s">
        <v>445</v>
      </c>
      <c r="C45" s="176">
        <f>data!C302</f>
        <v>0</v>
      </c>
    </row>
    <row r="46" spans="1:3" ht="20.100000000000001" customHeight="1" x14ac:dyDescent="0.25">
      <c r="A46" s="174">
        <v>42</v>
      </c>
      <c r="B46" s="176" t="s">
        <v>446</v>
      </c>
      <c r="C46" s="176">
        <f>data!C303</f>
        <v>0</v>
      </c>
    </row>
    <row r="47" spans="1:3" ht="20.100000000000001" customHeight="1" x14ac:dyDescent="0.25">
      <c r="A47" s="174">
        <v>43</v>
      </c>
      <c r="B47" s="176" t="s">
        <v>918</v>
      </c>
      <c r="C47" s="176">
        <f>data!C304</f>
        <v>0</v>
      </c>
    </row>
    <row r="48" spans="1:3" ht="20.100000000000001" customHeight="1" x14ac:dyDescent="0.25">
      <c r="A48" s="174">
        <v>44</v>
      </c>
      <c r="B48" s="176" t="s">
        <v>448</v>
      </c>
      <c r="C48" s="176">
        <f>data!C305</f>
        <v>0</v>
      </c>
    </row>
    <row r="49" spans="1:3" ht="20.100000000000001" customHeight="1" x14ac:dyDescent="0.25">
      <c r="A49" s="174">
        <v>45</v>
      </c>
      <c r="B49" s="176" t="s">
        <v>919</v>
      </c>
      <c r="C49" s="176">
        <f>data!D306</f>
        <v>0</v>
      </c>
    </row>
    <row r="50" spans="1:3" ht="20.100000000000001" customHeight="1" x14ac:dyDescent="0.25">
      <c r="A50" s="179">
        <v>46</v>
      </c>
      <c r="B50" s="180" t="s">
        <v>920</v>
      </c>
      <c r="C50" s="176">
        <f>data!D308</f>
        <v>609257479.78999996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921</v>
      </c>
      <c r="B53" s="169"/>
      <c r="C53" s="169"/>
    </row>
    <row r="54" spans="1:3" ht="20.100000000000001" customHeight="1" x14ac:dyDescent="0.25">
      <c r="A54" s="168"/>
      <c r="B54" s="169"/>
      <c r="C54" s="94" t="s">
        <v>922</v>
      </c>
    </row>
    <row r="55" spans="1:3" ht="20.100000000000001" customHeight="1" x14ac:dyDescent="0.25">
      <c r="A55" s="120" t="str">
        <f>"Hospital: "&amp;data!C98</f>
        <v>Hospital: Tacoma General / Allenmore</v>
      </c>
      <c r="B55" s="170"/>
      <c r="C55" s="142" t="str">
        <f>"FYE: "&amp;data!C96</f>
        <v>FYE: 12/31/2024</v>
      </c>
    </row>
    <row r="56" spans="1:3" ht="20.100000000000001" customHeight="1" x14ac:dyDescent="0.25">
      <c r="A56" s="181"/>
      <c r="B56" s="182" t="s">
        <v>923</v>
      </c>
      <c r="C56" s="173"/>
    </row>
    <row r="57" spans="1:3" ht="20.100000000000001" customHeight="1" x14ac:dyDescent="0.25">
      <c r="A57" s="183">
        <v>1</v>
      </c>
      <c r="B57" s="168" t="s">
        <v>452</v>
      </c>
      <c r="C57" s="184"/>
    </row>
    <row r="58" spans="1:3" ht="20.100000000000001" customHeight="1" x14ac:dyDescent="0.25">
      <c r="A58" s="174">
        <v>2</v>
      </c>
      <c r="B58" s="176" t="s">
        <v>453</v>
      </c>
      <c r="C58" s="176">
        <f>data!C314</f>
        <v>0</v>
      </c>
    </row>
    <row r="59" spans="1:3" ht="20.100000000000001" customHeight="1" x14ac:dyDescent="0.25">
      <c r="A59" s="174">
        <v>3</v>
      </c>
      <c r="B59" s="176" t="s">
        <v>924</v>
      </c>
      <c r="C59" s="176">
        <f>data!C315</f>
        <v>47388129.329999834</v>
      </c>
    </row>
    <row r="60" spans="1:3" ht="20.100000000000001" customHeight="1" x14ac:dyDescent="0.25">
      <c r="A60" s="174">
        <v>4</v>
      </c>
      <c r="B60" s="176" t="s">
        <v>925</v>
      </c>
      <c r="C60" s="176">
        <f>data!C316</f>
        <v>320884568.58000004</v>
      </c>
    </row>
    <row r="61" spans="1:3" ht="20.100000000000001" customHeight="1" x14ac:dyDescent="0.25">
      <c r="A61" s="174">
        <v>5</v>
      </c>
      <c r="B61" s="176" t="s">
        <v>456</v>
      </c>
      <c r="C61" s="176">
        <f>data!C317</f>
        <v>0</v>
      </c>
    </row>
    <row r="62" spans="1:3" ht="20.100000000000001" customHeight="1" x14ac:dyDescent="0.25">
      <c r="A62" s="174">
        <v>6</v>
      </c>
      <c r="B62" s="176" t="s">
        <v>926</v>
      </c>
      <c r="C62" s="176">
        <f>data!C318</f>
        <v>0</v>
      </c>
    </row>
    <row r="63" spans="1:3" ht="20.100000000000001" customHeight="1" x14ac:dyDescent="0.25">
      <c r="A63" s="174">
        <v>7</v>
      </c>
      <c r="B63" s="176" t="s">
        <v>927</v>
      </c>
      <c r="C63" s="176">
        <f>data!C319</f>
        <v>11536657.83</v>
      </c>
    </row>
    <row r="64" spans="1:3" ht="20.100000000000001" customHeight="1" x14ac:dyDescent="0.25">
      <c r="A64" s="174">
        <v>8</v>
      </c>
      <c r="B64" s="176" t="s">
        <v>459</v>
      </c>
      <c r="C64" s="176">
        <f>data!C320</f>
        <v>1400000</v>
      </c>
    </row>
    <row r="65" spans="1:3" ht="20.100000000000001" customHeight="1" x14ac:dyDescent="0.25">
      <c r="A65" s="174">
        <v>9</v>
      </c>
      <c r="B65" s="176" t="s">
        <v>460</v>
      </c>
      <c r="C65" s="176">
        <f>data!C321</f>
        <v>0</v>
      </c>
    </row>
    <row r="66" spans="1:3" ht="20.100000000000001" customHeight="1" x14ac:dyDescent="0.25">
      <c r="A66" s="174">
        <v>10</v>
      </c>
      <c r="B66" s="176" t="s">
        <v>461</v>
      </c>
      <c r="C66" s="176">
        <f>data!C322</f>
        <v>0</v>
      </c>
    </row>
    <row r="67" spans="1:3" ht="20.100000000000001" customHeight="1" x14ac:dyDescent="0.25">
      <c r="A67" s="174">
        <v>11</v>
      </c>
      <c r="B67" s="176" t="s">
        <v>928</v>
      </c>
      <c r="C67" s="176">
        <f>data!C323</f>
        <v>0</v>
      </c>
    </row>
    <row r="68" spans="1:3" ht="20.100000000000001" customHeight="1" x14ac:dyDescent="0.25">
      <c r="A68" s="174">
        <v>12</v>
      </c>
      <c r="B68" s="176" t="s">
        <v>929</v>
      </c>
      <c r="C68" s="176">
        <f>data!D324</f>
        <v>381209355.73999983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930</v>
      </c>
      <c r="C70" s="175"/>
    </row>
    <row r="71" spans="1:3" ht="20.100000000000001" customHeight="1" x14ac:dyDescent="0.25">
      <c r="A71" s="174">
        <v>15</v>
      </c>
      <c r="B71" s="176" t="s">
        <v>465</v>
      </c>
      <c r="C71" s="176">
        <f>data!C326</f>
        <v>0</v>
      </c>
    </row>
    <row r="72" spans="1:3" ht="20.100000000000001" customHeight="1" x14ac:dyDescent="0.25">
      <c r="A72" s="174">
        <v>16</v>
      </c>
      <c r="B72" s="176" t="s">
        <v>931</v>
      </c>
      <c r="C72" s="176">
        <f>data!C327</f>
        <v>0</v>
      </c>
    </row>
    <row r="73" spans="1:3" ht="20.100000000000001" customHeight="1" x14ac:dyDescent="0.25">
      <c r="A73" s="174">
        <v>17</v>
      </c>
      <c r="B73" s="176" t="s">
        <v>467</v>
      </c>
      <c r="C73" s="176">
        <f>data!C328</f>
        <v>0</v>
      </c>
    </row>
    <row r="74" spans="1:3" ht="20.100000000000001" customHeight="1" x14ac:dyDescent="0.25">
      <c r="A74" s="174">
        <v>18</v>
      </c>
      <c r="B74" s="176" t="s">
        <v>932</v>
      </c>
      <c r="C74" s="176">
        <f>data!D329</f>
        <v>0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469</v>
      </c>
      <c r="C76" s="175"/>
    </row>
    <row r="77" spans="1:3" ht="20.100000000000001" customHeight="1" x14ac:dyDescent="0.25">
      <c r="A77" s="174">
        <v>21</v>
      </c>
      <c r="B77" s="176" t="s">
        <v>470</v>
      </c>
      <c r="C77" s="176">
        <f>data!C331</f>
        <v>0</v>
      </c>
    </row>
    <row r="78" spans="1:3" ht="20.100000000000001" customHeight="1" x14ac:dyDescent="0.25">
      <c r="A78" s="174">
        <v>22</v>
      </c>
      <c r="B78" s="176" t="s">
        <v>933</v>
      </c>
      <c r="C78" s="176">
        <f>data!C332</f>
        <v>0</v>
      </c>
    </row>
    <row r="79" spans="1:3" ht="20.100000000000001" customHeight="1" x14ac:dyDescent="0.25">
      <c r="A79" s="174">
        <v>23</v>
      </c>
      <c r="B79" s="176" t="s">
        <v>472</v>
      </c>
      <c r="C79" s="176">
        <f>data!C333</f>
        <v>0</v>
      </c>
    </row>
    <row r="80" spans="1:3" ht="20.100000000000001" customHeight="1" x14ac:dyDescent="0.25">
      <c r="A80" s="174">
        <v>24</v>
      </c>
      <c r="B80" s="176" t="s">
        <v>934</v>
      </c>
      <c r="C80" s="176">
        <f>data!C334</f>
        <v>0</v>
      </c>
    </row>
    <row r="81" spans="1:3" ht="20.100000000000001" customHeight="1" x14ac:dyDescent="0.25">
      <c r="A81" s="174">
        <v>25</v>
      </c>
      <c r="B81" s="176" t="s">
        <v>474</v>
      </c>
      <c r="C81" s="176" t="str">
        <f>data!C335</f>
        <v xml:space="preserve"> </v>
      </c>
    </row>
    <row r="82" spans="1:3" ht="20.100000000000001" customHeight="1" x14ac:dyDescent="0.25">
      <c r="A82" s="174">
        <v>26</v>
      </c>
      <c r="B82" s="176" t="s">
        <v>935</v>
      </c>
      <c r="C82" s="176">
        <f>data!C336</f>
        <v>0</v>
      </c>
    </row>
    <row r="83" spans="1:3" ht="20.100000000000001" customHeight="1" x14ac:dyDescent="0.25">
      <c r="A83" s="174">
        <v>27</v>
      </c>
      <c r="B83" s="176" t="s">
        <v>476</v>
      </c>
      <c r="C83" s="176">
        <f>data!C337</f>
        <v>0</v>
      </c>
    </row>
    <row r="84" spans="1:3" ht="20.100000000000001" customHeight="1" x14ac:dyDescent="0.25">
      <c r="A84" s="174">
        <v>28</v>
      </c>
      <c r="B84" s="176" t="s">
        <v>477</v>
      </c>
      <c r="C84" s="176">
        <f>data!C338</f>
        <v>0</v>
      </c>
    </row>
    <row r="85" spans="1:3" ht="20.100000000000001" customHeight="1" x14ac:dyDescent="0.25">
      <c r="A85" s="174">
        <v>29</v>
      </c>
      <c r="B85" s="176" t="s">
        <v>609</v>
      </c>
      <c r="C85" s="176">
        <f>data!D339</f>
        <v>0</v>
      </c>
    </row>
    <row r="86" spans="1:3" ht="20.100000000000001" customHeight="1" x14ac:dyDescent="0.25">
      <c r="A86" s="174">
        <v>30</v>
      </c>
      <c r="B86" s="176" t="s">
        <v>936</v>
      </c>
      <c r="C86" s="176">
        <f>data!D340</f>
        <v>0</v>
      </c>
    </row>
    <row r="87" spans="1:3" ht="20.100000000000001" customHeight="1" x14ac:dyDescent="0.25">
      <c r="A87" s="174">
        <v>31</v>
      </c>
      <c r="B87" s="176" t="s">
        <v>937</v>
      </c>
      <c r="C87" s="176">
        <f>data!D341</f>
        <v>0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938</v>
      </c>
      <c r="C89" s="176">
        <f>data!C343</f>
        <v>228048124.05000007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939</v>
      </c>
      <c r="C91" s="175"/>
    </row>
    <row r="92" spans="1:3" ht="20.100000000000001" customHeight="1" x14ac:dyDescent="0.25">
      <c r="A92" s="174">
        <v>36</v>
      </c>
      <c r="B92" s="176" t="s">
        <v>481</v>
      </c>
      <c r="C92" s="176">
        <f>data!C345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482</v>
      </c>
      <c r="C94" s="176">
        <f>data!C346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940</v>
      </c>
      <c r="C96" s="176">
        <f>data!C347</f>
        <v>0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941</v>
      </c>
      <c r="C98" s="176">
        <f>data!C348</f>
        <v>0</v>
      </c>
    </row>
    <row r="99" spans="1:3" ht="20.100000000000001" customHeight="1" x14ac:dyDescent="0.25">
      <c r="A99" s="174">
        <v>43</v>
      </c>
      <c r="B99" s="176" t="s">
        <v>942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943</v>
      </c>
      <c r="C101" s="176">
        <f>data!C349</f>
        <v>0</v>
      </c>
    </row>
    <row r="102" spans="1:3" ht="20.100000000000001" customHeight="1" x14ac:dyDescent="0.25">
      <c r="A102" s="174">
        <v>46</v>
      </c>
      <c r="B102" s="176" t="s">
        <v>944</v>
      </c>
      <c r="C102" s="176">
        <f>data!C343+data!C345+data!C346+data!C347+data!C348-data!C349</f>
        <v>228048124.05000007</v>
      </c>
    </row>
    <row r="103" spans="1:3" ht="20.100000000000001" customHeight="1" x14ac:dyDescent="0.25">
      <c r="A103" s="174">
        <v>47</v>
      </c>
      <c r="B103" s="176" t="s">
        <v>945</v>
      </c>
      <c r="C103" s="176">
        <f>data!D352</f>
        <v>609257479.78999996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946</v>
      </c>
      <c r="B106" s="169"/>
      <c r="C106" s="169"/>
    </row>
    <row r="107" spans="1:3" ht="20.100000000000001" customHeight="1" x14ac:dyDescent="0.25">
      <c r="A107" s="170"/>
      <c r="C107" s="94" t="s">
        <v>947</v>
      </c>
    </row>
    <row r="108" spans="1:3" ht="20.100000000000001" customHeight="1" x14ac:dyDescent="0.25">
      <c r="A108" s="120" t="str">
        <f>"Hospital: "&amp;data!C98</f>
        <v>Hospital: Tacoma General / Allenmore</v>
      </c>
      <c r="B108" s="170"/>
      <c r="C108" s="142" t="str">
        <f>"FYE: "&amp;data!C96</f>
        <v>FYE: 12/31/2024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948</v>
      </c>
      <c r="C110" s="175"/>
    </row>
    <row r="111" spans="1:3" ht="20.100000000000001" customHeight="1" x14ac:dyDescent="0.25">
      <c r="A111" s="174">
        <v>2</v>
      </c>
      <c r="B111" s="176" t="s">
        <v>490</v>
      </c>
      <c r="C111" s="176">
        <f>data!C358</f>
        <v>1936975112.7700002</v>
      </c>
    </row>
    <row r="112" spans="1:3" ht="20.100000000000001" customHeight="1" x14ac:dyDescent="0.25">
      <c r="A112" s="174">
        <v>3</v>
      </c>
      <c r="B112" s="176" t="s">
        <v>491</v>
      </c>
      <c r="C112" s="176">
        <f>data!C359</f>
        <v>3284740364.0500002</v>
      </c>
    </row>
    <row r="113" spans="1:3" ht="20.100000000000001" customHeight="1" x14ac:dyDescent="0.25">
      <c r="A113" s="174">
        <v>4</v>
      </c>
      <c r="B113" s="176" t="s">
        <v>949</v>
      </c>
      <c r="C113" s="176">
        <f>data!D360</f>
        <v>5221715476.8200006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950</v>
      </c>
      <c r="C115" s="175"/>
    </row>
    <row r="116" spans="1:3" ht="20.100000000000001" customHeight="1" x14ac:dyDescent="0.25">
      <c r="A116" s="174">
        <v>7</v>
      </c>
      <c r="B116" s="188" t="s">
        <v>951</v>
      </c>
      <c r="C116" s="189">
        <f>data!C362</f>
        <v>30913860.77</v>
      </c>
    </row>
    <row r="117" spans="1:3" ht="20.100000000000001" customHeight="1" x14ac:dyDescent="0.25">
      <c r="A117" s="174">
        <v>8</v>
      </c>
      <c r="B117" s="176" t="s">
        <v>494</v>
      </c>
      <c r="C117" s="189">
        <f>data!C363</f>
        <v>3597348629.5900002</v>
      </c>
    </row>
    <row r="118" spans="1:3" ht="20.100000000000001" customHeight="1" x14ac:dyDescent="0.25">
      <c r="A118" s="174">
        <v>9</v>
      </c>
      <c r="B118" s="176" t="s">
        <v>952</v>
      </c>
      <c r="C118" s="189">
        <f>data!C364</f>
        <v>91878360.609999999</v>
      </c>
    </row>
    <row r="119" spans="1:3" ht="20.100000000000001" customHeight="1" x14ac:dyDescent="0.25">
      <c r="A119" s="174">
        <v>10</v>
      </c>
      <c r="B119" s="176" t="s">
        <v>953</v>
      </c>
      <c r="C119" s="189">
        <f>data!C365</f>
        <v>57896483.950000003</v>
      </c>
    </row>
    <row r="120" spans="1:3" ht="20.100000000000001" customHeight="1" x14ac:dyDescent="0.25">
      <c r="A120" s="174">
        <v>11</v>
      </c>
      <c r="B120" s="176" t="s">
        <v>897</v>
      </c>
      <c r="C120" s="189">
        <f>data!D366</f>
        <v>3778037334.9200001</v>
      </c>
    </row>
    <row r="121" spans="1:3" ht="20.100000000000001" customHeight="1" x14ac:dyDescent="0.25">
      <c r="A121" s="174">
        <v>12</v>
      </c>
      <c r="B121" s="176" t="s">
        <v>954</v>
      </c>
      <c r="C121" s="189">
        <f>data!D367</f>
        <v>1443678141.9000006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498</v>
      </c>
      <c r="C123" s="175"/>
    </row>
    <row r="124" spans="1:3" ht="20.100000000000001" customHeight="1" x14ac:dyDescent="0.25">
      <c r="A124" s="174">
        <v>15</v>
      </c>
      <c r="B124" s="190" t="s">
        <v>499</v>
      </c>
      <c r="C124" s="191"/>
    </row>
    <row r="125" spans="1:3" ht="20.100000000000001" customHeight="1" x14ac:dyDescent="0.25">
      <c r="A125" s="195" t="s">
        <v>955</v>
      </c>
      <c r="B125" s="192" t="s">
        <v>500</v>
      </c>
      <c r="C125" s="191">
        <f>data!C370</f>
        <v>0</v>
      </c>
    </row>
    <row r="126" spans="1:3" ht="20.100000000000001" customHeight="1" x14ac:dyDescent="0.25">
      <c r="A126" s="195" t="s">
        <v>956</v>
      </c>
      <c r="B126" s="192" t="s">
        <v>501</v>
      </c>
      <c r="C126" s="191">
        <f>data!C371</f>
        <v>760215.61</v>
      </c>
    </row>
    <row r="127" spans="1:3" ht="20.100000000000001" customHeight="1" x14ac:dyDescent="0.25">
      <c r="A127" s="195" t="s">
        <v>957</v>
      </c>
      <c r="B127" s="192" t="s">
        <v>502</v>
      </c>
      <c r="C127" s="191">
        <f>data!C372</f>
        <v>0</v>
      </c>
    </row>
    <row r="128" spans="1:3" ht="20.100000000000001" customHeight="1" x14ac:dyDescent="0.25">
      <c r="A128" s="195" t="s">
        <v>958</v>
      </c>
      <c r="B128" s="192" t="s">
        <v>503</v>
      </c>
      <c r="C128" s="191">
        <f>data!C373</f>
        <v>0</v>
      </c>
    </row>
    <row r="129" spans="1:3" ht="20.100000000000001" customHeight="1" x14ac:dyDescent="0.25">
      <c r="A129" s="195" t="s">
        <v>959</v>
      </c>
      <c r="B129" s="192" t="s">
        <v>504</v>
      </c>
      <c r="C129" s="191">
        <f>data!C374</f>
        <v>0</v>
      </c>
    </row>
    <row r="130" spans="1:3" ht="20.100000000000001" customHeight="1" x14ac:dyDescent="0.25">
      <c r="A130" s="195" t="s">
        <v>960</v>
      </c>
      <c r="B130" s="192" t="s">
        <v>505</v>
      </c>
      <c r="C130" s="191">
        <f>data!C375</f>
        <v>0</v>
      </c>
    </row>
    <row r="131" spans="1:3" ht="20.100000000000001" customHeight="1" x14ac:dyDescent="0.25">
      <c r="A131" s="195" t="s">
        <v>961</v>
      </c>
      <c r="B131" s="192" t="s">
        <v>506</v>
      </c>
      <c r="C131" s="191">
        <f>data!C376</f>
        <v>0</v>
      </c>
    </row>
    <row r="132" spans="1:3" ht="20.100000000000001" customHeight="1" x14ac:dyDescent="0.25">
      <c r="A132" s="195" t="s">
        <v>962</v>
      </c>
      <c r="B132" s="192" t="s">
        <v>507</v>
      </c>
      <c r="C132" s="191">
        <f>data!C377</f>
        <v>94968698.75</v>
      </c>
    </row>
    <row r="133" spans="1:3" ht="20.100000000000001" customHeight="1" x14ac:dyDescent="0.25">
      <c r="A133" s="195" t="s">
        <v>963</v>
      </c>
      <c r="B133" s="192" t="s">
        <v>508</v>
      </c>
      <c r="C133" s="191">
        <f>data!C378</f>
        <v>41431.410000000003</v>
      </c>
    </row>
    <row r="134" spans="1:3" ht="20.100000000000001" customHeight="1" x14ac:dyDescent="0.25">
      <c r="A134" s="195" t="s">
        <v>964</v>
      </c>
      <c r="B134" s="192" t="s">
        <v>509</v>
      </c>
      <c r="C134" s="191">
        <f>data!C379</f>
        <v>21636.67</v>
      </c>
    </row>
    <row r="135" spans="1:3" ht="20.100000000000001" customHeight="1" x14ac:dyDescent="0.25">
      <c r="A135" s="195" t="s">
        <v>965</v>
      </c>
      <c r="B135" s="192" t="s">
        <v>510</v>
      </c>
      <c r="C135" s="191">
        <f>data!C380</f>
        <v>6242901.480000007</v>
      </c>
    </row>
    <row r="136" spans="1:3" ht="20.100000000000001" customHeight="1" x14ac:dyDescent="0.25">
      <c r="A136" s="174">
        <v>16</v>
      </c>
      <c r="B136" s="176" t="s">
        <v>512</v>
      </c>
      <c r="C136" s="191">
        <f>data!C381</f>
        <v>0</v>
      </c>
    </row>
    <row r="137" spans="1:3" ht="20.100000000000001" customHeight="1" x14ac:dyDescent="0.25">
      <c r="A137" s="174">
        <v>17</v>
      </c>
      <c r="B137" s="176" t="s">
        <v>966</v>
      </c>
      <c r="C137" s="189">
        <f>data!D383</f>
        <v>102034883.92</v>
      </c>
    </row>
    <row r="138" spans="1:3" ht="20.100000000000001" customHeight="1" x14ac:dyDescent="0.25">
      <c r="A138" s="174">
        <v>18</v>
      </c>
      <c r="B138" s="176" t="s">
        <v>967</v>
      </c>
      <c r="C138" s="189">
        <f>data!D384</f>
        <v>1545713025.8200006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968</v>
      </c>
      <c r="C140" s="175"/>
    </row>
    <row r="141" spans="1:3" ht="20.100000000000001" customHeight="1" x14ac:dyDescent="0.25">
      <c r="A141" s="174">
        <v>21</v>
      </c>
      <c r="B141" s="176" t="s">
        <v>516</v>
      </c>
      <c r="C141" s="189">
        <f>data!C389</f>
        <v>388880579.90000004</v>
      </c>
    </row>
    <row r="142" spans="1:3" ht="20.100000000000001" customHeight="1" x14ac:dyDescent="0.25">
      <c r="A142" s="174">
        <v>22</v>
      </c>
      <c r="B142" s="176" t="s">
        <v>10</v>
      </c>
      <c r="C142" s="189">
        <f>data!C390</f>
        <v>86477483.710000023</v>
      </c>
    </row>
    <row r="143" spans="1:3" ht="20.100000000000001" customHeight="1" x14ac:dyDescent="0.25">
      <c r="A143" s="174">
        <v>23</v>
      </c>
      <c r="B143" s="176" t="s">
        <v>263</v>
      </c>
      <c r="C143" s="189">
        <f>data!C391</f>
        <v>54367529.229999989</v>
      </c>
    </row>
    <row r="144" spans="1:3" ht="20.100000000000001" customHeight="1" x14ac:dyDescent="0.25">
      <c r="A144" s="174">
        <v>24</v>
      </c>
      <c r="B144" s="176" t="s">
        <v>264</v>
      </c>
      <c r="C144" s="189">
        <f>data!C392</f>
        <v>348030151.14999992</v>
      </c>
    </row>
    <row r="145" spans="1:3" ht="20.100000000000001" customHeight="1" x14ac:dyDescent="0.25">
      <c r="A145" s="174">
        <v>25</v>
      </c>
      <c r="B145" s="176" t="s">
        <v>969</v>
      </c>
      <c r="C145" s="189">
        <f>data!C393</f>
        <v>0</v>
      </c>
    </row>
    <row r="146" spans="1:3" ht="20.100000000000001" customHeight="1" x14ac:dyDescent="0.25">
      <c r="A146" s="174">
        <v>26</v>
      </c>
      <c r="B146" s="176" t="s">
        <v>970</v>
      </c>
      <c r="C146" s="189">
        <f>data!C394</f>
        <v>319683489.1699999</v>
      </c>
    </row>
    <row r="147" spans="1:3" ht="20.100000000000001" customHeight="1" x14ac:dyDescent="0.25">
      <c r="A147" s="174">
        <v>27</v>
      </c>
      <c r="B147" s="176" t="s">
        <v>15</v>
      </c>
      <c r="C147" s="189">
        <f>data!C395</f>
        <v>20429356.149999999</v>
      </c>
    </row>
    <row r="148" spans="1:3" ht="20.100000000000001" customHeight="1" x14ac:dyDescent="0.25">
      <c r="A148" s="174">
        <v>28</v>
      </c>
      <c r="B148" s="176" t="s">
        <v>971</v>
      </c>
      <c r="C148" s="189">
        <f>data!C396</f>
        <v>9920201.3200000003</v>
      </c>
    </row>
    <row r="149" spans="1:3" ht="20.100000000000001" customHeight="1" x14ac:dyDescent="0.25">
      <c r="A149" s="174">
        <v>29</v>
      </c>
      <c r="B149" s="176" t="s">
        <v>521</v>
      </c>
      <c r="C149" s="189">
        <f>data!C397</f>
        <v>0</v>
      </c>
    </row>
    <row r="150" spans="1:3" ht="20.100000000000001" customHeight="1" x14ac:dyDescent="0.25">
      <c r="A150" s="174">
        <v>30</v>
      </c>
      <c r="B150" s="176" t="s">
        <v>972</v>
      </c>
      <c r="C150" s="189">
        <f>data!C398</f>
        <v>0</v>
      </c>
    </row>
    <row r="151" spans="1:3" ht="20.100000000000001" customHeight="1" x14ac:dyDescent="0.25">
      <c r="A151" s="174">
        <v>31</v>
      </c>
      <c r="B151" s="176" t="s">
        <v>523</v>
      </c>
      <c r="C151" s="189">
        <f>data!C399</f>
        <v>17999065.68</v>
      </c>
    </row>
    <row r="152" spans="1:3" ht="20.100000000000001" customHeight="1" x14ac:dyDescent="0.25">
      <c r="A152" s="174">
        <v>32</v>
      </c>
      <c r="B152" s="176" t="s">
        <v>268</v>
      </c>
      <c r="C152" s="189"/>
    </row>
    <row r="153" spans="1:3" ht="20.100000000000001" customHeight="1" x14ac:dyDescent="0.25">
      <c r="A153" s="195" t="s">
        <v>973</v>
      </c>
      <c r="B153" s="193" t="s">
        <v>269</v>
      </c>
      <c r="C153" s="189">
        <f>data!C401</f>
        <v>3941235.93</v>
      </c>
    </row>
    <row r="154" spans="1:3" ht="20.100000000000001" customHeight="1" x14ac:dyDescent="0.25">
      <c r="A154" s="195" t="s">
        <v>974</v>
      </c>
      <c r="B154" s="193" t="s">
        <v>270</v>
      </c>
      <c r="C154" s="189">
        <f>data!C402</f>
        <v>29285977.43</v>
      </c>
    </row>
    <row r="155" spans="1:3" ht="20.100000000000001" customHeight="1" x14ac:dyDescent="0.25">
      <c r="A155" s="195" t="s">
        <v>975</v>
      </c>
      <c r="B155" s="193" t="s">
        <v>976</v>
      </c>
      <c r="C155" s="189">
        <f>data!C403</f>
        <v>2062320.1000000006</v>
      </c>
    </row>
    <row r="156" spans="1:3" ht="20.100000000000001" customHeight="1" x14ac:dyDescent="0.25">
      <c r="A156" s="195" t="s">
        <v>977</v>
      </c>
      <c r="B156" s="193" t="s">
        <v>272</v>
      </c>
      <c r="C156" s="189">
        <f>data!C404</f>
        <v>14844643.010000002</v>
      </c>
    </row>
    <row r="157" spans="1:3" ht="20.100000000000001" customHeight="1" x14ac:dyDescent="0.25">
      <c r="A157" s="195" t="s">
        <v>978</v>
      </c>
      <c r="B157" s="193" t="s">
        <v>273</v>
      </c>
      <c r="C157" s="189">
        <f>data!C405</f>
        <v>2737088.18</v>
      </c>
    </row>
    <row r="158" spans="1:3" ht="20.100000000000001" customHeight="1" x14ac:dyDescent="0.25">
      <c r="A158" s="195" t="s">
        <v>979</v>
      </c>
      <c r="B158" s="193" t="s">
        <v>274</v>
      </c>
      <c r="C158" s="189">
        <f>data!C406</f>
        <v>58783.819999999992</v>
      </c>
    </row>
    <row r="159" spans="1:3" ht="20.100000000000001" customHeight="1" x14ac:dyDescent="0.25">
      <c r="A159" s="195" t="s">
        <v>980</v>
      </c>
      <c r="B159" s="193" t="s">
        <v>275</v>
      </c>
      <c r="C159" s="189">
        <f>data!C407</f>
        <v>0</v>
      </c>
    </row>
    <row r="160" spans="1:3" ht="20.100000000000001" customHeight="1" x14ac:dyDescent="0.25">
      <c r="A160" s="195" t="s">
        <v>981</v>
      </c>
      <c r="B160" s="193" t="s">
        <v>276</v>
      </c>
      <c r="C160" s="189">
        <f>data!C408</f>
        <v>3856213.5400000005</v>
      </c>
    </row>
    <row r="161" spans="1:3" ht="20.100000000000001" customHeight="1" x14ac:dyDescent="0.25">
      <c r="A161" s="195" t="s">
        <v>982</v>
      </c>
      <c r="B161" s="193" t="s">
        <v>277</v>
      </c>
      <c r="C161" s="189">
        <f>data!C409</f>
        <v>115737946.38</v>
      </c>
    </row>
    <row r="162" spans="1:3" ht="20.100000000000001" customHeight="1" x14ac:dyDescent="0.25">
      <c r="A162" s="195" t="s">
        <v>983</v>
      </c>
      <c r="B162" s="193" t="s">
        <v>278</v>
      </c>
      <c r="C162" s="189">
        <f>data!C410</f>
        <v>35546.700000000004</v>
      </c>
    </row>
    <row r="163" spans="1:3" ht="20.100000000000001" customHeight="1" x14ac:dyDescent="0.25">
      <c r="A163" s="195" t="s">
        <v>984</v>
      </c>
      <c r="B163" s="193" t="s">
        <v>279</v>
      </c>
      <c r="C163" s="189">
        <f>data!C411</f>
        <v>340197.72</v>
      </c>
    </row>
    <row r="164" spans="1:3" ht="20.100000000000001" customHeight="1" x14ac:dyDescent="0.25">
      <c r="A164" s="195" t="s">
        <v>985</v>
      </c>
      <c r="B164" s="193" t="s">
        <v>280</v>
      </c>
      <c r="C164" s="189">
        <f>data!C412</f>
        <v>9217339.6500000004</v>
      </c>
    </row>
    <row r="165" spans="1:3" ht="20.100000000000001" customHeight="1" x14ac:dyDescent="0.25">
      <c r="A165" s="195" t="s">
        <v>986</v>
      </c>
      <c r="B165" s="193" t="s">
        <v>281</v>
      </c>
      <c r="C165" s="189">
        <f>data!C413</f>
        <v>2364916.7600000007</v>
      </c>
    </row>
    <row r="166" spans="1:3" ht="20.100000000000001" customHeight="1" x14ac:dyDescent="0.25">
      <c r="A166" s="195" t="s">
        <v>987</v>
      </c>
      <c r="B166" s="193" t="s">
        <v>988</v>
      </c>
      <c r="C166" s="189">
        <f>data!C414</f>
        <v>62723646.440000013</v>
      </c>
    </row>
    <row r="167" spans="1:3" ht="20.100000000000001" customHeight="1" x14ac:dyDescent="0.25">
      <c r="A167" s="174">
        <v>34</v>
      </c>
      <c r="B167" s="176" t="s">
        <v>989</v>
      </c>
      <c r="C167" s="189">
        <f>data!D416</f>
        <v>1492993711.9699998</v>
      </c>
    </row>
    <row r="168" spans="1:3" ht="20.100000000000001" customHeight="1" x14ac:dyDescent="0.25">
      <c r="A168" s="174">
        <v>35</v>
      </c>
      <c r="B168" s="176" t="s">
        <v>990</v>
      </c>
      <c r="C168" s="189">
        <f>data!D417</f>
        <v>52719313.850000858</v>
      </c>
    </row>
    <row r="169" spans="1:3" ht="20.100000000000001" customHeight="1" x14ac:dyDescent="0.25">
      <c r="A169" s="174">
        <v>36</v>
      </c>
      <c r="B169" s="178"/>
      <c r="C169" s="176"/>
    </row>
    <row r="170" spans="1:3" ht="20.100000000000001" customHeight="1" x14ac:dyDescent="0.25">
      <c r="A170" s="174">
        <v>37</v>
      </c>
      <c r="B170" s="176" t="s">
        <v>991</v>
      </c>
      <c r="C170" s="189">
        <f>data!D420</f>
        <v>0</v>
      </c>
    </row>
    <row r="171" spans="1:3" ht="20.100000000000001" customHeight="1" x14ac:dyDescent="0.25">
      <c r="A171" s="174">
        <v>38</v>
      </c>
      <c r="B171" s="178"/>
      <c r="C171" s="176"/>
    </row>
    <row r="172" spans="1:3" ht="20.100000000000001" customHeight="1" x14ac:dyDescent="0.25">
      <c r="A172" s="174">
        <v>39</v>
      </c>
      <c r="B172" s="176" t="s">
        <v>992</v>
      </c>
      <c r="C172" s="176">
        <f>data!D421</f>
        <v>52719313.850000858</v>
      </c>
    </row>
    <row r="173" spans="1:3" ht="20.100000000000001" customHeight="1" x14ac:dyDescent="0.25">
      <c r="A173" s="174">
        <v>40</v>
      </c>
      <c r="B173" s="178"/>
      <c r="C173" s="176"/>
    </row>
    <row r="174" spans="1:3" ht="20.100000000000001" customHeight="1" x14ac:dyDescent="0.25">
      <c r="A174" s="174">
        <v>41</v>
      </c>
      <c r="B174" s="176" t="s">
        <v>993</v>
      </c>
      <c r="C174" s="189">
        <f>data!C422</f>
        <v>0</v>
      </c>
    </row>
    <row r="175" spans="1:3" ht="20.100000000000001" customHeight="1" x14ac:dyDescent="0.25">
      <c r="A175" s="174">
        <v>42</v>
      </c>
      <c r="B175" s="176" t="s">
        <v>994</v>
      </c>
      <c r="C175" s="189">
        <f>data!C423</f>
        <v>0</v>
      </c>
    </row>
    <row r="176" spans="1:3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995</v>
      </c>
      <c r="C177" s="189">
        <f>data!D424</f>
        <v>52719313.850000858</v>
      </c>
    </row>
    <row r="178" spans="1:3" ht="20.100000000000001" customHeight="1" x14ac:dyDescent="0.25">
      <c r="A178" s="179">
        <v>45</v>
      </c>
      <c r="B178" s="178" t="s">
        <v>996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88671875" defaultRowHeight="20.100000000000001" customHeight="1" x14ac:dyDescent="0.2"/>
  <cols>
    <col min="1" max="1" width="5.77734375" style="233" customWidth="1"/>
    <col min="2" max="2" width="22.44140625" style="233" customWidth="1"/>
    <col min="3" max="8" width="13.77734375" style="233" customWidth="1"/>
    <col min="9" max="9" width="15.77734375" style="233" customWidth="1"/>
    <col min="10" max="13" width="8.88671875" style="233" customWidth="1"/>
    <col min="14" max="16384" width="8.88671875" style="233"/>
  </cols>
  <sheetData>
    <row r="1" spans="1:9" ht="20.100000000000001" customHeight="1" x14ac:dyDescent="0.2">
      <c r="A1" s="231" t="s">
        <v>997</v>
      </c>
      <c r="B1" s="232"/>
      <c r="C1" s="232"/>
      <c r="D1" s="232"/>
      <c r="E1" s="232"/>
      <c r="F1" s="232"/>
      <c r="G1" s="232"/>
      <c r="H1" s="232"/>
    </row>
    <row r="2" spans="1:9" ht="20.100000000000001" customHeight="1" x14ac:dyDescent="0.2">
      <c r="A2" s="234"/>
      <c r="I2" s="235" t="s">
        <v>998</v>
      </c>
    </row>
    <row r="3" spans="1:9" ht="20.100000000000001" customHeight="1" x14ac:dyDescent="0.2">
      <c r="A3" s="234"/>
      <c r="I3" s="234"/>
    </row>
    <row r="4" spans="1:9" ht="20.100000000000001" customHeight="1" x14ac:dyDescent="0.2">
      <c r="A4" s="236" t="str">
        <f>"Hospital: "&amp;data!C98</f>
        <v>Hospital: Tacoma General / Allenmore</v>
      </c>
      <c r="G4" s="237"/>
      <c r="H4" s="236" t="str">
        <f>"FYE: "&amp;data!C96</f>
        <v>FYE: 12/31/2024</v>
      </c>
    </row>
    <row r="5" spans="1:9" ht="20.100000000000001" customHeight="1" x14ac:dyDescent="0.2">
      <c r="A5" s="230">
        <v>1</v>
      </c>
      <c r="B5" s="238" t="s">
        <v>235</v>
      </c>
      <c r="C5" s="239" t="s">
        <v>35</v>
      </c>
      <c r="D5" s="240" t="s">
        <v>36</v>
      </c>
      <c r="E5" s="240" t="s">
        <v>37</v>
      </c>
      <c r="F5" s="240" t="s">
        <v>38</v>
      </c>
      <c r="G5" s="240" t="s">
        <v>39</v>
      </c>
      <c r="H5" s="240" t="s">
        <v>40</v>
      </c>
      <c r="I5" s="240" t="s">
        <v>41</v>
      </c>
    </row>
    <row r="6" spans="1:9" ht="20.100000000000001" customHeight="1" x14ac:dyDescent="0.2">
      <c r="A6" s="241">
        <v>2</v>
      </c>
      <c r="B6" s="242" t="s">
        <v>999</v>
      </c>
      <c r="C6" s="243" t="s">
        <v>117</v>
      </c>
      <c r="D6" s="244" t="s">
        <v>1000</v>
      </c>
      <c r="E6" s="244" t="s">
        <v>119</v>
      </c>
      <c r="F6" s="244" t="s">
        <v>120</v>
      </c>
      <c r="G6" s="244" t="s">
        <v>121</v>
      </c>
      <c r="H6" s="244" t="s">
        <v>122</v>
      </c>
      <c r="I6" s="244" t="s">
        <v>123</v>
      </c>
    </row>
    <row r="7" spans="1:9" ht="20.100000000000001" customHeight="1" x14ac:dyDescent="0.2">
      <c r="A7" s="241"/>
      <c r="B7" s="242"/>
      <c r="C7" s="244" t="s">
        <v>189</v>
      </c>
      <c r="D7" s="244" t="s">
        <v>1001</v>
      </c>
      <c r="E7" s="244" t="s">
        <v>189</v>
      </c>
      <c r="F7" s="244" t="s">
        <v>1002</v>
      </c>
      <c r="G7" s="244" t="s">
        <v>191</v>
      </c>
      <c r="H7" s="244" t="s">
        <v>189</v>
      </c>
      <c r="I7" s="244" t="s">
        <v>192</v>
      </c>
    </row>
    <row r="8" spans="1:9" ht="20.100000000000001" customHeight="1" x14ac:dyDescent="0.2">
      <c r="A8" s="230">
        <v>3</v>
      </c>
      <c r="B8" s="238" t="s">
        <v>1003</v>
      </c>
      <c r="C8" s="240" t="s">
        <v>241</v>
      </c>
      <c r="D8" s="240" t="s">
        <v>241</v>
      </c>
      <c r="E8" s="240" t="s">
        <v>241</v>
      </c>
      <c r="F8" s="240" t="s">
        <v>241</v>
      </c>
      <c r="G8" s="240" t="s">
        <v>241</v>
      </c>
      <c r="H8" s="240" t="s">
        <v>241</v>
      </c>
      <c r="I8" s="240" t="s">
        <v>241</v>
      </c>
    </row>
    <row r="9" spans="1:9" ht="20.100000000000001" customHeight="1" x14ac:dyDescent="0.2">
      <c r="A9" s="230">
        <v>4</v>
      </c>
      <c r="B9" s="238" t="s">
        <v>260</v>
      </c>
      <c r="C9" s="238">
        <f>data!C59</f>
        <v>65197</v>
      </c>
      <c r="D9" s="238">
        <f>data!D59</f>
        <v>30173</v>
      </c>
      <c r="E9" s="238">
        <f>data!E59</f>
        <v>7524</v>
      </c>
      <c r="F9" s="238">
        <f>data!F59</f>
        <v>9241</v>
      </c>
      <c r="G9" s="238">
        <f>data!G59</f>
        <v>0</v>
      </c>
      <c r="H9" s="238">
        <f>data!H59</f>
        <v>7066</v>
      </c>
      <c r="I9" s="238">
        <f>data!I59</f>
        <v>0</v>
      </c>
    </row>
    <row r="10" spans="1:9" ht="20.100000000000001" customHeight="1" x14ac:dyDescent="0.2">
      <c r="A10" s="230">
        <v>5</v>
      </c>
      <c r="B10" s="238" t="s">
        <v>261</v>
      </c>
      <c r="C10" s="245">
        <f>data!C60</f>
        <v>589</v>
      </c>
      <c r="D10" s="245">
        <f>data!D60</f>
        <v>446</v>
      </c>
      <c r="E10" s="245">
        <f>data!E60</f>
        <v>95</v>
      </c>
      <c r="F10" s="245">
        <f>data!F60</f>
        <v>62</v>
      </c>
      <c r="G10" s="245">
        <f>data!G60</f>
        <v>0</v>
      </c>
      <c r="H10" s="245">
        <f>data!H60</f>
        <v>86</v>
      </c>
      <c r="I10" s="245">
        <f>data!I60</f>
        <v>0</v>
      </c>
    </row>
    <row r="11" spans="1:9" ht="20.100000000000001" customHeight="1" x14ac:dyDescent="0.2">
      <c r="A11" s="230">
        <v>6</v>
      </c>
      <c r="B11" s="238" t="s">
        <v>262</v>
      </c>
      <c r="C11" s="238">
        <f>data!C61</f>
        <v>63438896.110000007</v>
      </c>
      <c r="D11" s="238">
        <f>data!D61</f>
        <v>61184402.370000005</v>
      </c>
      <c r="E11" s="238">
        <f>data!E61</f>
        <v>13351850.540000003</v>
      </c>
      <c r="F11" s="238">
        <f>data!F61</f>
        <v>5772018.3999999994</v>
      </c>
      <c r="G11" s="238">
        <f>data!G61</f>
        <v>0</v>
      </c>
      <c r="H11" s="238">
        <f>data!H61</f>
        <v>7228270.4000000004</v>
      </c>
      <c r="I11" s="238">
        <f>data!I61</f>
        <v>0</v>
      </c>
    </row>
    <row r="12" spans="1:9" ht="20.100000000000001" customHeight="1" x14ac:dyDescent="0.2">
      <c r="A12" s="230">
        <v>7</v>
      </c>
      <c r="B12" s="238" t="s">
        <v>10</v>
      </c>
      <c r="C12" s="238">
        <f>data!C62</f>
        <v>14429986</v>
      </c>
      <c r="D12" s="238">
        <f>data!D62</f>
        <v>11056411</v>
      </c>
      <c r="E12" s="238">
        <f>data!E62</f>
        <v>2204547</v>
      </c>
      <c r="F12" s="238">
        <f>data!F62</f>
        <v>1276363</v>
      </c>
      <c r="G12" s="238">
        <f>data!G62</f>
        <v>0</v>
      </c>
      <c r="H12" s="238">
        <f>data!H62</f>
        <v>1628943</v>
      </c>
      <c r="I12" s="238">
        <f>data!I62</f>
        <v>0</v>
      </c>
    </row>
    <row r="13" spans="1:9" ht="20.100000000000001" customHeight="1" x14ac:dyDescent="0.2">
      <c r="A13" s="230">
        <v>8</v>
      </c>
      <c r="B13" s="238" t="s">
        <v>263</v>
      </c>
      <c r="C13" s="238">
        <f>data!C63</f>
        <v>11861637.1</v>
      </c>
      <c r="D13" s="238">
        <f>data!D63</f>
        <v>479237.62</v>
      </c>
      <c r="E13" s="238">
        <f>data!E63</f>
        <v>-228209.25999999998</v>
      </c>
      <c r="F13" s="238">
        <f>data!F63</f>
        <v>205508.81</v>
      </c>
      <c r="G13" s="238">
        <f>data!G63</f>
        <v>0</v>
      </c>
      <c r="H13" s="238">
        <f>data!H63</f>
        <v>1060330.8</v>
      </c>
      <c r="I13" s="238">
        <f>data!I63</f>
        <v>0</v>
      </c>
    </row>
    <row r="14" spans="1:9" ht="20.100000000000001" customHeight="1" x14ac:dyDescent="0.2">
      <c r="A14" s="230">
        <v>9</v>
      </c>
      <c r="B14" s="238" t="s">
        <v>264</v>
      </c>
      <c r="C14" s="238">
        <f>data!C64</f>
        <v>7091508.9799999986</v>
      </c>
      <c r="D14" s="238">
        <f>data!D64</f>
        <v>29537114.310000002</v>
      </c>
      <c r="E14" s="238">
        <f>data!E64</f>
        <v>1749907.69</v>
      </c>
      <c r="F14" s="238">
        <f>data!F64</f>
        <v>287181.73</v>
      </c>
      <c r="G14" s="238">
        <f>data!G64</f>
        <v>0</v>
      </c>
      <c r="H14" s="238">
        <f>data!H64</f>
        <v>86987.18</v>
      </c>
      <c r="I14" s="238">
        <f>data!I64</f>
        <v>0</v>
      </c>
    </row>
    <row r="15" spans="1:9" ht="20.100000000000001" customHeight="1" x14ac:dyDescent="0.2">
      <c r="A15" s="230">
        <v>10</v>
      </c>
      <c r="B15" s="238" t="s">
        <v>518</v>
      </c>
      <c r="C15" s="238">
        <f>data!C65</f>
        <v>0</v>
      </c>
      <c r="D15" s="238">
        <f>data!D65</f>
        <v>0</v>
      </c>
      <c r="E15" s="238">
        <f>data!E65</f>
        <v>0</v>
      </c>
      <c r="F15" s="238">
        <f>data!F65</f>
        <v>0</v>
      </c>
      <c r="G15" s="238">
        <f>data!G65</f>
        <v>0</v>
      </c>
      <c r="H15" s="238">
        <f>data!H65</f>
        <v>0</v>
      </c>
      <c r="I15" s="238">
        <f>data!I65</f>
        <v>0</v>
      </c>
    </row>
    <row r="16" spans="1:9" ht="20.100000000000001" customHeight="1" x14ac:dyDescent="0.2">
      <c r="A16" s="230">
        <v>11</v>
      </c>
      <c r="B16" s="238" t="s">
        <v>519</v>
      </c>
      <c r="C16" s="238">
        <f>data!C66</f>
        <v>36596690.650000006</v>
      </c>
      <c r="D16" s="238">
        <f>data!D66</f>
        <v>31249635.809999999</v>
      </c>
      <c r="E16" s="238">
        <f>data!E66</f>
        <v>1160203.24</v>
      </c>
      <c r="F16" s="238">
        <f>data!F66</f>
        <v>2860396.77</v>
      </c>
      <c r="G16" s="238">
        <f>data!G66</f>
        <v>0</v>
      </c>
      <c r="H16" s="238">
        <f>data!H66</f>
        <v>2477743.9700000002</v>
      </c>
      <c r="I16" s="238">
        <f>data!I66</f>
        <v>0</v>
      </c>
    </row>
    <row r="17" spans="1:9" ht="20.100000000000001" customHeight="1" x14ac:dyDescent="0.2">
      <c r="A17" s="230">
        <v>12</v>
      </c>
      <c r="B17" s="238" t="s">
        <v>15</v>
      </c>
      <c r="C17" s="238">
        <f>data!C67</f>
        <v>2357155</v>
      </c>
      <c r="D17" s="238">
        <f>data!D67</f>
        <v>2913989</v>
      </c>
      <c r="E17" s="238">
        <f>data!E67</f>
        <v>415670</v>
      </c>
      <c r="F17" s="238">
        <f>data!F67</f>
        <v>1972</v>
      </c>
      <c r="G17" s="238">
        <f>data!G67</f>
        <v>0</v>
      </c>
      <c r="H17" s="238">
        <f>data!H67</f>
        <v>230018</v>
      </c>
      <c r="I17" s="238">
        <f>data!I67</f>
        <v>0</v>
      </c>
    </row>
    <row r="18" spans="1:9" ht="20.100000000000001" customHeight="1" x14ac:dyDescent="0.2">
      <c r="A18" s="230">
        <v>13</v>
      </c>
      <c r="B18" s="238" t="s">
        <v>1004</v>
      </c>
      <c r="C18" s="238">
        <f>data!C68</f>
        <v>197664.13999999998</v>
      </c>
      <c r="D18" s="238">
        <f>data!D68</f>
        <v>539189.39</v>
      </c>
      <c r="E18" s="238">
        <f>data!E68</f>
        <v>34638.06</v>
      </c>
      <c r="F18" s="238">
        <f>data!F68</f>
        <v>0</v>
      </c>
      <c r="G18" s="238">
        <f>data!G68</f>
        <v>0</v>
      </c>
      <c r="H18" s="238">
        <f>data!H68</f>
        <v>112201.27</v>
      </c>
      <c r="I18" s="238">
        <f>data!I68</f>
        <v>0</v>
      </c>
    </row>
    <row r="19" spans="1:9" ht="20.100000000000001" customHeight="1" x14ac:dyDescent="0.2">
      <c r="A19" s="230">
        <v>14</v>
      </c>
      <c r="B19" s="238" t="s">
        <v>1005</v>
      </c>
      <c r="C19" s="238">
        <f>data!C69</f>
        <v>9710809.2300000023</v>
      </c>
      <c r="D19" s="238">
        <f>data!D69</f>
        <v>11250816.82</v>
      </c>
      <c r="E19" s="238">
        <f>data!E69</f>
        <v>-988747.41999999981</v>
      </c>
      <c r="F19" s="238">
        <f>data!F69</f>
        <v>409497.14</v>
      </c>
      <c r="G19" s="238">
        <f>data!G69</f>
        <v>0</v>
      </c>
      <c r="H19" s="238">
        <f>data!H69</f>
        <v>1288631.8899999999</v>
      </c>
      <c r="I19" s="238">
        <f>data!I69</f>
        <v>0</v>
      </c>
    </row>
    <row r="20" spans="1:9" ht="20.100000000000001" customHeight="1" x14ac:dyDescent="0.2">
      <c r="A20" s="230">
        <v>15</v>
      </c>
      <c r="B20" s="238" t="s">
        <v>283</v>
      </c>
      <c r="C20" s="238">
        <f>-data!C84</f>
        <v>-21870.21</v>
      </c>
      <c r="D20" s="238">
        <f>-data!D84</f>
        <v>-29757.069999999996</v>
      </c>
      <c r="E20" s="238">
        <f>-data!E84</f>
        <v>-11625.6</v>
      </c>
      <c r="F20" s="238">
        <f>-data!F84</f>
        <v>-4906</v>
      </c>
      <c r="G20" s="238">
        <f>-data!G84</f>
        <v>0</v>
      </c>
      <c r="H20" s="238">
        <f>-data!H84</f>
        <v>-61990.930000000008</v>
      </c>
      <c r="I20" s="238">
        <f>-data!I84</f>
        <v>0</v>
      </c>
    </row>
    <row r="21" spans="1:9" ht="20.100000000000001" customHeight="1" x14ac:dyDescent="0.2">
      <c r="A21" s="230">
        <v>16</v>
      </c>
      <c r="B21" s="246" t="s">
        <v>1006</v>
      </c>
      <c r="C21" s="238">
        <f>data!C85</f>
        <v>145662477</v>
      </c>
      <c r="D21" s="238">
        <f>data!D85</f>
        <v>148181039.25</v>
      </c>
      <c r="E21" s="238">
        <f>data!E85</f>
        <v>17688234.25</v>
      </c>
      <c r="F21" s="238">
        <f>data!F85</f>
        <v>10808031.85</v>
      </c>
      <c r="G21" s="238">
        <f>data!G85</f>
        <v>0</v>
      </c>
      <c r="H21" s="238">
        <f>data!H85</f>
        <v>14051135.580000002</v>
      </c>
      <c r="I21" s="238">
        <f>data!I85</f>
        <v>0</v>
      </c>
    </row>
    <row r="22" spans="1:9" ht="20.100000000000001" customHeight="1" x14ac:dyDescent="0.2">
      <c r="A22" s="230">
        <v>17</v>
      </c>
      <c r="B22" s="238" t="s">
        <v>285</v>
      </c>
      <c r="C22" s="247"/>
      <c r="D22" s="248"/>
      <c r="E22" s="248"/>
      <c r="F22" s="248"/>
      <c r="G22" s="248"/>
      <c r="H22" s="248"/>
      <c r="I22" s="248"/>
    </row>
    <row r="23" spans="1:9" ht="20.100000000000001" customHeight="1" x14ac:dyDescent="0.2">
      <c r="A23" s="230">
        <v>18</v>
      </c>
      <c r="B23" s="238" t="s">
        <v>1007</v>
      </c>
      <c r="C23" s="246">
        <f>+data!M668</f>
        <v>23096904</v>
      </c>
      <c r="D23" s="246">
        <f>+data!M669</f>
        <v>23852260</v>
      </c>
      <c r="E23" s="246">
        <f>+data!M670</f>
        <v>2886788</v>
      </c>
      <c r="F23" s="246">
        <f>+data!M671</f>
        <v>1728820</v>
      </c>
      <c r="G23" s="246">
        <f>+data!M672</f>
        <v>0</v>
      </c>
      <c r="H23" s="246">
        <f>+data!M673</f>
        <v>2271579</v>
      </c>
      <c r="I23" s="246">
        <f>+data!M674</f>
        <v>0</v>
      </c>
    </row>
    <row r="24" spans="1:9" ht="20.100000000000001" customHeight="1" x14ac:dyDescent="0.2">
      <c r="A24" s="230">
        <v>19</v>
      </c>
      <c r="B24" s="246" t="s">
        <v>1008</v>
      </c>
      <c r="C24" s="238">
        <f>data!C87</f>
        <v>303319734.18000001</v>
      </c>
      <c r="D24" s="238">
        <f>data!D87</f>
        <v>226644640.74000001</v>
      </c>
      <c r="E24" s="238">
        <f>data!E87</f>
        <v>7059795.3499999996</v>
      </c>
      <c r="F24" s="238">
        <f>data!F87</f>
        <v>26895778</v>
      </c>
      <c r="G24" s="238">
        <f>data!G87</f>
        <v>0</v>
      </c>
      <c r="H24" s="238">
        <f>data!H87</f>
        <v>46883912</v>
      </c>
      <c r="I24" s="238">
        <f>data!I87</f>
        <v>0</v>
      </c>
    </row>
    <row r="25" spans="1:9" ht="20.100000000000001" customHeight="1" x14ac:dyDescent="0.2">
      <c r="A25" s="230">
        <v>20</v>
      </c>
      <c r="B25" s="246" t="s">
        <v>1009</v>
      </c>
      <c r="C25" s="238">
        <f>data!C88</f>
        <v>21150937.25</v>
      </c>
      <c r="D25" s="238">
        <f>data!D88</f>
        <v>400114106.77999997</v>
      </c>
      <c r="E25" s="238">
        <f>data!E88</f>
        <v>47963673.890000001</v>
      </c>
      <c r="F25" s="238">
        <f>data!F88</f>
        <v>12138</v>
      </c>
      <c r="G25" s="238">
        <f>data!G88</f>
        <v>0</v>
      </c>
      <c r="H25" s="238">
        <f>data!H88</f>
        <v>4024280.23</v>
      </c>
      <c r="I25" s="238">
        <f>data!I88</f>
        <v>0</v>
      </c>
    </row>
    <row r="26" spans="1:9" ht="18" customHeight="1" x14ac:dyDescent="0.2">
      <c r="A26" s="230">
        <v>21</v>
      </c>
      <c r="B26" s="246" t="s">
        <v>1010</v>
      </c>
      <c r="C26" s="238">
        <f>data!C89</f>
        <v>324470671.43000001</v>
      </c>
      <c r="D26" s="238">
        <f>data!D89</f>
        <v>626758747.51999998</v>
      </c>
      <c r="E26" s="238">
        <f>data!E89</f>
        <v>55023469.240000002</v>
      </c>
      <c r="F26" s="238">
        <f>data!F89</f>
        <v>26907916</v>
      </c>
      <c r="G26" s="238">
        <f>data!G89</f>
        <v>0</v>
      </c>
      <c r="H26" s="238">
        <f>data!H89</f>
        <v>50908192.229999997</v>
      </c>
      <c r="I26" s="238">
        <f>data!I89</f>
        <v>0</v>
      </c>
    </row>
    <row r="27" spans="1:9" ht="20.100000000000001" customHeight="1" x14ac:dyDescent="0.2">
      <c r="A27" s="230" t="s">
        <v>1011</v>
      </c>
      <c r="B27" s="238"/>
      <c r="C27" s="248"/>
      <c r="D27" s="248"/>
      <c r="E27" s="248"/>
      <c r="F27" s="248"/>
      <c r="G27" s="248"/>
      <c r="H27" s="248"/>
      <c r="I27" s="248"/>
    </row>
    <row r="28" spans="1:9" ht="20.100000000000001" customHeight="1" x14ac:dyDescent="0.2">
      <c r="A28" s="230">
        <v>22</v>
      </c>
      <c r="B28" s="238" t="s">
        <v>1012</v>
      </c>
      <c r="C28" s="238">
        <f>data!C90</f>
        <v>74017.170000000027</v>
      </c>
      <c r="D28" s="238">
        <f>data!D90</f>
        <v>9879.255000000001</v>
      </c>
      <c r="E28" s="238">
        <f>data!E90</f>
        <v>41580.599999999991</v>
      </c>
      <c r="F28" s="238">
        <f>data!F90</f>
        <v>0</v>
      </c>
      <c r="G28" s="238">
        <f>data!G90</f>
        <v>0</v>
      </c>
      <c r="H28" s="238">
        <f>data!H90</f>
        <v>15030.029999999993</v>
      </c>
      <c r="I28" s="238">
        <f>data!I90</f>
        <v>0</v>
      </c>
    </row>
    <row r="29" spans="1:9" ht="20.100000000000001" customHeight="1" x14ac:dyDescent="0.2">
      <c r="A29" s="230">
        <v>23</v>
      </c>
      <c r="B29" s="238" t="s">
        <v>1013</v>
      </c>
      <c r="C29" s="238">
        <f>data!C91</f>
        <v>65516.395661643866</v>
      </c>
      <c r="D29" s="238">
        <f>data!D91</f>
        <v>27775.505959327485</v>
      </c>
      <c r="E29" s="238">
        <f>data!E91</f>
        <v>159786.82831138963</v>
      </c>
      <c r="F29" s="238">
        <f>data!F91</f>
        <v>0</v>
      </c>
      <c r="G29" s="238">
        <f>data!G91</f>
        <v>0</v>
      </c>
      <c r="H29" s="238">
        <f>data!H91</f>
        <v>38767.242436238193</v>
      </c>
      <c r="I29" s="238">
        <f>data!I91</f>
        <v>0</v>
      </c>
    </row>
    <row r="30" spans="1:9" ht="20.100000000000001" customHeight="1" x14ac:dyDescent="0.2">
      <c r="A30" s="230">
        <v>24</v>
      </c>
      <c r="B30" s="238" t="s">
        <v>1014</v>
      </c>
      <c r="C30" s="238">
        <f>data!C92</f>
        <v>22152.896067157315</v>
      </c>
      <c r="D30" s="238">
        <f>data!D92</f>
        <v>1491.7929047838086</v>
      </c>
      <c r="E30" s="238">
        <f>data!E92</f>
        <v>19507.592203311866</v>
      </c>
      <c r="F30" s="238">
        <f>data!F92</f>
        <v>0</v>
      </c>
      <c r="G30" s="238">
        <f>data!G92</f>
        <v>0</v>
      </c>
      <c r="H30" s="238">
        <f>data!H92</f>
        <v>0</v>
      </c>
      <c r="I30" s="238">
        <f>data!I92</f>
        <v>0</v>
      </c>
    </row>
    <row r="31" spans="1:9" ht="20.100000000000001" customHeight="1" x14ac:dyDescent="0.2">
      <c r="A31" s="230">
        <v>25</v>
      </c>
      <c r="B31" s="238" t="s">
        <v>1015</v>
      </c>
      <c r="C31" s="238">
        <f>data!C93</f>
        <v>564504.35999999987</v>
      </c>
      <c r="D31" s="238">
        <f>data!D93</f>
        <v>464015.53</v>
      </c>
      <c r="E31" s="238">
        <f>data!E93</f>
        <v>36627.97</v>
      </c>
      <c r="F31" s="238">
        <f>data!F93</f>
        <v>81124.95</v>
      </c>
      <c r="G31" s="238">
        <f>data!G93</f>
        <v>0</v>
      </c>
      <c r="H31" s="238">
        <f>data!H93</f>
        <v>33110.020000000004</v>
      </c>
      <c r="I31" s="238">
        <f>data!I93</f>
        <v>0</v>
      </c>
    </row>
    <row r="32" spans="1:9" ht="20.100000000000001" customHeight="1" x14ac:dyDescent="0.2">
      <c r="A32" s="230">
        <v>26</v>
      </c>
      <c r="B32" s="238" t="s">
        <v>293</v>
      </c>
      <c r="C32" s="245">
        <f>data!C94</f>
        <v>407</v>
      </c>
      <c r="D32" s="245">
        <f>data!D94</f>
        <v>243</v>
      </c>
      <c r="E32" s="245">
        <f>data!E94</f>
        <v>4</v>
      </c>
      <c r="F32" s="245">
        <f>data!F94</f>
        <v>46</v>
      </c>
      <c r="G32" s="245">
        <f>data!G94</f>
        <v>0</v>
      </c>
      <c r="H32" s="245">
        <f>data!H94</f>
        <v>27</v>
      </c>
      <c r="I32" s="245">
        <f>data!I94</f>
        <v>0</v>
      </c>
    </row>
    <row r="33" spans="1:9" ht="20.100000000000001" customHeight="1" x14ac:dyDescent="0.2">
      <c r="A33" s="231" t="s">
        <v>997</v>
      </c>
      <c r="B33" s="232"/>
      <c r="C33" s="232"/>
      <c r="D33" s="232"/>
      <c r="E33" s="232"/>
      <c r="F33" s="232"/>
      <c r="G33" s="232"/>
      <c r="H33" s="232"/>
      <c r="I33" s="231"/>
    </row>
    <row r="34" spans="1:9" ht="20.100000000000001" customHeight="1" x14ac:dyDescent="0.2">
      <c r="A34" s="234"/>
      <c r="I34" s="235" t="s">
        <v>1016</v>
      </c>
    </row>
    <row r="35" spans="1:9" ht="20.100000000000001" customHeight="1" x14ac:dyDescent="0.2">
      <c r="A35" s="234"/>
      <c r="I35" s="234"/>
    </row>
    <row r="36" spans="1:9" ht="20.100000000000001" customHeight="1" x14ac:dyDescent="0.2">
      <c r="A36" s="236" t="str">
        <f>"Hospital: "&amp;data!C98</f>
        <v>Hospital: Tacoma General / Allenmore</v>
      </c>
      <c r="G36" s="237"/>
      <c r="H36" s="236" t="str">
        <f>"FYE: "&amp;data!C96</f>
        <v>FYE: 12/31/2024</v>
      </c>
    </row>
    <row r="37" spans="1:9" ht="20.100000000000001" customHeight="1" x14ac:dyDescent="0.2">
      <c r="A37" s="230">
        <v>1</v>
      </c>
      <c r="B37" s="238" t="s">
        <v>235</v>
      </c>
      <c r="C37" s="240" t="s">
        <v>42</v>
      </c>
      <c r="D37" s="240" t="s">
        <v>43</v>
      </c>
      <c r="E37" s="240" t="s">
        <v>44</v>
      </c>
      <c r="F37" s="240" t="s">
        <v>45</v>
      </c>
      <c r="G37" s="240" t="s">
        <v>46</v>
      </c>
      <c r="H37" s="240" t="s">
        <v>47</v>
      </c>
      <c r="I37" s="240" t="s">
        <v>48</v>
      </c>
    </row>
    <row r="38" spans="1:9" ht="20.100000000000001" customHeight="1" x14ac:dyDescent="0.2">
      <c r="A38" s="241">
        <v>2</v>
      </c>
      <c r="B38" s="242" t="s">
        <v>999</v>
      </c>
      <c r="C38" s="244"/>
      <c r="D38" s="244" t="s">
        <v>125</v>
      </c>
      <c r="E38" s="244" t="s">
        <v>126</v>
      </c>
      <c r="F38" s="244" t="s">
        <v>1017</v>
      </c>
      <c r="G38" s="244" t="s">
        <v>128</v>
      </c>
      <c r="H38" s="244" t="s">
        <v>1018</v>
      </c>
      <c r="I38" s="244" t="s">
        <v>130</v>
      </c>
    </row>
    <row r="39" spans="1:9" ht="20.100000000000001" customHeight="1" x14ac:dyDescent="0.2">
      <c r="A39" s="241"/>
      <c r="B39" s="242"/>
      <c r="C39" s="244" t="s">
        <v>124</v>
      </c>
      <c r="D39" s="244" t="s">
        <v>183</v>
      </c>
      <c r="E39" s="243" t="s">
        <v>193</v>
      </c>
      <c r="F39" s="244" t="s">
        <v>194</v>
      </c>
      <c r="G39" s="244" t="s">
        <v>195</v>
      </c>
      <c r="H39" s="244" t="s">
        <v>196</v>
      </c>
      <c r="I39" s="244" t="s">
        <v>195</v>
      </c>
    </row>
    <row r="40" spans="1:9" ht="20.100000000000001" customHeight="1" x14ac:dyDescent="0.2">
      <c r="A40" s="230">
        <v>3</v>
      </c>
      <c r="B40" s="238" t="s">
        <v>1003</v>
      </c>
      <c r="C40" s="240" t="s">
        <v>242</v>
      </c>
      <c r="D40" s="240" t="s">
        <v>241</v>
      </c>
      <c r="E40" s="240" t="s">
        <v>241</v>
      </c>
      <c r="F40" s="240" t="s">
        <v>241</v>
      </c>
      <c r="G40" s="240" t="s">
        <v>241</v>
      </c>
      <c r="H40" s="240" t="s">
        <v>243</v>
      </c>
      <c r="I40" s="239" t="s">
        <v>244</v>
      </c>
    </row>
    <row r="41" spans="1:9" ht="20.100000000000001" customHeight="1" x14ac:dyDescent="0.2">
      <c r="A41" s="230">
        <v>4</v>
      </c>
      <c r="B41" s="238" t="s">
        <v>260</v>
      </c>
      <c r="C41" s="238">
        <f>data!J59</f>
        <v>5218</v>
      </c>
      <c r="D41" s="238">
        <f>data!K59</f>
        <v>0</v>
      </c>
      <c r="E41" s="238">
        <f>data!L59</f>
        <v>0</v>
      </c>
      <c r="F41" s="238">
        <f>data!M59</f>
        <v>422</v>
      </c>
      <c r="G41" s="238">
        <f>data!N59</f>
        <v>4729</v>
      </c>
      <c r="H41" s="238">
        <f>data!O59</f>
        <v>3396</v>
      </c>
      <c r="I41" s="238">
        <f>data!P59</f>
        <v>8392125</v>
      </c>
    </row>
    <row r="42" spans="1:9" ht="20.100000000000001" customHeight="1" x14ac:dyDescent="0.2">
      <c r="A42" s="230">
        <v>5</v>
      </c>
      <c r="B42" s="238" t="s">
        <v>261</v>
      </c>
      <c r="C42" s="245">
        <f>data!J60</f>
        <v>0</v>
      </c>
      <c r="D42" s="245">
        <f>data!K60</f>
        <v>0</v>
      </c>
      <c r="E42" s="245">
        <f>data!L60</f>
        <v>0</v>
      </c>
      <c r="F42" s="245">
        <f>data!M60</f>
        <v>0</v>
      </c>
      <c r="G42" s="245">
        <f>data!N60</f>
        <v>0</v>
      </c>
      <c r="H42" s="245">
        <f>data!O60</f>
        <v>156</v>
      </c>
      <c r="I42" s="245">
        <f>data!P60</f>
        <v>366</v>
      </c>
    </row>
    <row r="43" spans="1:9" ht="20.100000000000001" customHeight="1" x14ac:dyDescent="0.2">
      <c r="A43" s="230">
        <v>6</v>
      </c>
      <c r="B43" s="238" t="s">
        <v>262</v>
      </c>
      <c r="C43" s="238">
        <f>data!J61</f>
        <v>0</v>
      </c>
      <c r="D43" s="238">
        <f>data!K61</f>
        <v>0</v>
      </c>
      <c r="E43" s="238">
        <f>data!L61</f>
        <v>0</v>
      </c>
      <c r="F43" s="238">
        <f>data!M61</f>
        <v>0</v>
      </c>
      <c r="G43" s="238">
        <f>data!N61</f>
        <v>0</v>
      </c>
      <c r="H43" s="238">
        <f>data!O61</f>
        <v>18992881.760000002</v>
      </c>
      <c r="I43" s="238">
        <f>data!P61</f>
        <v>39169985.229999997</v>
      </c>
    </row>
    <row r="44" spans="1:9" ht="20.100000000000001" customHeight="1" x14ac:dyDescent="0.2">
      <c r="A44" s="230">
        <v>7</v>
      </c>
      <c r="B44" s="238" t="s">
        <v>10</v>
      </c>
      <c r="C44" s="238">
        <f>data!J62</f>
        <v>0</v>
      </c>
      <c r="D44" s="238">
        <f>data!K62</f>
        <v>0</v>
      </c>
      <c r="E44" s="238">
        <f>data!L62</f>
        <v>0</v>
      </c>
      <c r="F44" s="238">
        <f>data!M62</f>
        <v>0</v>
      </c>
      <c r="G44" s="238">
        <f>data!N62</f>
        <v>0</v>
      </c>
      <c r="H44" s="238">
        <f>data!O62</f>
        <v>3577772</v>
      </c>
      <c r="I44" s="238">
        <f>data!P62</f>
        <v>8307900</v>
      </c>
    </row>
    <row r="45" spans="1:9" ht="20.100000000000001" customHeight="1" x14ac:dyDescent="0.2">
      <c r="A45" s="230">
        <v>8</v>
      </c>
      <c r="B45" s="238" t="s">
        <v>263</v>
      </c>
      <c r="C45" s="238">
        <f>data!J63</f>
        <v>0</v>
      </c>
      <c r="D45" s="238">
        <f>data!K63</f>
        <v>0</v>
      </c>
      <c r="E45" s="238">
        <f>data!L63</f>
        <v>0</v>
      </c>
      <c r="F45" s="238">
        <f>data!M63</f>
        <v>0</v>
      </c>
      <c r="G45" s="238">
        <f>data!N63</f>
        <v>0</v>
      </c>
      <c r="H45" s="238">
        <f>data!O63</f>
        <v>2564841.9500000002</v>
      </c>
      <c r="I45" s="238">
        <f>data!P63</f>
        <v>19469640.690000001</v>
      </c>
    </row>
    <row r="46" spans="1:9" ht="20.100000000000001" customHeight="1" x14ac:dyDescent="0.2">
      <c r="A46" s="230">
        <v>9</v>
      </c>
      <c r="B46" s="238" t="s">
        <v>264</v>
      </c>
      <c r="C46" s="238">
        <f>data!J64</f>
        <v>0</v>
      </c>
      <c r="D46" s="238">
        <f>data!K64</f>
        <v>0</v>
      </c>
      <c r="E46" s="238">
        <f>data!L64</f>
        <v>0</v>
      </c>
      <c r="F46" s="238">
        <f>data!M64</f>
        <v>0</v>
      </c>
      <c r="G46" s="238">
        <f>data!N64</f>
        <v>0</v>
      </c>
      <c r="H46" s="238">
        <f>data!O64</f>
        <v>2216428.7000000002</v>
      </c>
      <c r="I46" s="238">
        <f>data!P64</f>
        <v>84276266.25</v>
      </c>
    </row>
    <row r="47" spans="1:9" ht="20.100000000000001" customHeight="1" x14ac:dyDescent="0.2">
      <c r="A47" s="230">
        <v>10</v>
      </c>
      <c r="B47" s="238" t="s">
        <v>518</v>
      </c>
      <c r="C47" s="238">
        <f>data!J65</f>
        <v>0</v>
      </c>
      <c r="D47" s="238">
        <f>data!K65</f>
        <v>0</v>
      </c>
      <c r="E47" s="238">
        <f>data!L65</f>
        <v>0</v>
      </c>
      <c r="F47" s="238">
        <f>data!M65</f>
        <v>0</v>
      </c>
      <c r="G47" s="238">
        <f>data!N65</f>
        <v>0</v>
      </c>
      <c r="H47" s="238">
        <f>data!O65</f>
        <v>0</v>
      </c>
      <c r="I47" s="238">
        <f>data!P65</f>
        <v>0</v>
      </c>
    </row>
    <row r="48" spans="1:9" ht="20.100000000000001" customHeight="1" x14ac:dyDescent="0.2">
      <c r="A48" s="230">
        <v>11</v>
      </c>
      <c r="B48" s="238" t="s">
        <v>519</v>
      </c>
      <c r="C48" s="238">
        <f>data!J66</f>
        <v>0</v>
      </c>
      <c r="D48" s="238">
        <f>data!K66</f>
        <v>0</v>
      </c>
      <c r="E48" s="238">
        <f>data!L66</f>
        <v>0</v>
      </c>
      <c r="F48" s="238">
        <f>data!M66</f>
        <v>0</v>
      </c>
      <c r="G48" s="238">
        <f>data!N66</f>
        <v>0</v>
      </c>
      <c r="H48" s="238">
        <f>data!O66</f>
        <v>9128608.4600000009</v>
      </c>
      <c r="I48" s="238">
        <f>data!P66</f>
        <v>43052771.980000004</v>
      </c>
    </row>
    <row r="49" spans="1:11" ht="20.100000000000001" customHeight="1" x14ac:dyDescent="0.2">
      <c r="A49" s="230">
        <v>12</v>
      </c>
      <c r="B49" s="238" t="s">
        <v>15</v>
      </c>
      <c r="C49" s="238">
        <f>data!J67</f>
        <v>0</v>
      </c>
      <c r="D49" s="238">
        <f>data!K67</f>
        <v>0</v>
      </c>
      <c r="E49" s="238">
        <f>data!L67</f>
        <v>0</v>
      </c>
      <c r="F49" s="238">
        <f>data!M67</f>
        <v>0</v>
      </c>
      <c r="G49" s="238">
        <f>data!N67</f>
        <v>0</v>
      </c>
      <c r="H49" s="238">
        <f>data!O67</f>
        <v>1348654</v>
      </c>
      <c r="I49" s="238">
        <f>data!P67</f>
        <v>4056168</v>
      </c>
    </row>
    <row r="50" spans="1:11" ht="20.100000000000001" customHeight="1" x14ac:dyDescent="0.2">
      <c r="A50" s="230">
        <v>13</v>
      </c>
      <c r="B50" s="238" t="s">
        <v>1004</v>
      </c>
      <c r="C50" s="238">
        <f>data!J68</f>
        <v>0</v>
      </c>
      <c r="D50" s="238">
        <f>data!K68</f>
        <v>0</v>
      </c>
      <c r="E50" s="238">
        <f>data!L68</f>
        <v>0</v>
      </c>
      <c r="F50" s="238">
        <f>data!M68</f>
        <v>0</v>
      </c>
      <c r="G50" s="238">
        <f>data!N68</f>
        <v>0</v>
      </c>
      <c r="H50" s="238">
        <f>data!O68</f>
        <v>463713.04</v>
      </c>
      <c r="I50" s="238">
        <f>data!P68</f>
        <v>3978153.7499999995</v>
      </c>
    </row>
    <row r="51" spans="1:11" ht="20.100000000000001" customHeight="1" x14ac:dyDescent="0.2">
      <c r="A51" s="230">
        <v>14</v>
      </c>
      <c r="B51" s="238" t="s">
        <v>1005</v>
      </c>
      <c r="C51" s="238">
        <f>data!J69</f>
        <v>0</v>
      </c>
      <c r="D51" s="238">
        <f>data!K69</f>
        <v>0</v>
      </c>
      <c r="E51" s="238">
        <f>data!L69</f>
        <v>0</v>
      </c>
      <c r="F51" s="238">
        <f>data!M69</f>
        <v>0</v>
      </c>
      <c r="G51" s="238">
        <f>data!N69</f>
        <v>0</v>
      </c>
      <c r="H51" s="238">
        <f>data!O69</f>
        <v>-168939.7300000001</v>
      </c>
      <c r="I51" s="238">
        <f>data!P69</f>
        <v>11376450.920000002</v>
      </c>
    </row>
    <row r="52" spans="1:11" ht="20.100000000000001" customHeight="1" x14ac:dyDescent="0.2">
      <c r="A52" s="230">
        <v>15</v>
      </c>
      <c r="B52" s="238" t="s">
        <v>283</v>
      </c>
      <c r="C52" s="238">
        <f>-data!J84</f>
        <v>0</v>
      </c>
      <c r="D52" s="238">
        <f>-data!K84</f>
        <v>0</v>
      </c>
      <c r="E52" s="238">
        <f>-data!L84</f>
        <v>0</v>
      </c>
      <c r="F52" s="238">
        <f>-data!M84</f>
        <v>0</v>
      </c>
      <c r="G52" s="238">
        <f>-data!N84</f>
        <v>0</v>
      </c>
      <c r="H52" s="238">
        <f>-data!O84</f>
        <v>-39375.910000000003</v>
      </c>
      <c r="I52" s="238">
        <f>-data!P84</f>
        <v>3555.7300000041723</v>
      </c>
    </row>
    <row r="53" spans="1:11" ht="20.100000000000001" customHeight="1" x14ac:dyDescent="0.2">
      <c r="A53" s="230">
        <v>16</v>
      </c>
      <c r="B53" s="246" t="s">
        <v>1006</v>
      </c>
      <c r="C53" s="238">
        <f>data!J85</f>
        <v>0</v>
      </c>
      <c r="D53" s="238">
        <f>data!K85</f>
        <v>0</v>
      </c>
      <c r="E53" s="238">
        <f>data!L85</f>
        <v>0</v>
      </c>
      <c r="F53" s="238">
        <f>data!M85</f>
        <v>0</v>
      </c>
      <c r="G53" s="238">
        <f>data!N85</f>
        <v>0</v>
      </c>
      <c r="H53" s="238">
        <f>data!O85</f>
        <v>38084584.270000011</v>
      </c>
      <c r="I53" s="238">
        <f>data!P85</f>
        <v>213690892.55000007</v>
      </c>
    </row>
    <row r="54" spans="1:11" ht="20.100000000000001" customHeight="1" x14ac:dyDescent="0.2">
      <c r="A54" s="230">
        <v>17</v>
      </c>
      <c r="B54" s="238" t="s">
        <v>285</v>
      </c>
      <c r="C54" s="248"/>
      <c r="D54" s="248"/>
      <c r="E54" s="248"/>
      <c r="F54" s="248"/>
      <c r="G54" s="248"/>
      <c r="H54" s="248"/>
      <c r="I54" s="248"/>
    </row>
    <row r="55" spans="1:11" ht="20.100000000000001" customHeight="1" x14ac:dyDescent="0.2">
      <c r="A55" s="230">
        <v>18</v>
      </c>
      <c r="B55" s="238" t="s">
        <v>1007</v>
      </c>
      <c r="C55" s="246">
        <f>+data!M675</f>
        <v>0</v>
      </c>
      <c r="D55" s="246">
        <f>+data!M676</f>
        <v>0</v>
      </c>
      <c r="E55" s="246">
        <f>+data!M691</f>
        <v>230</v>
      </c>
      <c r="F55" s="246">
        <f>+data!M692</f>
        <v>343132</v>
      </c>
      <c r="G55" s="246">
        <f>+data!M693</f>
        <v>34993277</v>
      </c>
      <c r="H55" s="246">
        <f>+data!M680</f>
        <v>6033899</v>
      </c>
      <c r="I55" s="246">
        <f>+data!M681</f>
        <v>34567241</v>
      </c>
    </row>
    <row r="56" spans="1:11" ht="20.100000000000001" customHeight="1" x14ac:dyDescent="0.2">
      <c r="A56" s="230">
        <v>19</v>
      </c>
      <c r="B56" s="246" t="s">
        <v>1008</v>
      </c>
      <c r="C56" s="238">
        <f>data!J87</f>
        <v>0</v>
      </c>
      <c r="D56" s="238">
        <f>data!K87</f>
        <v>0</v>
      </c>
      <c r="E56" s="238">
        <f>data!L87</f>
        <v>0</v>
      </c>
      <c r="F56" s="238">
        <f>data!M87</f>
        <v>0</v>
      </c>
      <c r="G56" s="238">
        <f>data!N87</f>
        <v>0</v>
      </c>
      <c r="H56" s="238">
        <f>data!O87</f>
        <v>56416846.600000001</v>
      </c>
      <c r="I56" s="238">
        <f>data!P87</f>
        <v>528045990.38</v>
      </c>
    </row>
    <row r="57" spans="1:11" ht="20.100000000000001" customHeight="1" x14ac:dyDescent="0.2">
      <c r="A57" s="230">
        <v>20</v>
      </c>
      <c r="B57" s="246" t="s">
        <v>1009</v>
      </c>
      <c r="C57" s="238">
        <f>data!J88</f>
        <v>0</v>
      </c>
      <c r="D57" s="238">
        <f>data!K88</f>
        <v>0</v>
      </c>
      <c r="E57" s="238">
        <f>data!L88</f>
        <v>0</v>
      </c>
      <c r="F57" s="238">
        <f>data!M88</f>
        <v>0</v>
      </c>
      <c r="G57" s="238">
        <f>data!N88</f>
        <v>0</v>
      </c>
      <c r="H57" s="238">
        <f>data!O88</f>
        <v>32329324.25</v>
      </c>
      <c r="I57" s="238">
        <f>data!P88</f>
        <v>553373164.01999998</v>
      </c>
    </row>
    <row r="58" spans="1:11" ht="20.100000000000001" customHeight="1" x14ac:dyDescent="0.2">
      <c r="A58" s="230">
        <v>21</v>
      </c>
      <c r="B58" s="246" t="s">
        <v>1010</v>
      </c>
      <c r="C58" s="238">
        <f>data!J89</f>
        <v>0</v>
      </c>
      <c r="D58" s="238">
        <f>data!K89</f>
        <v>0</v>
      </c>
      <c r="E58" s="238">
        <f>data!L89</f>
        <v>0</v>
      </c>
      <c r="F58" s="238">
        <f>data!M89</f>
        <v>0</v>
      </c>
      <c r="G58" s="238">
        <f>data!N89</f>
        <v>0</v>
      </c>
      <c r="H58" s="238">
        <f>data!O89</f>
        <v>88746170.849999994</v>
      </c>
      <c r="I58" s="238">
        <f>data!P89</f>
        <v>1081419154.4000001</v>
      </c>
    </row>
    <row r="59" spans="1:11" ht="20.100000000000001" customHeight="1" x14ac:dyDescent="0.2">
      <c r="A59" s="230" t="s">
        <v>1011</v>
      </c>
      <c r="B59" s="238"/>
      <c r="C59" s="248"/>
      <c r="D59" s="248"/>
      <c r="E59" s="248"/>
      <c r="F59" s="248"/>
      <c r="G59" s="248"/>
      <c r="H59" s="248"/>
      <c r="I59" s="248"/>
    </row>
    <row r="60" spans="1:11" ht="20.100000000000001" customHeight="1" x14ac:dyDescent="0.25">
      <c r="A60" s="230">
        <v>22</v>
      </c>
      <c r="B60" s="238" t="s">
        <v>1012</v>
      </c>
      <c r="C60" s="238">
        <f>data!J90</f>
        <v>0</v>
      </c>
      <c r="D60" s="238">
        <f>data!K90</f>
        <v>0</v>
      </c>
      <c r="E60" s="238">
        <f>data!L90</f>
        <v>0</v>
      </c>
      <c r="F60" s="238">
        <f>data!M90</f>
        <v>0</v>
      </c>
      <c r="G60" s="238">
        <f>data!N90</f>
        <v>0</v>
      </c>
      <c r="H60" s="238">
        <f>data!O90</f>
        <v>45474.760000000038</v>
      </c>
      <c r="I60" s="238">
        <f>data!P90</f>
        <v>56536.441999999937</v>
      </c>
      <c r="K60" s="249"/>
    </row>
    <row r="61" spans="1:11" ht="20.100000000000001" customHeight="1" x14ac:dyDescent="0.2">
      <c r="A61" s="230">
        <v>23</v>
      </c>
      <c r="B61" s="238" t="s">
        <v>1013</v>
      </c>
      <c r="C61" s="238">
        <f>data!J91</f>
        <v>0</v>
      </c>
      <c r="D61" s="238">
        <f>data!K91</f>
        <v>0</v>
      </c>
      <c r="E61" s="238">
        <f>data!L91</f>
        <v>0</v>
      </c>
      <c r="F61" s="238">
        <f>data!M91</f>
        <v>0</v>
      </c>
      <c r="G61" s="238">
        <f>data!N91</f>
        <v>0</v>
      </c>
      <c r="H61" s="238">
        <f>data!O91</f>
        <v>20434.049707046142</v>
      </c>
      <c r="I61" s="238">
        <f>data!P91</f>
        <v>23307.969283972448</v>
      </c>
    </row>
    <row r="62" spans="1:11" ht="20.100000000000001" customHeight="1" x14ac:dyDescent="0.2">
      <c r="A62" s="230">
        <v>24</v>
      </c>
      <c r="B62" s="238" t="s">
        <v>1014</v>
      </c>
      <c r="C62" s="238">
        <f>data!J92</f>
        <v>0</v>
      </c>
      <c r="D62" s="238">
        <f>data!K92</f>
        <v>0</v>
      </c>
      <c r="E62" s="238">
        <f>data!L92</f>
        <v>0</v>
      </c>
      <c r="F62" s="238">
        <f>data!M92</f>
        <v>0</v>
      </c>
      <c r="G62" s="238">
        <f>data!N92</f>
        <v>0</v>
      </c>
      <c r="H62" s="238">
        <f>data!O92</f>
        <v>16512.577949632014</v>
      </c>
      <c r="I62" s="238">
        <f>data!P92</f>
        <v>39374.037551747933</v>
      </c>
    </row>
    <row r="63" spans="1:11" ht="20.100000000000001" customHeight="1" x14ac:dyDescent="0.2">
      <c r="A63" s="230">
        <v>25</v>
      </c>
      <c r="B63" s="238" t="s">
        <v>1015</v>
      </c>
      <c r="C63" s="238">
        <f>data!J93</f>
        <v>0</v>
      </c>
      <c r="D63" s="238">
        <f>data!K93</f>
        <v>0</v>
      </c>
      <c r="E63" s="238">
        <f>data!L93</f>
        <v>0</v>
      </c>
      <c r="F63" s="238">
        <f>data!M93</f>
        <v>0</v>
      </c>
      <c r="G63" s="238">
        <f>data!N93</f>
        <v>0</v>
      </c>
      <c r="H63" s="238">
        <f>data!O93</f>
        <v>222634.99000000002</v>
      </c>
      <c r="I63" s="238">
        <f>data!P93</f>
        <v>428391.49999999994</v>
      </c>
    </row>
    <row r="64" spans="1:11" ht="20.100000000000001" customHeight="1" x14ac:dyDescent="0.2">
      <c r="A64" s="230">
        <v>26</v>
      </c>
      <c r="B64" s="238" t="s">
        <v>293</v>
      </c>
      <c r="C64" s="245">
        <f>data!J94</f>
        <v>0</v>
      </c>
      <c r="D64" s="245">
        <f>data!K94</f>
        <v>0</v>
      </c>
      <c r="E64" s="245">
        <f>data!L94</f>
        <v>0</v>
      </c>
      <c r="F64" s="245">
        <f>data!M94</f>
        <v>0</v>
      </c>
      <c r="G64" s="245">
        <f>data!N94</f>
        <v>0</v>
      </c>
      <c r="H64" s="245">
        <f>data!O94</f>
        <v>88</v>
      </c>
      <c r="I64" s="245">
        <f>data!P94</f>
        <v>184</v>
      </c>
    </row>
    <row r="65" spans="1:9" ht="20.100000000000001" customHeight="1" x14ac:dyDescent="0.2">
      <c r="A65" s="231" t="s">
        <v>997</v>
      </c>
      <c r="B65" s="232"/>
      <c r="C65" s="232"/>
      <c r="D65" s="232"/>
      <c r="E65" s="232"/>
      <c r="F65" s="232"/>
      <c r="G65" s="232"/>
      <c r="H65" s="232"/>
      <c r="I65" s="231"/>
    </row>
    <row r="66" spans="1:9" ht="20.100000000000001" customHeight="1" x14ac:dyDescent="0.2">
      <c r="D66" s="234"/>
      <c r="I66" s="235" t="s">
        <v>1019</v>
      </c>
    </row>
    <row r="67" spans="1:9" ht="20.100000000000001" customHeight="1" x14ac:dyDescent="0.2">
      <c r="A67" s="234"/>
    </row>
    <row r="68" spans="1:9" ht="20.100000000000001" customHeight="1" x14ac:dyDescent="0.2">
      <c r="A68" s="236" t="str">
        <f>"Hospital: "&amp;data!C98</f>
        <v>Hospital: Tacoma General / Allenmore</v>
      </c>
      <c r="G68" s="237"/>
      <c r="H68" s="236" t="str">
        <f>"FYE: "&amp;data!C96</f>
        <v>FYE: 12/31/2024</v>
      </c>
    </row>
    <row r="69" spans="1:9" ht="20.100000000000001" customHeight="1" x14ac:dyDescent="0.2">
      <c r="A69" s="230">
        <v>1</v>
      </c>
      <c r="B69" s="238" t="s">
        <v>235</v>
      </c>
      <c r="C69" s="240" t="s">
        <v>49</v>
      </c>
      <c r="D69" s="240" t="s">
        <v>50</v>
      </c>
      <c r="E69" s="240" t="s">
        <v>51</v>
      </c>
      <c r="F69" s="240" t="s">
        <v>52</v>
      </c>
      <c r="G69" s="240" t="s">
        <v>53</v>
      </c>
      <c r="H69" s="240" t="s">
        <v>54</v>
      </c>
      <c r="I69" s="240" t="s">
        <v>55</v>
      </c>
    </row>
    <row r="70" spans="1:9" ht="20.100000000000001" customHeight="1" x14ac:dyDescent="0.2">
      <c r="A70" s="241">
        <v>2</v>
      </c>
      <c r="B70" s="242" t="s">
        <v>999</v>
      </c>
      <c r="C70" s="244" t="s">
        <v>131</v>
      </c>
      <c r="D70" s="244"/>
      <c r="E70" s="244" t="s">
        <v>133</v>
      </c>
      <c r="F70" s="244" t="s">
        <v>134</v>
      </c>
      <c r="G70" s="244"/>
      <c r="H70" s="244" t="s">
        <v>136</v>
      </c>
      <c r="I70" s="244" t="s">
        <v>137</v>
      </c>
    </row>
    <row r="71" spans="1:9" ht="20.100000000000001" customHeight="1" x14ac:dyDescent="0.2">
      <c r="A71" s="241"/>
      <c r="B71" s="242"/>
      <c r="C71" s="244" t="s">
        <v>197</v>
      </c>
      <c r="D71" s="244" t="s">
        <v>1020</v>
      </c>
      <c r="E71" s="244" t="s">
        <v>195</v>
      </c>
      <c r="F71" s="244" t="s">
        <v>198</v>
      </c>
      <c r="G71" s="244" t="s">
        <v>135</v>
      </c>
      <c r="H71" s="244" t="s">
        <v>199</v>
      </c>
      <c r="I71" s="244" t="s">
        <v>200</v>
      </c>
    </row>
    <row r="72" spans="1:9" ht="20.100000000000001" customHeight="1" x14ac:dyDescent="0.2">
      <c r="A72" s="230">
        <v>3</v>
      </c>
      <c r="B72" s="238" t="s">
        <v>1003</v>
      </c>
      <c r="C72" s="240" t="s">
        <v>1021</v>
      </c>
      <c r="D72" s="239" t="s">
        <v>1022</v>
      </c>
      <c r="E72" s="250"/>
      <c r="F72" s="250"/>
      <c r="G72" s="239" t="s">
        <v>1023</v>
      </c>
      <c r="H72" s="239" t="s">
        <v>1023</v>
      </c>
      <c r="I72" s="240" t="s">
        <v>249</v>
      </c>
    </row>
    <row r="73" spans="1:9" ht="20.100000000000001" customHeight="1" x14ac:dyDescent="0.2">
      <c r="A73" s="230">
        <v>4</v>
      </c>
      <c r="B73" s="238" t="s">
        <v>260</v>
      </c>
      <c r="C73" s="238">
        <f>data!Q59</f>
        <v>2892920</v>
      </c>
      <c r="D73" s="246">
        <f>data!R59</f>
        <v>0</v>
      </c>
      <c r="E73" s="250"/>
      <c r="F73" s="250"/>
      <c r="G73" s="238">
        <f>data!U59</f>
        <v>1873775</v>
      </c>
      <c r="H73" s="238">
        <f>data!V59</f>
        <v>0</v>
      </c>
      <c r="I73" s="238">
        <f>data!W59</f>
        <v>49529</v>
      </c>
    </row>
    <row r="74" spans="1:9" ht="20.100000000000001" customHeight="1" x14ac:dyDescent="0.2">
      <c r="A74" s="230">
        <v>5</v>
      </c>
      <c r="B74" s="238" t="s">
        <v>261</v>
      </c>
      <c r="C74" s="245">
        <f>data!Q60</f>
        <v>20</v>
      </c>
      <c r="D74" s="245">
        <f>data!R60</f>
        <v>98</v>
      </c>
      <c r="E74" s="245">
        <f>data!S60</f>
        <v>61</v>
      </c>
      <c r="F74" s="245">
        <f>data!T60</f>
        <v>0</v>
      </c>
      <c r="G74" s="245">
        <f>data!U60</f>
        <v>405</v>
      </c>
      <c r="H74" s="245">
        <f>data!V60</f>
        <v>0</v>
      </c>
      <c r="I74" s="245">
        <f>data!W60</f>
        <v>47</v>
      </c>
    </row>
    <row r="75" spans="1:9" ht="20.100000000000001" customHeight="1" x14ac:dyDescent="0.2">
      <c r="A75" s="230">
        <v>6</v>
      </c>
      <c r="B75" s="238" t="s">
        <v>262</v>
      </c>
      <c r="C75" s="238">
        <f>data!Q61</f>
        <v>2142764.88</v>
      </c>
      <c r="D75" s="238">
        <f>data!R61</f>
        <v>11049020.819999998</v>
      </c>
      <c r="E75" s="238">
        <f>data!S61</f>
        <v>4093212.2100000004</v>
      </c>
      <c r="F75" s="238">
        <f>data!T61</f>
        <v>0</v>
      </c>
      <c r="G75" s="238">
        <f>data!U61</f>
        <v>26048791.66</v>
      </c>
      <c r="H75" s="238">
        <f>data!V61</f>
        <v>0</v>
      </c>
      <c r="I75" s="238">
        <f>data!W61</f>
        <v>4556704.2700000005</v>
      </c>
    </row>
    <row r="76" spans="1:9" ht="20.100000000000001" customHeight="1" x14ac:dyDescent="0.2">
      <c r="A76" s="230">
        <v>7</v>
      </c>
      <c r="B76" s="238" t="s">
        <v>10</v>
      </c>
      <c r="C76" s="238">
        <f>data!Q62</f>
        <v>505724</v>
      </c>
      <c r="D76" s="238">
        <f>data!R62</f>
        <v>2273999</v>
      </c>
      <c r="E76" s="238">
        <f>data!S62</f>
        <v>1357290</v>
      </c>
      <c r="F76" s="238">
        <f>data!T62</f>
        <v>0</v>
      </c>
      <c r="G76" s="238">
        <f>data!U62</f>
        <v>8241244</v>
      </c>
      <c r="H76" s="238">
        <f>data!V62</f>
        <v>0</v>
      </c>
      <c r="I76" s="238">
        <f>data!W62</f>
        <v>1031582</v>
      </c>
    </row>
    <row r="77" spans="1:9" ht="20.100000000000001" customHeight="1" x14ac:dyDescent="0.2">
      <c r="A77" s="230">
        <v>8</v>
      </c>
      <c r="B77" s="238" t="s">
        <v>263</v>
      </c>
      <c r="C77" s="238">
        <f>data!Q63</f>
        <v>1500</v>
      </c>
      <c r="D77" s="238">
        <f>data!R63</f>
        <v>1000</v>
      </c>
      <c r="E77" s="238">
        <f>data!S63</f>
        <v>322689.90999999997</v>
      </c>
      <c r="F77" s="238">
        <f>data!T63</f>
        <v>0</v>
      </c>
      <c r="G77" s="238">
        <f>data!U63</f>
        <v>0</v>
      </c>
      <c r="H77" s="238">
        <f>data!V63</f>
        <v>0</v>
      </c>
      <c r="I77" s="238">
        <f>data!W63</f>
        <v>0</v>
      </c>
    </row>
    <row r="78" spans="1:9" ht="20.100000000000001" customHeight="1" x14ac:dyDescent="0.2">
      <c r="A78" s="230">
        <v>9</v>
      </c>
      <c r="B78" s="238" t="s">
        <v>264</v>
      </c>
      <c r="C78" s="238">
        <f>data!Q64</f>
        <v>492187.53</v>
      </c>
      <c r="D78" s="238">
        <f>data!R64</f>
        <v>731256.52</v>
      </c>
      <c r="E78" s="238">
        <f>data!S64</f>
        <v>2148145.0299999998</v>
      </c>
      <c r="F78" s="238">
        <f>data!T64</f>
        <v>0</v>
      </c>
      <c r="G78" s="238">
        <f>data!U64</f>
        <v>42598705.32</v>
      </c>
      <c r="H78" s="238">
        <f>data!V64</f>
        <v>0</v>
      </c>
      <c r="I78" s="238">
        <f>data!W64</f>
        <v>592182.32000000007</v>
      </c>
    </row>
    <row r="79" spans="1:9" ht="20.100000000000001" customHeight="1" x14ac:dyDescent="0.2">
      <c r="A79" s="230">
        <v>10</v>
      </c>
      <c r="B79" s="238" t="s">
        <v>518</v>
      </c>
      <c r="C79" s="238">
        <f>data!Q65</f>
        <v>0</v>
      </c>
      <c r="D79" s="238">
        <f>data!R65</f>
        <v>0</v>
      </c>
      <c r="E79" s="238">
        <f>data!S65</f>
        <v>0</v>
      </c>
      <c r="F79" s="238">
        <f>data!T65</f>
        <v>0</v>
      </c>
      <c r="G79" s="238">
        <f>data!U65</f>
        <v>0</v>
      </c>
      <c r="H79" s="238">
        <f>data!V65</f>
        <v>0</v>
      </c>
      <c r="I79" s="238">
        <f>data!W65</f>
        <v>0</v>
      </c>
    </row>
    <row r="80" spans="1:9" ht="20.100000000000001" customHeight="1" x14ac:dyDescent="0.2">
      <c r="A80" s="230">
        <v>11</v>
      </c>
      <c r="B80" s="238" t="s">
        <v>519</v>
      </c>
      <c r="C80" s="238">
        <f>data!Q66</f>
        <v>1068576.93</v>
      </c>
      <c r="D80" s="238">
        <f>data!R66</f>
        <v>4636028.3699999992</v>
      </c>
      <c r="E80" s="238">
        <f>data!S66</f>
        <v>-8334814.4199999999</v>
      </c>
      <c r="F80" s="238">
        <f>data!T66</f>
        <v>0</v>
      </c>
      <c r="G80" s="238">
        <f>data!U66</f>
        <v>150883061.45000002</v>
      </c>
      <c r="H80" s="238">
        <f>data!V66</f>
        <v>0</v>
      </c>
      <c r="I80" s="238">
        <f>data!W66</f>
        <v>2483734.0300000007</v>
      </c>
    </row>
    <row r="81" spans="1:9" ht="20.100000000000001" customHeight="1" x14ac:dyDescent="0.2">
      <c r="A81" s="230">
        <v>12</v>
      </c>
      <c r="B81" s="238" t="s">
        <v>15</v>
      </c>
      <c r="C81" s="238">
        <f>data!Q67</f>
        <v>69549</v>
      </c>
      <c r="D81" s="238">
        <f>data!R67</f>
        <v>270819</v>
      </c>
      <c r="E81" s="238">
        <f>data!S67</f>
        <v>563784</v>
      </c>
      <c r="F81" s="238">
        <f>data!T67</f>
        <v>0</v>
      </c>
      <c r="G81" s="238">
        <f>data!U67</f>
        <v>719977</v>
      </c>
      <c r="H81" s="238">
        <f>data!V67</f>
        <v>0</v>
      </c>
      <c r="I81" s="238">
        <f>data!W67</f>
        <v>840537</v>
      </c>
    </row>
    <row r="82" spans="1:9" ht="20.100000000000001" customHeight="1" x14ac:dyDescent="0.2">
      <c r="A82" s="230">
        <v>13</v>
      </c>
      <c r="B82" s="238" t="s">
        <v>1004</v>
      </c>
      <c r="C82" s="238">
        <f>data!Q68</f>
        <v>0</v>
      </c>
      <c r="D82" s="238">
        <f>data!R68</f>
        <v>877.9</v>
      </c>
      <c r="E82" s="238">
        <f>data!S68</f>
        <v>32.74</v>
      </c>
      <c r="F82" s="238">
        <f>data!T68</f>
        <v>0</v>
      </c>
      <c r="G82" s="238">
        <f>data!U68</f>
        <v>545572.64</v>
      </c>
      <c r="H82" s="238">
        <f>data!V68</f>
        <v>0</v>
      </c>
      <c r="I82" s="238">
        <f>data!W68</f>
        <v>514045.81</v>
      </c>
    </row>
    <row r="83" spans="1:9" ht="20.100000000000001" customHeight="1" x14ac:dyDescent="0.2">
      <c r="A83" s="230">
        <v>14</v>
      </c>
      <c r="B83" s="238" t="s">
        <v>1005</v>
      </c>
      <c r="C83" s="238">
        <f>data!Q69</f>
        <v>168552.97999999998</v>
      </c>
      <c r="D83" s="238">
        <f>data!R69</f>
        <v>638837.13000000012</v>
      </c>
      <c r="E83" s="238">
        <f>data!S69</f>
        <v>4381263.1899999995</v>
      </c>
      <c r="F83" s="238">
        <f>data!T69</f>
        <v>0</v>
      </c>
      <c r="G83" s="238">
        <f>data!U69</f>
        <v>7434894.8899999997</v>
      </c>
      <c r="H83" s="238">
        <f>data!V69</f>
        <v>0</v>
      </c>
      <c r="I83" s="238">
        <f>data!W69</f>
        <v>670549.25999999989</v>
      </c>
    </row>
    <row r="84" spans="1:9" ht="20.100000000000001" customHeight="1" x14ac:dyDescent="0.2">
      <c r="A84" s="230">
        <v>15</v>
      </c>
      <c r="B84" s="238" t="s">
        <v>283</v>
      </c>
      <c r="C84" s="238">
        <f>-data!Q84</f>
        <v>0</v>
      </c>
      <c r="D84" s="238">
        <f>-data!R84</f>
        <v>0</v>
      </c>
      <c r="E84" s="238">
        <f>-data!S84</f>
        <v>0</v>
      </c>
      <c r="F84" s="238">
        <f>-data!T84</f>
        <v>0</v>
      </c>
      <c r="G84" s="238">
        <f>-data!U84</f>
        <v>-96290056.799999997</v>
      </c>
      <c r="H84" s="238">
        <f>-data!V84</f>
        <v>0</v>
      </c>
      <c r="I84" s="238">
        <f>-data!W84</f>
        <v>0</v>
      </c>
    </row>
    <row r="85" spans="1:9" ht="20.100000000000001" customHeight="1" x14ac:dyDescent="0.2">
      <c r="A85" s="230">
        <v>16</v>
      </c>
      <c r="B85" s="246" t="s">
        <v>1006</v>
      </c>
      <c r="C85" s="238">
        <f>data!Q85</f>
        <v>4448855.32</v>
      </c>
      <c r="D85" s="238">
        <f>data!R85</f>
        <v>19601838.739999995</v>
      </c>
      <c r="E85" s="238">
        <f>data!S85</f>
        <v>4531602.66</v>
      </c>
      <c r="F85" s="238">
        <f>data!T85</f>
        <v>0</v>
      </c>
      <c r="G85" s="238">
        <f>data!U85</f>
        <v>140182190.15999997</v>
      </c>
      <c r="H85" s="238">
        <f>data!V85</f>
        <v>0</v>
      </c>
      <c r="I85" s="238">
        <f>data!W85</f>
        <v>10689334.690000001</v>
      </c>
    </row>
    <row r="86" spans="1:9" ht="20.100000000000001" customHeight="1" x14ac:dyDescent="0.2">
      <c r="A86" s="230">
        <v>17</v>
      </c>
      <c r="B86" s="238" t="s">
        <v>285</v>
      </c>
      <c r="C86" s="248"/>
      <c r="D86" s="248"/>
      <c r="E86" s="248"/>
      <c r="F86" s="248"/>
      <c r="G86" s="248"/>
      <c r="H86" s="248"/>
      <c r="I86" s="248"/>
    </row>
    <row r="87" spans="1:9" ht="20.100000000000001" customHeight="1" x14ac:dyDescent="0.2">
      <c r="A87" s="230">
        <v>18</v>
      </c>
      <c r="B87" s="238" t="s">
        <v>1007</v>
      </c>
      <c r="C87" s="246">
        <f>+data!M682</f>
        <v>721757</v>
      </c>
      <c r="D87" s="246">
        <f>+data!M683</f>
        <v>3243139</v>
      </c>
      <c r="E87" s="246">
        <f>+data!M684</f>
        <v>689164</v>
      </c>
      <c r="F87" s="246">
        <f>+data!M685</f>
        <v>11</v>
      </c>
      <c r="G87" s="246">
        <f>+data!M686</f>
        <v>22204444</v>
      </c>
      <c r="H87" s="246">
        <f>+data!M687</f>
        <v>0</v>
      </c>
      <c r="I87" s="246">
        <f>+data!M688</f>
        <v>1842047</v>
      </c>
    </row>
    <row r="88" spans="1:9" ht="20.100000000000001" customHeight="1" x14ac:dyDescent="0.2">
      <c r="A88" s="230">
        <v>19</v>
      </c>
      <c r="B88" s="246" t="s">
        <v>1008</v>
      </c>
      <c r="C88" s="238">
        <f>data!Q87</f>
        <v>3715471</v>
      </c>
      <c r="D88" s="238">
        <f>data!R87</f>
        <v>43868147</v>
      </c>
      <c r="E88" s="238">
        <f>data!S87</f>
        <v>0</v>
      </c>
      <c r="F88" s="238">
        <f>data!T87</f>
        <v>0</v>
      </c>
      <c r="G88" s="238">
        <f>data!U87</f>
        <v>82553977.599999994</v>
      </c>
      <c r="H88" s="238">
        <f>data!V87</f>
        <v>0</v>
      </c>
      <c r="I88" s="238">
        <f>data!W87</f>
        <v>25325859.720000003</v>
      </c>
    </row>
    <row r="89" spans="1:9" ht="20.100000000000001" customHeight="1" x14ac:dyDescent="0.2">
      <c r="A89" s="230">
        <v>20</v>
      </c>
      <c r="B89" s="246" t="s">
        <v>1009</v>
      </c>
      <c r="C89" s="238">
        <f>data!Q88</f>
        <v>14942840.01</v>
      </c>
      <c r="D89" s="238">
        <f>data!R88</f>
        <v>69329047</v>
      </c>
      <c r="E89" s="238">
        <f>data!S88</f>
        <v>0</v>
      </c>
      <c r="F89" s="238">
        <f>data!T88</f>
        <v>0</v>
      </c>
      <c r="G89" s="238">
        <f>data!U88</f>
        <v>415320073.03999996</v>
      </c>
      <c r="H89" s="238">
        <f>data!V88</f>
        <v>0</v>
      </c>
      <c r="I89" s="238">
        <f>data!W88</f>
        <v>97099762.829999998</v>
      </c>
    </row>
    <row r="90" spans="1:9" ht="20.100000000000001" customHeight="1" x14ac:dyDescent="0.2">
      <c r="A90" s="230">
        <v>21</v>
      </c>
      <c r="B90" s="246" t="s">
        <v>1010</v>
      </c>
      <c r="C90" s="238">
        <f>data!Q89</f>
        <v>18658311.009999998</v>
      </c>
      <c r="D90" s="238">
        <f>data!R89</f>
        <v>113197194</v>
      </c>
      <c r="E90" s="238">
        <f>data!S89</f>
        <v>0</v>
      </c>
      <c r="F90" s="238">
        <f>data!T89</f>
        <v>0</v>
      </c>
      <c r="G90" s="238">
        <f>data!U89</f>
        <v>497874050.63999999</v>
      </c>
      <c r="H90" s="238">
        <f>data!V89</f>
        <v>0</v>
      </c>
      <c r="I90" s="238">
        <f>data!W89</f>
        <v>122425622.55</v>
      </c>
    </row>
    <row r="91" spans="1:9" ht="20.100000000000001" customHeight="1" x14ac:dyDescent="0.2">
      <c r="A91" s="230" t="s">
        <v>1011</v>
      </c>
      <c r="B91" s="238"/>
      <c r="C91" s="248"/>
      <c r="D91" s="248"/>
      <c r="E91" s="248"/>
      <c r="F91" s="248"/>
      <c r="G91" s="248"/>
      <c r="H91" s="248"/>
      <c r="I91" s="248"/>
    </row>
    <row r="92" spans="1:9" ht="20.100000000000001" customHeight="1" x14ac:dyDescent="0.2">
      <c r="A92" s="230">
        <v>22</v>
      </c>
      <c r="B92" s="238" t="s">
        <v>1012</v>
      </c>
      <c r="C92" s="238">
        <f>data!Q90</f>
        <v>0</v>
      </c>
      <c r="D92" s="238">
        <f>data!R90</f>
        <v>13487.497000000001</v>
      </c>
      <c r="E92" s="238">
        <f>data!S90</f>
        <v>10580.562000000002</v>
      </c>
      <c r="F92" s="238">
        <f>data!T90</f>
        <v>863.81</v>
      </c>
      <c r="G92" s="238">
        <f>data!U90</f>
        <v>21447.360000000001</v>
      </c>
      <c r="H92" s="238">
        <f>data!V90</f>
        <v>0</v>
      </c>
      <c r="I92" s="238">
        <f>data!W90</f>
        <v>16161.314999999999</v>
      </c>
    </row>
    <row r="93" spans="1:9" ht="20.100000000000001" customHeight="1" x14ac:dyDescent="0.2">
      <c r="A93" s="230">
        <v>23</v>
      </c>
      <c r="B93" s="238" t="s">
        <v>1013</v>
      </c>
      <c r="C93" s="238">
        <f>data!Q91</f>
        <v>0</v>
      </c>
      <c r="D93" s="238">
        <f>data!R91</f>
        <v>1080.4407314678197</v>
      </c>
      <c r="E93" s="238">
        <f>data!S91</f>
        <v>0</v>
      </c>
      <c r="F93" s="238">
        <f>data!T91</f>
        <v>0</v>
      </c>
      <c r="G93" s="238">
        <f>data!U91</f>
        <v>0</v>
      </c>
      <c r="H93" s="238">
        <f>data!V91</f>
        <v>0</v>
      </c>
      <c r="I93" s="238">
        <f>data!W91</f>
        <v>0</v>
      </c>
    </row>
    <row r="94" spans="1:9" ht="20.100000000000001" customHeight="1" x14ac:dyDescent="0.2">
      <c r="A94" s="230">
        <v>24</v>
      </c>
      <c r="B94" s="238" t="s">
        <v>1014</v>
      </c>
      <c r="C94" s="238">
        <f>data!Q92</f>
        <v>0</v>
      </c>
      <c r="D94" s="238">
        <f>data!R92</f>
        <v>0</v>
      </c>
      <c r="E94" s="238">
        <f>data!S92</f>
        <v>1848.3603610855566</v>
      </c>
      <c r="F94" s="238">
        <f>data!T92</f>
        <v>0</v>
      </c>
      <c r="G94" s="238">
        <f>data!U92</f>
        <v>710.84922378104875</v>
      </c>
      <c r="H94" s="238">
        <f>data!V92</f>
        <v>0</v>
      </c>
      <c r="I94" s="238">
        <f>data!W92</f>
        <v>4190.4295078196874</v>
      </c>
    </row>
    <row r="95" spans="1:9" ht="20.100000000000001" customHeight="1" x14ac:dyDescent="0.2">
      <c r="A95" s="230">
        <v>25</v>
      </c>
      <c r="B95" s="238" t="s">
        <v>1015</v>
      </c>
      <c r="C95" s="238">
        <f>data!Q93</f>
        <v>0</v>
      </c>
      <c r="D95" s="238">
        <f>data!R93</f>
        <v>77154.09</v>
      </c>
      <c r="E95" s="238">
        <f>data!S93</f>
        <v>501841.94000000006</v>
      </c>
      <c r="F95" s="238">
        <f>data!T93</f>
        <v>0</v>
      </c>
      <c r="G95" s="238">
        <f>data!U93</f>
        <v>19297.09</v>
      </c>
      <c r="H95" s="238">
        <f>data!V93</f>
        <v>0</v>
      </c>
      <c r="I95" s="238">
        <f>data!W93</f>
        <v>23781.8</v>
      </c>
    </row>
    <row r="96" spans="1:9" ht="20.100000000000001" customHeight="1" x14ac:dyDescent="0.2">
      <c r="A96" s="230">
        <v>26</v>
      </c>
      <c r="B96" s="238" t="s">
        <v>293</v>
      </c>
      <c r="C96" s="245">
        <f>data!Q94</f>
        <v>15</v>
      </c>
      <c r="D96" s="245">
        <f>data!R94</f>
        <v>75</v>
      </c>
      <c r="E96" s="245">
        <f>data!S94</f>
        <v>0</v>
      </c>
      <c r="F96" s="245">
        <f>data!T94</f>
        <v>0</v>
      </c>
      <c r="G96" s="245">
        <f>data!U94</f>
        <v>18</v>
      </c>
      <c r="H96" s="245">
        <f>data!V94</f>
        <v>0</v>
      </c>
      <c r="I96" s="245">
        <f>data!W94</f>
        <v>0</v>
      </c>
    </row>
    <row r="97" spans="1:9" ht="20.100000000000001" customHeight="1" x14ac:dyDescent="0.2">
      <c r="A97" s="231" t="s">
        <v>997</v>
      </c>
      <c r="B97" s="232"/>
      <c r="C97" s="232"/>
      <c r="D97" s="232"/>
      <c r="E97" s="232"/>
      <c r="F97" s="232"/>
      <c r="G97" s="232"/>
      <c r="H97" s="232"/>
      <c r="I97" s="231"/>
    </row>
    <row r="98" spans="1:9" ht="20.100000000000001" customHeight="1" x14ac:dyDescent="0.2">
      <c r="D98" s="234"/>
      <c r="I98" s="235" t="s">
        <v>1024</v>
      </c>
    </row>
    <row r="99" spans="1:9" ht="20.100000000000001" customHeight="1" x14ac:dyDescent="0.2">
      <c r="A99" s="234"/>
    </row>
    <row r="100" spans="1:9" ht="20.100000000000001" customHeight="1" x14ac:dyDescent="0.2">
      <c r="A100" s="236" t="str">
        <f>"Hospital: "&amp;data!C98</f>
        <v>Hospital: Tacoma General / Allenmore</v>
      </c>
      <c r="G100" s="237"/>
      <c r="H100" s="236" t="str">
        <f>"FYE: "&amp;data!C96</f>
        <v>FYE: 12/31/2024</v>
      </c>
    </row>
    <row r="101" spans="1:9" ht="20.100000000000001" customHeight="1" x14ac:dyDescent="0.2">
      <c r="A101" s="230">
        <v>1</v>
      </c>
      <c r="B101" s="238" t="s">
        <v>235</v>
      </c>
      <c r="C101" s="240" t="s">
        <v>56</v>
      </c>
      <c r="D101" s="240" t="s">
        <v>57</v>
      </c>
      <c r="E101" s="240" t="s">
        <v>58</v>
      </c>
      <c r="F101" s="240" t="s">
        <v>59</v>
      </c>
      <c r="G101" s="240" t="s">
        <v>60</v>
      </c>
      <c r="H101" s="240" t="s">
        <v>61</v>
      </c>
      <c r="I101" s="240" t="s">
        <v>62</v>
      </c>
    </row>
    <row r="102" spans="1:9" ht="20.100000000000001" customHeight="1" x14ac:dyDescent="0.2">
      <c r="A102" s="241">
        <v>2</v>
      </c>
      <c r="B102" s="242" t="s">
        <v>999</v>
      </c>
      <c r="C102" s="244" t="s">
        <v>1025</v>
      </c>
      <c r="D102" s="244" t="s">
        <v>1026</v>
      </c>
      <c r="E102" s="244" t="s">
        <v>1026</v>
      </c>
      <c r="F102" s="244" t="s">
        <v>140</v>
      </c>
      <c r="G102" s="244"/>
      <c r="H102" s="244" t="s">
        <v>142</v>
      </c>
      <c r="I102" s="244"/>
    </row>
    <row r="103" spans="1:9" ht="20.100000000000001" customHeight="1" x14ac:dyDescent="0.2">
      <c r="A103" s="241"/>
      <c r="B103" s="242"/>
      <c r="C103" s="244" t="s">
        <v>201</v>
      </c>
      <c r="D103" s="244" t="s">
        <v>202</v>
      </c>
      <c r="E103" s="244" t="s">
        <v>203</v>
      </c>
      <c r="F103" s="244" t="s">
        <v>204</v>
      </c>
      <c r="G103" s="244" t="s">
        <v>141</v>
      </c>
      <c r="H103" s="244" t="s">
        <v>198</v>
      </c>
      <c r="I103" s="244" t="s">
        <v>143</v>
      </c>
    </row>
    <row r="104" spans="1:9" ht="20.100000000000001" customHeight="1" x14ac:dyDescent="0.2">
      <c r="A104" s="230">
        <v>3</v>
      </c>
      <c r="B104" s="238" t="s">
        <v>1003</v>
      </c>
      <c r="C104" s="239" t="s">
        <v>250</v>
      </c>
      <c r="D104" s="240" t="s">
        <v>1027</v>
      </c>
      <c r="E104" s="240" t="s">
        <v>1027</v>
      </c>
      <c r="F104" s="240" t="s">
        <v>1027</v>
      </c>
      <c r="G104" s="250"/>
      <c r="H104" s="240" t="s">
        <v>252</v>
      </c>
      <c r="I104" s="240" t="s">
        <v>253</v>
      </c>
    </row>
    <row r="105" spans="1:9" ht="20.100000000000001" customHeight="1" x14ac:dyDescent="0.2">
      <c r="A105" s="230">
        <v>4</v>
      </c>
      <c r="B105" s="238" t="s">
        <v>260</v>
      </c>
      <c r="C105" s="238">
        <f>data!X59</f>
        <v>83810</v>
      </c>
      <c r="D105" s="238">
        <f>data!Y59</f>
        <v>246741</v>
      </c>
      <c r="E105" s="238">
        <f>data!Z59</f>
        <v>0</v>
      </c>
      <c r="F105" s="238">
        <f>data!AA59</f>
        <v>2165</v>
      </c>
      <c r="G105" s="250"/>
      <c r="H105" s="238">
        <f>data!AC59</f>
        <v>206921</v>
      </c>
      <c r="I105" s="238">
        <f>data!AD59</f>
        <v>0</v>
      </c>
    </row>
    <row r="106" spans="1:9" ht="20.100000000000001" customHeight="1" x14ac:dyDescent="0.2">
      <c r="A106" s="230">
        <v>5</v>
      </c>
      <c r="B106" s="238" t="s">
        <v>261</v>
      </c>
      <c r="C106" s="245">
        <f>data!X60</f>
        <v>39</v>
      </c>
      <c r="D106" s="245">
        <f>data!Y60</f>
        <v>106</v>
      </c>
      <c r="E106" s="245">
        <f>data!Z60</f>
        <v>0</v>
      </c>
      <c r="F106" s="245">
        <f>data!AA60</f>
        <v>6</v>
      </c>
      <c r="G106" s="245">
        <f>data!AB60</f>
        <v>213</v>
      </c>
      <c r="H106" s="245">
        <f>data!AC60</f>
        <v>67</v>
      </c>
      <c r="I106" s="245">
        <f>data!AD60</f>
        <v>0</v>
      </c>
    </row>
    <row r="107" spans="1:9" ht="20.100000000000001" customHeight="1" x14ac:dyDescent="0.2">
      <c r="A107" s="230">
        <v>6</v>
      </c>
      <c r="B107" s="238" t="s">
        <v>262</v>
      </c>
      <c r="C107" s="238">
        <f>data!X61</f>
        <v>3363755.99</v>
      </c>
      <c r="D107" s="238">
        <f>data!Y61</f>
        <v>9993113.4900000021</v>
      </c>
      <c r="E107" s="238">
        <f>data!Z61</f>
        <v>0</v>
      </c>
      <c r="F107" s="238">
        <f>data!AA61</f>
        <v>750347.53</v>
      </c>
      <c r="G107" s="238">
        <f>data!AB61</f>
        <v>21318105.529999997</v>
      </c>
      <c r="H107" s="238">
        <f>data!AC61</f>
        <v>5130854.2600000007</v>
      </c>
      <c r="I107" s="238">
        <f>data!AD61</f>
        <v>0</v>
      </c>
    </row>
    <row r="108" spans="1:9" ht="20.100000000000001" customHeight="1" x14ac:dyDescent="0.2">
      <c r="A108" s="230">
        <v>7</v>
      </c>
      <c r="B108" s="238" t="s">
        <v>10</v>
      </c>
      <c r="C108" s="238">
        <f>data!X62</f>
        <v>772852</v>
      </c>
      <c r="D108" s="238">
        <f>data!Y62</f>
        <v>2211965</v>
      </c>
      <c r="E108" s="238">
        <f>data!Z62</f>
        <v>0</v>
      </c>
      <c r="F108" s="238">
        <f>data!AA62</f>
        <v>147537</v>
      </c>
      <c r="G108" s="238">
        <f>data!AB62</f>
        <v>4920628</v>
      </c>
      <c r="H108" s="238">
        <f>data!AC62</f>
        <v>1276820</v>
      </c>
      <c r="I108" s="238">
        <f>data!AD62</f>
        <v>0</v>
      </c>
    </row>
    <row r="109" spans="1:9" ht="20.100000000000001" customHeight="1" x14ac:dyDescent="0.2">
      <c r="A109" s="230">
        <v>8</v>
      </c>
      <c r="B109" s="238" t="s">
        <v>263</v>
      </c>
      <c r="C109" s="238">
        <f>data!X63</f>
        <v>0</v>
      </c>
      <c r="D109" s="238">
        <f>data!Y63</f>
        <v>6915</v>
      </c>
      <c r="E109" s="238">
        <f>data!Z63</f>
        <v>0</v>
      </c>
      <c r="F109" s="238">
        <f>data!AA63</f>
        <v>0</v>
      </c>
      <c r="G109" s="238">
        <f>data!AB63</f>
        <v>6500</v>
      </c>
      <c r="H109" s="238">
        <f>data!AC63</f>
        <v>0</v>
      </c>
      <c r="I109" s="238">
        <f>data!AD63</f>
        <v>0</v>
      </c>
    </row>
    <row r="110" spans="1:9" ht="20.100000000000001" customHeight="1" x14ac:dyDescent="0.2">
      <c r="A110" s="230">
        <v>9</v>
      </c>
      <c r="B110" s="238" t="s">
        <v>264</v>
      </c>
      <c r="C110" s="238">
        <f>data!X64</f>
        <v>2661261.8899999997</v>
      </c>
      <c r="D110" s="238">
        <f>data!Y64</f>
        <v>6966383.6299999999</v>
      </c>
      <c r="E110" s="238">
        <f>data!Z64</f>
        <v>0</v>
      </c>
      <c r="F110" s="238">
        <f>data!AA64</f>
        <v>652724.32999999996</v>
      </c>
      <c r="G110" s="238">
        <f>data!AB64</f>
        <v>156095502.22</v>
      </c>
      <c r="H110" s="238">
        <f>data!AC64</f>
        <v>1488348.9600000002</v>
      </c>
      <c r="I110" s="238">
        <f>data!AD64</f>
        <v>20666.8</v>
      </c>
    </row>
    <row r="111" spans="1:9" ht="20.100000000000001" customHeight="1" x14ac:dyDescent="0.2">
      <c r="A111" s="230">
        <v>10</v>
      </c>
      <c r="B111" s="238" t="s">
        <v>518</v>
      </c>
      <c r="C111" s="238">
        <f>data!X65</f>
        <v>0</v>
      </c>
      <c r="D111" s="238">
        <f>data!Y65</f>
        <v>0</v>
      </c>
      <c r="E111" s="238">
        <f>data!Z65</f>
        <v>0</v>
      </c>
      <c r="F111" s="238">
        <f>data!AA65</f>
        <v>0</v>
      </c>
      <c r="G111" s="238">
        <f>data!AB65</f>
        <v>0</v>
      </c>
      <c r="H111" s="238">
        <f>data!AC65</f>
        <v>0</v>
      </c>
      <c r="I111" s="238">
        <f>data!AD65</f>
        <v>0</v>
      </c>
    </row>
    <row r="112" spans="1:9" ht="20.100000000000001" customHeight="1" x14ac:dyDescent="0.2">
      <c r="A112" s="230">
        <v>11</v>
      </c>
      <c r="B112" s="238" t="s">
        <v>519</v>
      </c>
      <c r="C112" s="238">
        <f>data!X66</f>
        <v>9201975.5099999979</v>
      </c>
      <c r="D112" s="238">
        <f>data!Y66</f>
        <v>7879499.8000000007</v>
      </c>
      <c r="E112" s="238">
        <f>data!Z66</f>
        <v>0</v>
      </c>
      <c r="F112" s="238">
        <f>data!AA66</f>
        <v>505712.88</v>
      </c>
      <c r="G112" s="238">
        <f>data!AB66</f>
        <v>29458880.850000005</v>
      </c>
      <c r="H112" s="238">
        <f>data!AC66</f>
        <v>5328136.59</v>
      </c>
      <c r="I112" s="238">
        <f>data!AD66</f>
        <v>3102665</v>
      </c>
    </row>
    <row r="113" spans="1:9" ht="20.100000000000001" customHeight="1" x14ac:dyDescent="0.2">
      <c r="A113" s="230">
        <v>12</v>
      </c>
      <c r="B113" s="238" t="s">
        <v>15</v>
      </c>
      <c r="C113" s="238">
        <f>data!X67</f>
        <v>338410</v>
      </c>
      <c r="D113" s="238">
        <f>data!Y67</f>
        <v>1081630</v>
      </c>
      <c r="E113" s="238">
        <f>data!Z67</f>
        <v>0</v>
      </c>
      <c r="F113" s="238">
        <f>data!AA67</f>
        <v>22943</v>
      </c>
      <c r="G113" s="238">
        <f>data!AB67</f>
        <v>715313</v>
      </c>
      <c r="H113" s="238">
        <f>data!AC67</f>
        <v>184359</v>
      </c>
      <c r="I113" s="238">
        <f>data!AD67</f>
        <v>4128</v>
      </c>
    </row>
    <row r="114" spans="1:9" ht="20.100000000000001" customHeight="1" x14ac:dyDescent="0.2">
      <c r="A114" s="230">
        <v>13</v>
      </c>
      <c r="B114" s="238" t="s">
        <v>1004</v>
      </c>
      <c r="C114" s="238">
        <f>data!X68</f>
        <v>0</v>
      </c>
      <c r="D114" s="238">
        <f>data!Y68</f>
        <v>41.03</v>
      </c>
      <c r="E114" s="238">
        <f>data!Z68</f>
        <v>0</v>
      </c>
      <c r="F114" s="238">
        <f>data!AA68</f>
        <v>0</v>
      </c>
      <c r="G114" s="238">
        <f>data!AB68</f>
        <v>214622.38</v>
      </c>
      <c r="H114" s="238">
        <f>data!AC68</f>
        <v>9907.4699999999993</v>
      </c>
      <c r="I114" s="238">
        <f>data!AD68</f>
        <v>0</v>
      </c>
    </row>
    <row r="115" spans="1:9" ht="20.100000000000001" customHeight="1" x14ac:dyDescent="0.2">
      <c r="A115" s="230">
        <v>14</v>
      </c>
      <c r="B115" s="238" t="s">
        <v>1005</v>
      </c>
      <c r="C115" s="238">
        <f>data!X69</f>
        <v>1254872.07</v>
      </c>
      <c r="D115" s="238">
        <f>data!Y69</f>
        <v>2672857.3200000003</v>
      </c>
      <c r="E115" s="238">
        <f>data!Z69</f>
        <v>0</v>
      </c>
      <c r="F115" s="238">
        <f>data!AA69</f>
        <v>74245.600000000006</v>
      </c>
      <c r="G115" s="238">
        <f>data!AB69</f>
        <v>6569733.6599999992</v>
      </c>
      <c r="H115" s="238">
        <f>data!AC69</f>
        <v>345988.22000000003</v>
      </c>
      <c r="I115" s="238">
        <f>data!AD69</f>
        <v>110678.47</v>
      </c>
    </row>
    <row r="116" spans="1:9" ht="20.100000000000001" customHeight="1" x14ac:dyDescent="0.2">
      <c r="A116" s="230">
        <v>15</v>
      </c>
      <c r="B116" s="238" t="s">
        <v>283</v>
      </c>
      <c r="C116" s="238">
        <f>-data!X84</f>
        <v>0</v>
      </c>
      <c r="D116" s="238">
        <f>-data!Y84</f>
        <v>0</v>
      </c>
      <c r="E116" s="238">
        <f>-data!Z84</f>
        <v>0</v>
      </c>
      <c r="F116" s="238">
        <f>-data!AA84</f>
        <v>0</v>
      </c>
      <c r="G116" s="238">
        <f>-data!AB84</f>
        <v>-93288.45</v>
      </c>
      <c r="H116" s="238">
        <f>-data!AC84</f>
        <v>0</v>
      </c>
      <c r="I116" s="238">
        <f>-data!AD84</f>
        <v>0</v>
      </c>
    </row>
    <row r="117" spans="1:9" ht="20.100000000000001" customHeight="1" x14ac:dyDescent="0.2">
      <c r="A117" s="230">
        <v>16</v>
      </c>
      <c r="B117" s="246" t="s">
        <v>1006</v>
      </c>
      <c r="C117" s="238">
        <f>data!X85</f>
        <v>17593127.459999997</v>
      </c>
      <c r="D117" s="238">
        <f>data!Y85</f>
        <v>30812405.270000003</v>
      </c>
      <c r="E117" s="238">
        <f>data!Z85</f>
        <v>0</v>
      </c>
      <c r="F117" s="238">
        <f>data!AA85</f>
        <v>2153510.34</v>
      </c>
      <c r="G117" s="238">
        <f>data!AB85</f>
        <v>219205997.19</v>
      </c>
      <c r="H117" s="238">
        <f>data!AC85</f>
        <v>13764414.500000002</v>
      </c>
      <c r="I117" s="238">
        <f>data!AD85</f>
        <v>3238138.27</v>
      </c>
    </row>
    <row r="118" spans="1:9" ht="20.100000000000001" customHeight="1" x14ac:dyDescent="0.2">
      <c r="A118" s="230">
        <v>17</v>
      </c>
      <c r="B118" s="238" t="s">
        <v>285</v>
      </c>
      <c r="C118" s="248"/>
      <c r="D118" s="248"/>
      <c r="E118" s="248"/>
      <c r="F118" s="248"/>
      <c r="G118" s="248"/>
      <c r="H118" s="248"/>
      <c r="I118" s="248"/>
    </row>
    <row r="119" spans="1:9" ht="20.100000000000001" customHeight="1" x14ac:dyDescent="0.2">
      <c r="A119" s="230">
        <v>18</v>
      </c>
      <c r="B119" s="238" t="s">
        <v>1007</v>
      </c>
      <c r="C119" s="246">
        <f>+data!M689</f>
        <v>3186280</v>
      </c>
      <c r="D119" s="246">
        <f>+data!M690</f>
        <v>5053942</v>
      </c>
      <c r="E119" s="246">
        <f>+data!M691</f>
        <v>230</v>
      </c>
      <c r="F119" s="246">
        <f>+data!M692</f>
        <v>343132</v>
      </c>
      <c r="G119" s="246">
        <f>+data!M693</f>
        <v>34993277</v>
      </c>
      <c r="H119" s="246">
        <f>+data!M694</f>
        <v>2209537</v>
      </c>
      <c r="I119" s="246">
        <f>+data!M695</f>
        <v>501272</v>
      </c>
    </row>
    <row r="120" spans="1:9" ht="20.100000000000001" customHeight="1" x14ac:dyDescent="0.2">
      <c r="A120" s="230">
        <v>19</v>
      </c>
      <c r="B120" s="246" t="s">
        <v>1008</v>
      </c>
      <c r="C120" s="238">
        <f>data!X87</f>
        <v>97367553.659999996</v>
      </c>
      <c r="D120" s="238">
        <f>data!Y87</f>
        <v>109752076.69999999</v>
      </c>
      <c r="E120" s="238">
        <f>data!Z87</f>
        <v>0</v>
      </c>
      <c r="F120" s="238">
        <f>data!AA87</f>
        <v>3117870.2</v>
      </c>
      <c r="G120" s="238">
        <f>data!AB87</f>
        <v>130823459.61999999</v>
      </c>
      <c r="H120" s="238">
        <f>data!AC87</f>
        <v>64164746</v>
      </c>
      <c r="I120" s="238">
        <f>data!AD87</f>
        <v>4969073</v>
      </c>
    </row>
    <row r="121" spans="1:9" ht="20.100000000000001" customHeight="1" x14ac:dyDescent="0.2">
      <c r="A121" s="230">
        <v>20</v>
      </c>
      <c r="B121" s="246" t="s">
        <v>1009</v>
      </c>
      <c r="C121" s="238">
        <f>data!X88</f>
        <v>192090834.50999999</v>
      </c>
      <c r="D121" s="238">
        <f>data!Y88</f>
        <v>92951926.899999991</v>
      </c>
      <c r="E121" s="238">
        <f>data!Z88</f>
        <v>0</v>
      </c>
      <c r="F121" s="238">
        <f>data!AA88</f>
        <v>5795176.6500000004</v>
      </c>
      <c r="G121" s="238">
        <f>data!AB88</f>
        <v>814711136.37999988</v>
      </c>
      <c r="H121" s="238">
        <f>data!AC88</f>
        <v>2118873</v>
      </c>
      <c r="I121" s="238">
        <f>data!AD88</f>
        <v>149603</v>
      </c>
    </row>
    <row r="122" spans="1:9" ht="20.100000000000001" customHeight="1" x14ac:dyDescent="0.2">
      <c r="A122" s="230">
        <v>21</v>
      </c>
      <c r="B122" s="246" t="s">
        <v>1010</v>
      </c>
      <c r="C122" s="238">
        <f>data!X89</f>
        <v>289458388.16999996</v>
      </c>
      <c r="D122" s="238">
        <f>data!Y89</f>
        <v>202704003.59999996</v>
      </c>
      <c r="E122" s="238">
        <f>data!Z89</f>
        <v>0</v>
      </c>
      <c r="F122" s="238">
        <f>data!AA89</f>
        <v>8913046.8500000015</v>
      </c>
      <c r="G122" s="238">
        <f>data!AB89</f>
        <v>945534595.99999988</v>
      </c>
      <c r="H122" s="238">
        <f>data!AC89</f>
        <v>66283619</v>
      </c>
      <c r="I122" s="238">
        <f>data!AD89</f>
        <v>5118676</v>
      </c>
    </row>
    <row r="123" spans="1:9" ht="20.100000000000001" customHeight="1" x14ac:dyDescent="0.2">
      <c r="A123" s="230" t="s">
        <v>1011</v>
      </c>
      <c r="B123" s="238"/>
      <c r="C123" s="248"/>
      <c r="D123" s="248"/>
      <c r="E123" s="248"/>
      <c r="F123" s="248"/>
      <c r="G123" s="248"/>
      <c r="H123" s="248"/>
      <c r="I123" s="248"/>
    </row>
    <row r="124" spans="1:9" ht="20.100000000000001" customHeight="1" x14ac:dyDescent="0.2">
      <c r="A124" s="230">
        <v>22</v>
      </c>
      <c r="B124" s="238" t="s">
        <v>1012</v>
      </c>
      <c r="C124" s="238">
        <f>data!X90</f>
        <v>2797.855</v>
      </c>
      <c r="D124" s="238">
        <f>data!Y90</f>
        <v>13121.527000000006</v>
      </c>
      <c r="E124" s="238">
        <f>data!Z90</f>
        <v>18341.72</v>
      </c>
      <c r="F124" s="238">
        <f>data!AA90</f>
        <v>1708.6399999999999</v>
      </c>
      <c r="G124" s="238">
        <f>data!AB90</f>
        <v>13425.915000000003</v>
      </c>
      <c r="H124" s="238">
        <f>data!AC90</f>
        <v>2306.8300000000004</v>
      </c>
      <c r="I124" s="238">
        <f>data!AD90</f>
        <v>326.70999999999998</v>
      </c>
    </row>
    <row r="125" spans="1:9" ht="20.100000000000001" customHeight="1" x14ac:dyDescent="0.2">
      <c r="A125" s="230">
        <v>23</v>
      </c>
      <c r="B125" s="238" t="s">
        <v>1013</v>
      </c>
      <c r="C125" s="238">
        <f>data!X91</f>
        <v>0</v>
      </c>
      <c r="D125" s="238">
        <f>data!Y91</f>
        <v>101.57989783030783</v>
      </c>
      <c r="E125" s="238">
        <f>data!Z91</f>
        <v>1.6490243154270749</v>
      </c>
      <c r="F125" s="238">
        <f>data!AA91</f>
        <v>0</v>
      </c>
      <c r="G125" s="238">
        <f>data!AB91</f>
        <v>0</v>
      </c>
      <c r="H125" s="238">
        <f>data!AC91</f>
        <v>0</v>
      </c>
      <c r="I125" s="238">
        <f>data!AD91</f>
        <v>0</v>
      </c>
    </row>
    <row r="126" spans="1:9" ht="20.100000000000001" customHeight="1" x14ac:dyDescent="0.2">
      <c r="A126" s="230">
        <v>24</v>
      </c>
      <c r="B126" s="238" t="s">
        <v>1014</v>
      </c>
      <c r="C126" s="238">
        <f>data!X92</f>
        <v>0</v>
      </c>
      <c r="D126" s="238">
        <f>data!Y92</f>
        <v>6225.4544560717568</v>
      </c>
      <c r="E126" s="238">
        <f>data!Z92</f>
        <v>0</v>
      </c>
      <c r="F126" s="238">
        <f>data!AA92</f>
        <v>0</v>
      </c>
      <c r="G126" s="238">
        <f>data!AB92</f>
        <v>1264.7478150873965</v>
      </c>
      <c r="H126" s="238">
        <f>data!AC92</f>
        <v>0</v>
      </c>
      <c r="I126" s="238">
        <f>data!AD92</f>
        <v>0</v>
      </c>
    </row>
    <row r="127" spans="1:9" ht="20.100000000000001" customHeight="1" x14ac:dyDescent="0.2">
      <c r="A127" s="230">
        <v>25</v>
      </c>
      <c r="B127" s="238" t="s">
        <v>1015</v>
      </c>
      <c r="C127" s="238">
        <f>data!X93</f>
        <v>173084.80000000002</v>
      </c>
      <c r="D127" s="238">
        <f>data!Y93</f>
        <v>150954.88</v>
      </c>
      <c r="E127" s="238">
        <f>data!Z93</f>
        <v>0</v>
      </c>
      <c r="F127" s="238">
        <f>data!AA93</f>
        <v>0</v>
      </c>
      <c r="G127" s="238">
        <f>data!AB93</f>
        <v>21318.329999999998</v>
      </c>
      <c r="H127" s="238">
        <f>data!AC93</f>
        <v>1516.86</v>
      </c>
      <c r="I127" s="238">
        <f>data!AD93</f>
        <v>0</v>
      </c>
    </row>
    <row r="128" spans="1:9" ht="20.100000000000001" customHeight="1" x14ac:dyDescent="0.2">
      <c r="A128" s="230">
        <v>26</v>
      </c>
      <c r="B128" s="238" t="s">
        <v>293</v>
      </c>
      <c r="C128" s="245">
        <f>data!X94</f>
        <v>0</v>
      </c>
      <c r="D128" s="245">
        <f>data!Y94</f>
        <v>13</v>
      </c>
      <c r="E128" s="245">
        <f>data!Z94</f>
        <v>0</v>
      </c>
      <c r="F128" s="245">
        <f>data!AA94</f>
        <v>0</v>
      </c>
      <c r="G128" s="245">
        <f>data!AB94</f>
        <v>0</v>
      </c>
      <c r="H128" s="245">
        <f>data!AC94</f>
        <v>0</v>
      </c>
      <c r="I128" s="245">
        <f>data!AD94</f>
        <v>0</v>
      </c>
    </row>
    <row r="129" spans="1:14" ht="20.100000000000001" customHeight="1" x14ac:dyDescent="0.2">
      <c r="A129" s="231" t="s">
        <v>997</v>
      </c>
      <c r="B129" s="232"/>
      <c r="C129" s="232"/>
      <c r="D129" s="232"/>
      <c r="E129" s="232"/>
      <c r="F129" s="232"/>
      <c r="G129" s="232"/>
      <c r="H129" s="232"/>
      <c r="I129" s="231"/>
    </row>
    <row r="130" spans="1:14" ht="20.100000000000001" customHeight="1" x14ac:dyDescent="0.2">
      <c r="D130" s="234"/>
      <c r="I130" s="235" t="s">
        <v>1028</v>
      </c>
    </row>
    <row r="131" spans="1:14" ht="20.100000000000001" customHeight="1" x14ac:dyDescent="0.2">
      <c r="A131" s="234"/>
    </row>
    <row r="132" spans="1:14" ht="20.100000000000001" customHeight="1" x14ac:dyDescent="0.2">
      <c r="A132" s="236" t="str">
        <f>"Hospital: "&amp;data!C98</f>
        <v>Hospital: Tacoma General / Allenmore</v>
      </c>
      <c r="G132" s="237"/>
      <c r="H132" s="236" t="str">
        <f>"FYE: "&amp;data!C96</f>
        <v>FYE: 12/31/2024</v>
      </c>
    </row>
    <row r="133" spans="1:14" ht="20.100000000000001" customHeight="1" x14ac:dyDescent="0.2">
      <c r="A133" s="230">
        <v>1</v>
      </c>
      <c r="B133" s="238" t="s">
        <v>235</v>
      </c>
      <c r="C133" s="240" t="s">
        <v>63</v>
      </c>
      <c r="D133" s="240" t="s">
        <v>64</v>
      </c>
      <c r="E133" s="240" t="s">
        <v>65</v>
      </c>
      <c r="F133" s="240" t="s">
        <v>66</v>
      </c>
      <c r="G133" s="240" t="s">
        <v>67</v>
      </c>
      <c r="H133" s="240" t="s">
        <v>68</v>
      </c>
      <c r="I133" s="240" t="s">
        <v>69</v>
      </c>
    </row>
    <row r="134" spans="1:14" ht="20.100000000000001" customHeight="1" x14ac:dyDescent="0.2">
      <c r="A134" s="241">
        <v>2</v>
      </c>
      <c r="B134" s="242" t="s">
        <v>999</v>
      </c>
      <c r="C134" s="244" t="s">
        <v>121</v>
      </c>
      <c r="D134" s="244" t="s">
        <v>122</v>
      </c>
      <c r="E134" s="244" t="s">
        <v>144</v>
      </c>
      <c r="F134" s="244"/>
      <c r="G134" s="244" t="s">
        <v>1029</v>
      </c>
      <c r="H134" s="244"/>
      <c r="I134" s="244" t="s">
        <v>148</v>
      </c>
    </row>
    <row r="135" spans="1:14" ht="20.100000000000001" customHeight="1" x14ac:dyDescent="0.2">
      <c r="A135" s="241"/>
      <c r="B135" s="242"/>
      <c r="C135" s="244" t="s">
        <v>198</v>
      </c>
      <c r="D135" s="244" t="s">
        <v>205</v>
      </c>
      <c r="E135" s="244" t="s">
        <v>197</v>
      </c>
      <c r="F135" s="244" t="s">
        <v>145</v>
      </c>
      <c r="G135" s="244" t="s">
        <v>206</v>
      </c>
      <c r="H135" s="244" t="s">
        <v>147</v>
      </c>
      <c r="I135" s="244" t="s">
        <v>198</v>
      </c>
    </row>
    <row r="136" spans="1:14" ht="20.100000000000001" customHeight="1" x14ac:dyDescent="0.2">
      <c r="A136" s="230">
        <v>3</v>
      </c>
      <c r="B136" s="238" t="s">
        <v>1003</v>
      </c>
      <c r="C136" s="240" t="s">
        <v>252</v>
      </c>
      <c r="D136" s="240" t="s">
        <v>254</v>
      </c>
      <c r="E136" s="240" t="s">
        <v>254</v>
      </c>
      <c r="F136" s="240" t="s">
        <v>255</v>
      </c>
      <c r="G136" s="239" t="s">
        <v>1030</v>
      </c>
      <c r="H136" s="240" t="s">
        <v>254</v>
      </c>
      <c r="I136" s="240" t="s">
        <v>252</v>
      </c>
    </row>
    <row r="137" spans="1:14" ht="20.100000000000001" customHeight="1" x14ac:dyDescent="0.25">
      <c r="A137" s="230">
        <v>4</v>
      </c>
      <c r="B137" s="238" t="s">
        <v>260</v>
      </c>
      <c r="C137" s="238">
        <f>data!AE59</f>
        <v>0</v>
      </c>
      <c r="D137" s="238">
        <f>data!AF59</f>
        <v>0</v>
      </c>
      <c r="E137" s="238">
        <f>data!AG59</f>
        <v>136782</v>
      </c>
      <c r="F137" s="238">
        <f>data!AH59</f>
        <v>0</v>
      </c>
      <c r="G137" s="238">
        <f>data!AI59</f>
        <v>0</v>
      </c>
      <c r="H137" s="238">
        <f>data!AJ59</f>
        <v>0</v>
      </c>
      <c r="I137" s="238">
        <f>data!AK59</f>
        <v>57077</v>
      </c>
      <c r="K137" s="249"/>
      <c r="L137" s="251"/>
      <c r="M137" s="251"/>
      <c r="N137" s="251"/>
    </row>
    <row r="138" spans="1:14" ht="20.100000000000001" customHeight="1" x14ac:dyDescent="0.2">
      <c r="A138" s="230">
        <v>5</v>
      </c>
      <c r="B138" s="238" t="s">
        <v>261</v>
      </c>
      <c r="C138" s="245">
        <f>data!AE60</f>
        <v>0</v>
      </c>
      <c r="D138" s="245">
        <f>data!AF60</f>
        <v>0</v>
      </c>
      <c r="E138" s="245">
        <f>data!AG60</f>
        <v>269</v>
      </c>
      <c r="F138" s="245">
        <f>data!AH60</f>
        <v>0</v>
      </c>
      <c r="G138" s="245">
        <f>data!AI60</f>
        <v>0</v>
      </c>
      <c r="H138" s="245">
        <f>data!AJ60</f>
        <v>68</v>
      </c>
      <c r="I138" s="245">
        <f>data!AK60</f>
        <v>46</v>
      </c>
    </row>
    <row r="139" spans="1:14" ht="20.100000000000001" customHeight="1" x14ac:dyDescent="0.2">
      <c r="A139" s="230">
        <v>6</v>
      </c>
      <c r="B139" s="238" t="s">
        <v>262</v>
      </c>
      <c r="C139" s="238">
        <f>data!AE61</f>
        <v>0</v>
      </c>
      <c r="D139" s="238">
        <f>data!AF61</f>
        <v>779.35</v>
      </c>
      <c r="E139" s="238">
        <f>data!AG61</f>
        <v>27011609.359999999</v>
      </c>
      <c r="F139" s="238">
        <f>data!AH61</f>
        <v>0</v>
      </c>
      <c r="G139" s="238">
        <f>data!AI61</f>
        <v>0</v>
      </c>
      <c r="H139" s="238">
        <f>data!AJ61</f>
        <v>6958161.0999999996</v>
      </c>
      <c r="I139" s="238">
        <f>data!AK61</f>
        <v>3135099.06</v>
      </c>
    </row>
    <row r="140" spans="1:14" ht="20.100000000000001" customHeight="1" x14ac:dyDescent="0.2">
      <c r="A140" s="230">
        <v>7</v>
      </c>
      <c r="B140" s="238" t="s">
        <v>10</v>
      </c>
      <c r="C140" s="238">
        <f>data!AE62</f>
        <v>0</v>
      </c>
      <c r="D140" s="238">
        <f>data!AF62</f>
        <v>154</v>
      </c>
      <c r="E140" s="238">
        <f>data!AG62</f>
        <v>6421965</v>
      </c>
      <c r="F140" s="238">
        <f>data!AH62</f>
        <v>0</v>
      </c>
      <c r="G140" s="238">
        <f>data!AI62</f>
        <v>0</v>
      </c>
      <c r="H140" s="238">
        <f>data!AJ62</f>
        <v>1541434</v>
      </c>
      <c r="I140" s="238">
        <f>data!AK62</f>
        <v>789217</v>
      </c>
    </row>
    <row r="141" spans="1:14" ht="20.100000000000001" customHeight="1" x14ac:dyDescent="0.2">
      <c r="A141" s="230">
        <v>8</v>
      </c>
      <c r="B141" s="238" t="s">
        <v>263</v>
      </c>
      <c r="C141" s="238">
        <f>data!AE63</f>
        <v>0</v>
      </c>
      <c r="D141" s="238">
        <f>data!AF63</f>
        <v>0</v>
      </c>
      <c r="E141" s="238">
        <f>data!AG63</f>
        <v>2740357.47</v>
      </c>
      <c r="F141" s="238">
        <f>data!AH63</f>
        <v>0</v>
      </c>
      <c r="G141" s="238">
        <f>data!AI63</f>
        <v>0</v>
      </c>
      <c r="H141" s="238">
        <f>data!AJ63</f>
        <v>2275</v>
      </c>
      <c r="I141" s="238">
        <f>data!AK63</f>
        <v>0</v>
      </c>
    </row>
    <row r="142" spans="1:14" ht="20.100000000000001" customHeight="1" x14ac:dyDescent="0.2">
      <c r="A142" s="230">
        <v>9</v>
      </c>
      <c r="B142" s="238" t="s">
        <v>264</v>
      </c>
      <c r="C142" s="238">
        <f>data!AE64</f>
        <v>0</v>
      </c>
      <c r="D142" s="238">
        <f>data!AF64</f>
        <v>20.28</v>
      </c>
      <c r="E142" s="238">
        <f>data!AG64</f>
        <v>4678573.33</v>
      </c>
      <c r="F142" s="238">
        <f>data!AH64</f>
        <v>0</v>
      </c>
      <c r="G142" s="238">
        <f>data!AI64</f>
        <v>0</v>
      </c>
      <c r="H142" s="238">
        <f>data!AJ64</f>
        <v>84988.959999999992</v>
      </c>
      <c r="I142" s="238">
        <f>data!AK64</f>
        <v>12487.29</v>
      </c>
    </row>
    <row r="143" spans="1:14" ht="20.100000000000001" customHeight="1" x14ac:dyDescent="0.2">
      <c r="A143" s="230">
        <v>10</v>
      </c>
      <c r="B143" s="238" t="s">
        <v>518</v>
      </c>
      <c r="C143" s="238">
        <f>data!AE65</f>
        <v>0</v>
      </c>
      <c r="D143" s="238">
        <f>data!AF65</f>
        <v>0</v>
      </c>
      <c r="E143" s="238">
        <f>data!AG65</f>
        <v>0</v>
      </c>
      <c r="F143" s="238">
        <f>data!AH65</f>
        <v>0</v>
      </c>
      <c r="G143" s="238">
        <f>data!AI65</f>
        <v>0</v>
      </c>
      <c r="H143" s="238">
        <f>data!AJ65</f>
        <v>0</v>
      </c>
      <c r="I143" s="238">
        <f>data!AK65</f>
        <v>0</v>
      </c>
    </row>
    <row r="144" spans="1:14" ht="20.100000000000001" customHeight="1" x14ac:dyDescent="0.2">
      <c r="A144" s="230">
        <v>11</v>
      </c>
      <c r="B144" s="238" t="s">
        <v>519</v>
      </c>
      <c r="C144" s="238">
        <f>data!AE66</f>
        <v>0</v>
      </c>
      <c r="D144" s="238">
        <f>data!AF66</f>
        <v>-6395.28</v>
      </c>
      <c r="E144" s="238">
        <f>data!AG66</f>
        <v>35842859.890000008</v>
      </c>
      <c r="F144" s="238">
        <f>data!AH66</f>
        <v>0</v>
      </c>
      <c r="G144" s="238">
        <f>data!AI66</f>
        <v>0</v>
      </c>
      <c r="H144" s="238">
        <f>data!AJ66</f>
        <v>-4625965.66</v>
      </c>
      <c r="I144" s="238">
        <f>data!AK66</f>
        <v>1354061.96</v>
      </c>
    </row>
    <row r="145" spans="1:9" ht="20.100000000000001" customHeight="1" x14ac:dyDescent="0.2">
      <c r="A145" s="230">
        <v>12</v>
      </c>
      <c r="B145" s="238" t="s">
        <v>15</v>
      </c>
      <c r="C145" s="238">
        <f>data!AE67</f>
        <v>14208</v>
      </c>
      <c r="D145" s="238">
        <f>data!AF67</f>
        <v>603</v>
      </c>
      <c r="E145" s="238">
        <f>data!AG67</f>
        <v>1990086</v>
      </c>
      <c r="F145" s="238">
        <f>data!AH67</f>
        <v>0</v>
      </c>
      <c r="G145" s="238">
        <f>data!AI67</f>
        <v>0</v>
      </c>
      <c r="H145" s="238">
        <f>data!AJ67</f>
        <v>40377</v>
      </c>
      <c r="I145" s="238">
        <f>data!AK67</f>
        <v>15955</v>
      </c>
    </row>
    <row r="146" spans="1:9" ht="20.100000000000001" customHeight="1" x14ac:dyDescent="0.2">
      <c r="A146" s="230">
        <v>13</v>
      </c>
      <c r="B146" s="238" t="s">
        <v>1004</v>
      </c>
      <c r="C146" s="238">
        <f>data!AE68</f>
        <v>0</v>
      </c>
      <c r="D146" s="238">
        <f>data!AF68</f>
        <v>0</v>
      </c>
      <c r="E146" s="238">
        <f>data!AG68</f>
        <v>906729.04</v>
      </c>
      <c r="F146" s="238">
        <f>data!AH68</f>
        <v>0</v>
      </c>
      <c r="G146" s="238">
        <f>data!AI68</f>
        <v>0</v>
      </c>
      <c r="H146" s="238">
        <f>data!AJ68</f>
        <v>77798.23</v>
      </c>
      <c r="I146" s="238">
        <f>data!AK68</f>
        <v>0</v>
      </c>
    </row>
    <row r="147" spans="1:9" ht="20.100000000000001" customHeight="1" x14ac:dyDescent="0.2">
      <c r="A147" s="230">
        <v>14</v>
      </c>
      <c r="B147" s="238" t="s">
        <v>1005</v>
      </c>
      <c r="C147" s="238">
        <f>data!AE69</f>
        <v>610.16</v>
      </c>
      <c r="D147" s="238">
        <f>data!AF69</f>
        <v>3844.39</v>
      </c>
      <c r="E147" s="238">
        <f>data!AG69</f>
        <v>4889565.4300000006</v>
      </c>
      <c r="F147" s="238">
        <f>data!AH69</f>
        <v>0</v>
      </c>
      <c r="G147" s="238">
        <f>data!AI69</f>
        <v>0</v>
      </c>
      <c r="H147" s="238">
        <f>data!AJ69</f>
        <v>-504343.90999999992</v>
      </c>
      <c r="I147" s="238">
        <f>data!AK69</f>
        <v>166658.38999999998</v>
      </c>
    </row>
    <row r="148" spans="1:9" ht="20.100000000000001" customHeight="1" x14ac:dyDescent="0.2">
      <c r="A148" s="230">
        <v>15</v>
      </c>
      <c r="B148" s="238" t="s">
        <v>283</v>
      </c>
      <c r="C148" s="238">
        <f>-data!AE84</f>
        <v>0</v>
      </c>
      <c r="D148" s="238">
        <f>-data!AF84</f>
        <v>0</v>
      </c>
      <c r="E148" s="238">
        <f>-data!AG84</f>
        <v>-8723</v>
      </c>
      <c r="F148" s="238">
        <f>-data!AH84</f>
        <v>0</v>
      </c>
      <c r="G148" s="238">
        <f>-data!AI84</f>
        <v>0</v>
      </c>
      <c r="H148" s="238">
        <f>-data!AJ84</f>
        <v>-944681.28</v>
      </c>
      <c r="I148" s="238">
        <f>-data!AK84</f>
        <v>0</v>
      </c>
    </row>
    <row r="149" spans="1:9" ht="20.100000000000001" customHeight="1" x14ac:dyDescent="0.2">
      <c r="A149" s="230">
        <v>16</v>
      </c>
      <c r="B149" s="246" t="s">
        <v>1006</v>
      </c>
      <c r="C149" s="238">
        <f>data!AE85</f>
        <v>14818.16</v>
      </c>
      <c r="D149" s="238">
        <f>data!AF85</f>
        <v>-994.25999999999976</v>
      </c>
      <c r="E149" s="238">
        <f>data!AG85</f>
        <v>84473022.520000026</v>
      </c>
      <c r="F149" s="238">
        <f>data!AH85</f>
        <v>0</v>
      </c>
      <c r="G149" s="238">
        <f>data!AI85</f>
        <v>0</v>
      </c>
      <c r="H149" s="238">
        <f>data!AJ85</f>
        <v>2630043.4400000004</v>
      </c>
      <c r="I149" s="238">
        <f>data!AK85</f>
        <v>5473478.7000000002</v>
      </c>
    </row>
    <row r="150" spans="1:9" ht="20.100000000000001" customHeight="1" x14ac:dyDescent="0.2">
      <c r="A150" s="230">
        <v>17</v>
      </c>
      <c r="B150" s="238" t="s">
        <v>285</v>
      </c>
      <c r="C150" s="248"/>
      <c r="D150" s="248"/>
      <c r="E150" s="248"/>
      <c r="F150" s="248"/>
      <c r="G150" s="248"/>
      <c r="H150" s="248"/>
      <c r="I150" s="248"/>
    </row>
    <row r="151" spans="1:9" ht="20.100000000000001" customHeight="1" x14ac:dyDescent="0.2">
      <c r="A151" s="230">
        <v>18</v>
      </c>
      <c r="B151" s="238" t="s">
        <v>1007</v>
      </c>
      <c r="C151" s="246">
        <f>+data!M696</f>
        <v>2268</v>
      </c>
      <c r="D151" s="246">
        <f>+data!M697</f>
        <v>-151</v>
      </c>
      <c r="E151" s="246">
        <f>+data!M698</f>
        <v>14008878</v>
      </c>
      <c r="F151" s="246">
        <f>+data!M699</f>
        <v>0</v>
      </c>
      <c r="G151" s="246">
        <f>+data!M700</f>
        <v>6214</v>
      </c>
      <c r="H151" s="246">
        <f>+data!M701</f>
        <v>416863</v>
      </c>
      <c r="I151" s="246">
        <f>+data!M702</f>
        <v>853384</v>
      </c>
    </row>
    <row r="152" spans="1:9" ht="20.100000000000001" customHeight="1" x14ac:dyDescent="0.2">
      <c r="A152" s="230">
        <v>19</v>
      </c>
      <c r="B152" s="246" t="s">
        <v>1008</v>
      </c>
      <c r="C152" s="238">
        <f>data!AE87</f>
        <v>0</v>
      </c>
      <c r="D152" s="238">
        <f>data!AF87</f>
        <v>0</v>
      </c>
      <c r="E152" s="238">
        <f>data!AG87</f>
        <v>121212711</v>
      </c>
      <c r="F152" s="238">
        <f>data!AH87</f>
        <v>0</v>
      </c>
      <c r="G152" s="238">
        <f>data!AI87</f>
        <v>0</v>
      </c>
      <c r="H152" s="238">
        <f>data!AJ87</f>
        <v>3657.45</v>
      </c>
      <c r="I152" s="238">
        <f>data!AK87</f>
        <v>10955562</v>
      </c>
    </row>
    <row r="153" spans="1:9" ht="20.100000000000001" customHeight="1" x14ac:dyDescent="0.2">
      <c r="A153" s="230">
        <v>20</v>
      </c>
      <c r="B153" s="246" t="s">
        <v>1009</v>
      </c>
      <c r="C153" s="238">
        <f>data!AE88</f>
        <v>0</v>
      </c>
      <c r="D153" s="238">
        <f>data!AF88</f>
        <v>0</v>
      </c>
      <c r="E153" s="238">
        <f>data!AG88</f>
        <v>449305497.39999998</v>
      </c>
      <c r="F153" s="238">
        <f>data!AH88</f>
        <v>0</v>
      </c>
      <c r="G153" s="238">
        <f>data!AI88</f>
        <v>0</v>
      </c>
      <c r="H153" s="238">
        <f>data!AJ88</f>
        <v>6652907.2300000004</v>
      </c>
      <c r="I153" s="238">
        <f>data!AK88</f>
        <v>1135210</v>
      </c>
    </row>
    <row r="154" spans="1:9" ht="20.100000000000001" customHeight="1" x14ac:dyDescent="0.2">
      <c r="A154" s="230">
        <v>21</v>
      </c>
      <c r="B154" s="246" t="s">
        <v>1010</v>
      </c>
      <c r="C154" s="238">
        <f>data!AE89</f>
        <v>0</v>
      </c>
      <c r="D154" s="238">
        <f>data!AF89</f>
        <v>0</v>
      </c>
      <c r="E154" s="238">
        <f>data!AG89</f>
        <v>570518208.39999998</v>
      </c>
      <c r="F154" s="238">
        <f>data!AH89</f>
        <v>0</v>
      </c>
      <c r="G154" s="238">
        <f>data!AI89</f>
        <v>0</v>
      </c>
      <c r="H154" s="238">
        <f>data!AJ89</f>
        <v>6656564.6800000006</v>
      </c>
      <c r="I154" s="238">
        <f>data!AK89</f>
        <v>12090772</v>
      </c>
    </row>
    <row r="155" spans="1:9" ht="20.100000000000001" customHeight="1" x14ac:dyDescent="0.2">
      <c r="A155" s="230" t="s">
        <v>1011</v>
      </c>
      <c r="B155" s="238"/>
      <c r="C155" s="248"/>
      <c r="D155" s="248"/>
      <c r="E155" s="248"/>
      <c r="F155" s="248"/>
      <c r="G155" s="248"/>
      <c r="H155" s="248"/>
      <c r="I155" s="248"/>
    </row>
    <row r="156" spans="1:9" ht="20.100000000000001" customHeight="1" x14ac:dyDescent="0.2">
      <c r="A156" s="230">
        <v>22</v>
      </c>
      <c r="B156" s="238" t="s">
        <v>1012</v>
      </c>
      <c r="C156" s="238">
        <f>data!AE90</f>
        <v>1243.94</v>
      </c>
      <c r="D156" s="238">
        <f>data!AF90</f>
        <v>0</v>
      </c>
      <c r="E156" s="238">
        <f>data!AG90</f>
        <v>50954.199999999975</v>
      </c>
      <c r="F156" s="238">
        <f>data!AH90</f>
        <v>0</v>
      </c>
      <c r="G156" s="238">
        <f>data!AI90</f>
        <v>7806.2720000000008</v>
      </c>
      <c r="H156" s="238">
        <f>data!AJ90</f>
        <v>8502.6099999999988</v>
      </c>
      <c r="I156" s="238">
        <f>data!AK90</f>
        <v>0</v>
      </c>
    </row>
    <row r="157" spans="1:9" ht="20.100000000000001" customHeight="1" x14ac:dyDescent="0.2">
      <c r="A157" s="230">
        <v>23</v>
      </c>
      <c r="B157" s="238" t="s">
        <v>1013</v>
      </c>
      <c r="C157" s="238">
        <f>data!AE91</f>
        <v>0</v>
      </c>
      <c r="D157" s="238">
        <f>data!AF91</f>
        <v>0</v>
      </c>
      <c r="E157" s="238">
        <f>data!AG91</f>
        <v>21522.7355600911</v>
      </c>
      <c r="F157" s="238">
        <f>data!AH91</f>
        <v>0</v>
      </c>
      <c r="G157" s="238">
        <f>data!AI91</f>
        <v>10315.306702722526</v>
      </c>
      <c r="H157" s="238">
        <f>data!AJ91</f>
        <v>19.788291785124901</v>
      </c>
      <c r="I157" s="238">
        <f>data!AK91</f>
        <v>0</v>
      </c>
    </row>
    <row r="158" spans="1:9" ht="20.100000000000001" customHeight="1" x14ac:dyDescent="0.2">
      <c r="A158" s="230">
        <v>24</v>
      </c>
      <c r="B158" s="238" t="s">
        <v>1014</v>
      </c>
      <c r="C158" s="238">
        <f>data!AE92</f>
        <v>0</v>
      </c>
      <c r="D158" s="238">
        <f>data!AF92</f>
        <v>0</v>
      </c>
      <c r="E158" s="238">
        <f>data!AG92</f>
        <v>16105.725339236431</v>
      </c>
      <c r="F158" s="238">
        <f>data!AH92</f>
        <v>0</v>
      </c>
      <c r="G158" s="238">
        <f>data!AI92</f>
        <v>0</v>
      </c>
      <c r="H158" s="238">
        <f>data!AJ92</f>
        <v>9276.8490340386379</v>
      </c>
      <c r="I158" s="238">
        <f>data!AK92</f>
        <v>0</v>
      </c>
    </row>
    <row r="159" spans="1:9" ht="20.100000000000001" customHeight="1" x14ac:dyDescent="0.2">
      <c r="A159" s="230">
        <v>25</v>
      </c>
      <c r="B159" s="238" t="s">
        <v>1015</v>
      </c>
      <c r="C159" s="238">
        <f>data!AE93</f>
        <v>5483.9500000000007</v>
      </c>
      <c r="D159" s="238">
        <f>data!AF93</f>
        <v>0</v>
      </c>
      <c r="E159" s="238">
        <f>data!AG93</f>
        <v>600048.45000000007</v>
      </c>
      <c r="F159" s="238">
        <f>data!AH93</f>
        <v>0</v>
      </c>
      <c r="G159" s="238">
        <f>data!AI93</f>
        <v>0</v>
      </c>
      <c r="H159" s="238">
        <f>data!AJ93</f>
        <v>101625.96999999997</v>
      </c>
      <c r="I159" s="238">
        <f>data!AK93</f>
        <v>0</v>
      </c>
    </row>
    <row r="160" spans="1:9" ht="20.100000000000001" customHeight="1" x14ac:dyDescent="0.2">
      <c r="A160" s="230">
        <v>26</v>
      </c>
      <c r="B160" s="238" t="s">
        <v>293</v>
      </c>
      <c r="C160" s="245">
        <f>data!AE94</f>
        <v>0</v>
      </c>
      <c r="D160" s="245">
        <f>data!AF94</f>
        <v>0</v>
      </c>
      <c r="E160" s="245">
        <f>data!AG94</f>
        <v>173</v>
      </c>
      <c r="F160" s="245">
        <f>data!AH94</f>
        <v>0</v>
      </c>
      <c r="G160" s="245">
        <f>data!AI94</f>
        <v>0</v>
      </c>
      <c r="H160" s="245">
        <f>data!AJ94</f>
        <v>5</v>
      </c>
      <c r="I160" s="245">
        <f>data!AK94</f>
        <v>0</v>
      </c>
    </row>
    <row r="161" spans="1:9" ht="20.100000000000001" customHeight="1" x14ac:dyDescent="0.2">
      <c r="A161" s="231" t="s">
        <v>997</v>
      </c>
      <c r="B161" s="232"/>
      <c r="C161" s="232"/>
      <c r="D161" s="232"/>
      <c r="E161" s="232"/>
      <c r="F161" s="232"/>
      <c r="G161" s="232"/>
      <c r="H161" s="232"/>
      <c r="I161" s="231"/>
    </row>
    <row r="162" spans="1:9" ht="20.100000000000001" customHeight="1" x14ac:dyDescent="0.2">
      <c r="D162" s="234"/>
      <c r="I162" s="235" t="s">
        <v>1031</v>
      </c>
    </row>
    <row r="163" spans="1:9" ht="20.100000000000001" customHeight="1" x14ac:dyDescent="0.2">
      <c r="A163" s="234"/>
    </row>
    <row r="164" spans="1:9" ht="20.100000000000001" customHeight="1" x14ac:dyDescent="0.2">
      <c r="A164" s="236" t="str">
        <f>"Hospital: "&amp;data!C98</f>
        <v>Hospital: Tacoma General / Allenmore</v>
      </c>
      <c r="G164" s="237"/>
      <c r="H164" s="236" t="str">
        <f>"FYE: "&amp;data!C96</f>
        <v>FYE: 12/31/2024</v>
      </c>
    </row>
    <row r="165" spans="1:9" ht="20.100000000000001" customHeight="1" x14ac:dyDescent="0.2">
      <c r="A165" s="230">
        <v>1</v>
      </c>
      <c r="B165" s="238" t="s">
        <v>235</v>
      </c>
      <c r="C165" s="240" t="s">
        <v>70</v>
      </c>
      <c r="D165" s="240" t="s">
        <v>71</v>
      </c>
      <c r="E165" s="240" t="s">
        <v>72</v>
      </c>
      <c r="F165" s="240" t="s">
        <v>73</v>
      </c>
      <c r="G165" s="240" t="s">
        <v>74</v>
      </c>
      <c r="H165" s="240" t="s">
        <v>75</v>
      </c>
      <c r="I165" s="240" t="s">
        <v>76</v>
      </c>
    </row>
    <row r="166" spans="1:9" ht="20.100000000000001" customHeight="1" x14ac:dyDescent="0.2">
      <c r="A166" s="241">
        <v>2</v>
      </c>
      <c r="B166" s="242" t="s">
        <v>999</v>
      </c>
      <c r="C166" s="244" t="s">
        <v>149</v>
      </c>
      <c r="D166" s="244" t="s">
        <v>150</v>
      </c>
      <c r="E166" s="244" t="s">
        <v>136</v>
      </c>
      <c r="F166" s="244" t="s">
        <v>151</v>
      </c>
      <c r="G166" s="244" t="s">
        <v>1032</v>
      </c>
      <c r="H166" s="244" t="s">
        <v>153</v>
      </c>
      <c r="I166" s="244" t="s">
        <v>154</v>
      </c>
    </row>
    <row r="167" spans="1:9" ht="20.100000000000001" customHeight="1" x14ac:dyDescent="0.2">
      <c r="A167" s="241"/>
      <c r="B167" s="242"/>
      <c r="C167" s="244" t="s">
        <v>198</v>
      </c>
      <c r="D167" s="244" t="s">
        <v>198</v>
      </c>
      <c r="E167" s="244" t="s">
        <v>1033</v>
      </c>
      <c r="F167" s="244" t="s">
        <v>208</v>
      </c>
      <c r="G167" s="244" t="s">
        <v>147</v>
      </c>
      <c r="H167" s="243" t="s">
        <v>1034</v>
      </c>
      <c r="I167" s="244" t="s">
        <v>195</v>
      </c>
    </row>
    <row r="168" spans="1:9" ht="20.100000000000001" customHeight="1" x14ac:dyDescent="0.2">
      <c r="A168" s="230">
        <v>3</v>
      </c>
      <c r="B168" s="238" t="s">
        <v>1003</v>
      </c>
      <c r="C168" s="240" t="s">
        <v>252</v>
      </c>
      <c r="D168" s="240" t="s">
        <v>252</v>
      </c>
      <c r="E168" s="240" t="s">
        <v>243</v>
      </c>
      <c r="F168" s="240" t="s">
        <v>253</v>
      </c>
      <c r="G168" s="240" t="s">
        <v>254</v>
      </c>
      <c r="H168" s="240" t="s">
        <v>255</v>
      </c>
      <c r="I168" s="240" t="s">
        <v>254</v>
      </c>
    </row>
    <row r="169" spans="1:9" ht="20.100000000000001" customHeight="1" x14ac:dyDescent="0.2">
      <c r="A169" s="230">
        <v>4</v>
      </c>
      <c r="B169" s="238" t="s">
        <v>260</v>
      </c>
      <c r="C169" s="238">
        <f>data!AL59</f>
        <v>9424</v>
      </c>
      <c r="D169" s="238">
        <f>data!AM59</f>
        <v>0</v>
      </c>
      <c r="E169" s="238">
        <f>data!AN59</f>
        <v>0</v>
      </c>
      <c r="F169" s="238">
        <f>data!AO59</f>
        <v>0</v>
      </c>
      <c r="G169" s="238">
        <f>data!AP59</f>
        <v>0</v>
      </c>
      <c r="H169" s="238">
        <f>data!AQ59</f>
        <v>0</v>
      </c>
      <c r="I169" s="238">
        <f>data!AR59</f>
        <v>0</v>
      </c>
    </row>
    <row r="170" spans="1:9" ht="20.100000000000001" customHeight="1" x14ac:dyDescent="0.2">
      <c r="A170" s="230">
        <v>5</v>
      </c>
      <c r="B170" s="238" t="s">
        <v>261</v>
      </c>
      <c r="C170" s="245">
        <f>data!AL60</f>
        <v>11</v>
      </c>
      <c r="D170" s="245">
        <f>data!AM60</f>
        <v>0</v>
      </c>
      <c r="E170" s="245">
        <f>data!AN60</f>
        <v>0</v>
      </c>
      <c r="F170" s="245">
        <f>data!AO60</f>
        <v>88</v>
      </c>
      <c r="G170" s="245">
        <f>data!AP60</f>
        <v>0</v>
      </c>
      <c r="H170" s="245">
        <f>data!AQ60</f>
        <v>0</v>
      </c>
      <c r="I170" s="245">
        <f>data!AR60</f>
        <v>0</v>
      </c>
    </row>
    <row r="171" spans="1:9" ht="20.100000000000001" customHeight="1" x14ac:dyDescent="0.2">
      <c r="A171" s="230">
        <v>6</v>
      </c>
      <c r="B171" s="238" t="s">
        <v>262</v>
      </c>
      <c r="C171" s="238">
        <f>data!AL61</f>
        <v>977480.81</v>
      </c>
      <c r="D171" s="238">
        <f>data!AM61</f>
        <v>0</v>
      </c>
      <c r="E171" s="238">
        <f>data!AN61</f>
        <v>0</v>
      </c>
      <c r="F171" s="238">
        <f>data!AO61</f>
        <v>13854528.820000002</v>
      </c>
      <c r="G171" s="238">
        <f>data!AP61</f>
        <v>0</v>
      </c>
      <c r="H171" s="238">
        <f>data!AQ61</f>
        <v>0</v>
      </c>
      <c r="I171" s="238">
        <f>data!AR61</f>
        <v>324.14999999999998</v>
      </c>
    </row>
    <row r="172" spans="1:9" ht="20.100000000000001" customHeight="1" x14ac:dyDescent="0.2">
      <c r="A172" s="230">
        <v>7</v>
      </c>
      <c r="B172" s="238" t="s">
        <v>10</v>
      </c>
      <c r="C172" s="238">
        <f>data!AL62</f>
        <v>210837</v>
      </c>
      <c r="D172" s="238">
        <f>data!AM62</f>
        <v>0</v>
      </c>
      <c r="E172" s="238">
        <f>data!AN62</f>
        <v>0</v>
      </c>
      <c r="F172" s="238">
        <f>data!AO62</f>
        <v>2685040</v>
      </c>
      <c r="G172" s="238">
        <f>data!AP62</f>
        <v>0</v>
      </c>
      <c r="H172" s="238">
        <f>data!AQ62</f>
        <v>0</v>
      </c>
      <c r="I172" s="238">
        <f>data!AR62</f>
        <v>64</v>
      </c>
    </row>
    <row r="173" spans="1:9" ht="20.100000000000001" customHeight="1" x14ac:dyDescent="0.2">
      <c r="A173" s="230">
        <v>8</v>
      </c>
      <c r="B173" s="238" t="s">
        <v>263</v>
      </c>
      <c r="C173" s="238">
        <f>data!AL63</f>
        <v>0</v>
      </c>
      <c r="D173" s="238">
        <f>data!AM63</f>
        <v>0</v>
      </c>
      <c r="E173" s="238">
        <f>data!AN63</f>
        <v>0</v>
      </c>
      <c r="F173" s="238">
        <f>data!AO63</f>
        <v>2781202.73</v>
      </c>
      <c r="G173" s="238">
        <f>data!AP63</f>
        <v>0</v>
      </c>
      <c r="H173" s="238">
        <f>data!AQ63</f>
        <v>0</v>
      </c>
      <c r="I173" s="238">
        <f>data!AR63</f>
        <v>0</v>
      </c>
    </row>
    <row r="174" spans="1:9" ht="20.100000000000001" customHeight="1" x14ac:dyDescent="0.2">
      <c r="A174" s="230">
        <v>9</v>
      </c>
      <c r="B174" s="238" t="s">
        <v>264</v>
      </c>
      <c r="C174" s="238">
        <f>data!AL64</f>
        <v>22101.89</v>
      </c>
      <c r="D174" s="238">
        <f>data!AM64</f>
        <v>0</v>
      </c>
      <c r="E174" s="238">
        <f>data!AN64</f>
        <v>0</v>
      </c>
      <c r="F174" s="238">
        <f>data!AO64</f>
        <v>680970.29999999993</v>
      </c>
      <c r="G174" s="238">
        <f>data!AP64</f>
        <v>0</v>
      </c>
      <c r="H174" s="238">
        <f>data!AQ64</f>
        <v>0</v>
      </c>
      <c r="I174" s="238">
        <f>data!AR64</f>
        <v>0</v>
      </c>
    </row>
    <row r="175" spans="1:9" ht="20.100000000000001" customHeight="1" x14ac:dyDescent="0.2">
      <c r="A175" s="230">
        <v>10</v>
      </c>
      <c r="B175" s="238" t="s">
        <v>518</v>
      </c>
      <c r="C175" s="238">
        <f>data!AL65</f>
        <v>0</v>
      </c>
      <c r="D175" s="238">
        <f>data!AM65</f>
        <v>0</v>
      </c>
      <c r="E175" s="238">
        <f>data!AN65</f>
        <v>0</v>
      </c>
      <c r="F175" s="238">
        <f>data!AO65</f>
        <v>0</v>
      </c>
      <c r="G175" s="238">
        <f>data!AP65</f>
        <v>0</v>
      </c>
      <c r="H175" s="238">
        <f>data!AQ65</f>
        <v>0</v>
      </c>
      <c r="I175" s="238">
        <f>data!AR65</f>
        <v>0</v>
      </c>
    </row>
    <row r="176" spans="1:9" ht="20.100000000000001" customHeight="1" x14ac:dyDescent="0.2">
      <c r="A176" s="230">
        <v>11</v>
      </c>
      <c r="B176" s="238" t="s">
        <v>519</v>
      </c>
      <c r="C176" s="238">
        <f>data!AL66</f>
        <v>409185.00999999995</v>
      </c>
      <c r="D176" s="238">
        <f>data!AM66</f>
        <v>0</v>
      </c>
      <c r="E176" s="238">
        <f>data!AN66</f>
        <v>0</v>
      </c>
      <c r="F176" s="238">
        <f>data!AO66</f>
        <v>-2106720.2700000005</v>
      </c>
      <c r="G176" s="238">
        <f>data!AP66</f>
        <v>0</v>
      </c>
      <c r="H176" s="238">
        <f>data!AQ66</f>
        <v>0</v>
      </c>
      <c r="I176" s="238">
        <f>data!AR66</f>
        <v>992929.84</v>
      </c>
    </row>
    <row r="177" spans="1:9" ht="20.100000000000001" customHeight="1" x14ac:dyDescent="0.2">
      <c r="A177" s="230">
        <v>12</v>
      </c>
      <c r="B177" s="238" t="s">
        <v>15</v>
      </c>
      <c r="C177" s="238">
        <f>data!AL67</f>
        <v>2000</v>
      </c>
      <c r="D177" s="238">
        <f>data!AM67</f>
        <v>0</v>
      </c>
      <c r="E177" s="238">
        <f>data!AN67</f>
        <v>0</v>
      </c>
      <c r="F177" s="238">
        <f>data!AO67</f>
        <v>193431</v>
      </c>
      <c r="G177" s="238">
        <f>data!AP67</f>
        <v>0</v>
      </c>
      <c r="H177" s="238">
        <f>data!AQ67</f>
        <v>0</v>
      </c>
      <c r="I177" s="238">
        <f>data!AR67</f>
        <v>0</v>
      </c>
    </row>
    <row r="178" spans="1:9" ht="20.100000000000001" customHeight="1" x14ac:dyDescent="0.2">
      <c r="A178" s="230">
        <v>13</v>
      </c>
      <c r="B178" s="238" t="s">
        <v>1004</v>
      </c>
      <c r="C178" s="238">
        <f>data!AL68</f>
        <v>0</v>
      </c>
      <c r="D178" s="238">
        <f>data!AM68</f>
        <v>0</v>
      </c>
      <c r="E178" s="238">
        <f>data!AN68</f>
        <v>0</v>
      </c>
      <c r="F178" s="238">
        <f>data!AO68</f>
        <v>1755.82</v>
      </c>
      <c r="G178" s="238">
        <f>data!AP68</f>
        <v>0</v>
      </c>
      <c r="H178" s="238">
        <f>data!AQ68</f>
        <v>0</v>
      </c>
      <c r="I178" s="238">
        <f>data!AR68</f>
        <v>0</v>
      </c>
    </row>
    <row r="179" spans="1:9" ht="20.100000000000001" customHeight="1" x14ac:dyDescent="0.2">
      <c r="A179" s="230">
        <v>14</v>
      </c>
      <c r="B179" s="238" t="s">
        <v>1005</v>
      </c>
      <c r="C179" s="238">
        <f>data!AL69</f>
        <v>46664.43</v>
      </c>
      <c r="D179" s="238">
        <f>data!AM69</f>
        <v>0</v>
      </c>
      <c r="E179" s="238">
        <f>data!AN69</f>
        <v>0</v>
      </c>
      <c r="F179" s="238">
        <f>data!AO69</f>
        <v>1848092.97</v>
      </c>
      <c r="G179" s="238">
        <f>data!AP69</f>
        <v>0</v>
      </c>
      <c r="H179" s="238">
        <f>data!AQ69</f>
        <v>0</v>
      </c>
      <c r="I179" s="238">
        <f>data!AR69</f>
        <v>16677.189999999999</v>
      </c>
    </row>
    <row r="180" spans="1:9" ht="20.100000000000001" customHeight="1" x14ac:dyDescent="0.2">
      <c r="A180" s="230">
        <v>15</v>
      </c>
      <c r="B180" s="238" t="s">
        <v>283</v>
      </c>
      <c r="C180" s="238">
        <f>-data!AL84</f>
        <v>0</v>
      </c>
      <c r="D180" s="238">
        <f>-data!AM84</f>
        <v>0</v>
      </c>
      <c r="E180" s="238">
        <f>-data!AN84</f>
        <v>0</v>
      </c>
      <c r="F180" s="238">
        <f>-data!AO84</f>
        <v>0</v>
      </c>
      <c r="G180" s="238">
        <f>-data!AP84</f>
        <v>0</v>
      </c>
      <c r="H180" s="238">
        <f>-data!AQ84</f>
        <v>0</v>
      </c>
      <c r="I180" s="238">
        <f>-data!AR84</f>
        <v>0</v>
      </c>
    </row>
    <row r="181" spans="1:9" ht="20.100000000000001" customHeight="1" x14ac:dyDescent="0.2">
      <c r="A181" s="230">
        <v>16</v>
      </c>
      <c r="B181" s="246" t="s">
        <v>1006</v>
      </c>
      <c r="C181" s="238">
        <f>data!AL85</f>
        <v>1668269.14</v>
      </c>
      <c r="D181" s="238">
        <f>data!AM85</f>
        <v>0</v>
      </c>
      <c r="E181" s="238">
        <f>data!AN85</f>
        <v>0</v>
      </c>
      <c r="F181" s="238">
        <f>data!AO85</f>
        <v>19938301.370000001</v>
      </c>
      <c r="G181" s="238">
        <f>data!AP85</f>
        <v>0</v>
      </c>
      <c r="H181" s="238">
        <f>data!AQ85</f>
        <v>0</v>
      </c>
      <c r="I181" s="238">
        <f>data!AR85</f>
        <v>1009995.1799999999</v>
      </c>
    </row>
    <row r="182" spans="1:9" ht="20.100000000000001" customHeight="1" x14ac:dyDescent="0.2">
      <c r="A182" s="230">
        <v>17</v>
      </c>
      <c r="B182" s="238" t="s">
        <v>285</v>
      </c>
      <c r="C182" s="248"/>
      <c r="D182" s="248"/>
      <c r="E182" s="248"/>
      <c r="F182" s="248"/>
      <c r="G182" s="248"/>
      <c r="H182" s="248"/>
      <c r="I182" s="248"/>
    </row>
    <row r="183" spans="1:9" ht="20.100000000000001" customHeight="1" x14ac:dyDescent="0.2">
      <c r="A183" s="230">
        <v>18</v>
      </c>
      <c r="B183" s="238" t="s">
        <v>1007</v>
      </c>
      <c r="C183" s="246">
        <f>+data!M703</f>
        <v>260323</v>
      </c>
      <c r="D183" s="246">
        <f>+data!M704</f>
        <v>0</v>
      </c>
      <c r="E183" s="246">
        <f>+data!M705</f>
        <v>0</v>
      </c>
      <c r="F183" s="246">
        <f>+data!M706</f>
        <v>3114120</v>
      </c>
      <c r="G183" s="246">
        <f>+data!M707</f>
        <v>0</v>
      </c>
      <c r="H183" s="246">
        <f>+data!M708</f>
        <v>0</v>
      </c>
      <c r="I183" s="246">
        <f>+data!M709</f>
        <v>156082</v>
      </c>
    </row>
    <row r="184" spans="1:9" ht="20.100000000000001" customHeight="1" x14ac:dyDescent="0.2">
      <c r="A184" s="230">
        <v>19</v>
      </c>
      <c r="B184" s="246" t="s">
        <v>1008</v>
      </c>
      <c r="C184" s="238">
        <f>data!AL87</f>
        <v>2862233</v>
      </c>
      <c r="D184" s="238">
        <f>data!AM87</f>
        <v>0</v>
      </c>
      <c r="E184" s="238">
        <f>data!AN87</f>
        <v>0</v>
      </c>
      <c r="F184" s="238">
        <f>data!AO87</f>
        <v>20813746.670000002</v>
      </c>
      <c r="G184" s="238">
        <f>data!AP87</f>
        <v>0</v>
      </c>
      <c r="H184" s="238">
        <f>data!AQ87</f>
        <v>0</v>
      </c>
      <c r="I184" s="238">
        <f>data!AR87</f>
        <v>1446000</v>
      </c>
    </row>
    <row r="185" spans="1:9" ht="20.100000000000001" customHeight="1" x14ac:dyDescent="0.2">
      <c r="A185" s="230">
        <v>20</v>
      </c>
      <c r="B185" s="246" t="s">
        <v>1009</v>
      </c>
      <c r="C185" s="238">
        <f>data!AL88</f>
        <v>904737</v>
      </c>
      <c r="D185" s="238">
        <f>data!AM88</f>
        <v>0</v>
      </c>
      <c r="E185" s="238">
        <f>data!AN88</f>
        <v>0</v>
      </c>
      <c r="F185" s="238">
        <f>data!AO88</f>
        <v>6537091</v>
      </c>
      <c r="G185" s="238">
        <f>data!AP88</f>
        <v>0</v>
      </c>
      <c r="H185" s="238">
        <f>data!AQ88</f>
        <v>0</v>
      </c>
      <c r="I185" s="238">
        <f>data!AR88</f>
        <v>0</v>
      </c>
    </row>
    <row r="186" spans="1:9" ht="20.100000000000001" customHeight="1" x14ac:dyDescent="0.2">
      <c r="A186" s="230">
        <v>21</v>
      </c>
      <c r="B186" s="246" t="s">
        <v>1010</v>
      </c>
      <c r="C186" s="238">
        <f>data!AL89</f>
        <v>3766970</v>
      </c>
      <c r="D186" s="238">
        <f>data!AM89</f>
        <v>0</v>
      </c>
      <c r="E186" s="238">
        <f>data!AN89</f>
        <v>0</v>
      </c>
      <c r="F186" s="238">
        <f>data!AO89</f>
        <v>27350837.670000002</v>
      </c>
      <c r="G186" s="238">
        <f>data!AP89</f>
        <v>0</v>
      </c>
      <c r="H186" s="238">
        <f>data!AQ89</f>
        <v>0</v>
      </c>
      <c r="I186" s="238">
        <f>data!AR89</f>
        <v>1446000</v>
      </c>
    </row>
    <row r="187" spans="1:9" ht="20.100000000000001" customHeight="1" x14ac:dyDescent="0.2">
      <c r="A187" s="230" t="s">
        <v>1011</v>
      </c>
      <c r="B187" s="238"/>
      <c r="C187" s="248"/>
      <c r="D187" s="248"/>
      <c r="E187" s="248"/>
      <c r="F187" s="248"/>
      <c r="G187" s="248"/>
      <c r="H187" s="248"/>
      <c r="I187" s="248"/>
    </row>
    <row r="188" spans="1:9" ht="20.100000000000001" customHeight="1" x14ac:dyDescent="0.2">
      <c r="A188" s="230">
        <v>22</v>
      </c>
      <c r="B188" s="238" t="s">
        <v>1012</v>
      </c>
      <c r="C188" s="238">
        <f>data!AL90</f>
        <v>0</v>
      </c>
      <c r="D188" s="238">
        <f>data!AM90</f>
        <v>0</v>
      </c>
      <c r="E188" s="238">
        <f>data!AN90</f>
        <v>0</v>
      </c>
      <c r="F188" s="238">
        <f>data!AO90</f>
        <v>0</v>
      </c>
      <c r="G188" s="238">
        <f>data!AP90</f>
        <v>0</v>
      </c>
      <c r="H188" s="238">
        <f>data!AQ90</f>
        <v>0</v>
      </c>
      <c r="I188" s="238">
        <f>data!AR90</f>
        <v>0</v>
      </c>
    </row>
    <row r="189" spans="1:9" ht="20.100000000000001" customHeight="1" x14ac:dyDescent="0.2">
      <c r="A189" s="230">
        <v>23</v>
      </c>
      <c r="B189" s="238" t="s">
        <v>1013</v>
      </c>
      <c r="C189" s="238">
        <f>data!AL91</f>
        <v>124.66623824628687</v>
      </c>
      <c r="D189" s="238">
        <f>data!AM91</f>
        <v>0</v>
      </c>
      <c r="E189" s="238">
        <f>data!AN91</f>
        <v>0</v>
      </c>
      <c r="F189" s="238">
        <f>data!AO91</f>
        <v>0</v>
      </c>
      <c r="G189" s="238">
        <f>data!AP91</f>
        <v>0</v>
      </c>
      <c r="H189" s="238">
        <f>data!AQ91</f>
        <v>0</v>
      </c>
      <c r="I189" s="238">
        <f>data!AR91</f>
        <v>0</v>
      </c>
    </row>
    <row r="190" spans="1:9" ht="20.100000000000001" customHeight="1" x14ac:dyDescent="0.2">
      <c r="A190" s="230">
        <v>24</v>
      </c>
      <c r="B190" s="238" t="s">
        <v>1014</v>
      </c>
      <c r="C190" s="238">
        <f>data!AL92</f>
        <v>0</v>
      </c>
      <c r="D190" s="238">
        <f>data!AM92</f>
        <v>0</v>
      </c>
      <c r="E190" s="238">
        <f>data!AN92</f>
        <v>0</v>
      </c>
      <c r="F190" s="238">
        <f>data!AO92</f>
        <v>0</v>
      </c>
      <c r="G190" s="238">
        <f>data!AP92</f>
        <v>0</v>
      </c>
      <c r="H190" s="238">
        <f>data!AQ92</f>
        <v>0</v>
      </c>
      <c r="I190" s="238">
        <f>data!AR92</f>
        <v>0</v>
      </c>
    </row>
    <row r="191" spans="1:9" ht="20.100000000000001" customHeight="1" x14ac:dyDescent="0.2">
      <c r="A191" s="230">
        <v>25</v>
      </c>
      <c r="B191" s="238" t="s">
        <v>1015</v>
      </c>
      <c r="C191" s="238">
        <f>data!AL93</f>
        <v>0</v>
      </c>
      <c r="D191" s="238">
        <f>data!AM93</f>
        <v>0</v>
      </c>
      <c r="E191" s="238">
        <f>data!AN93</f>
        <v>0</v>
      </c>
      <c r="F191" s="238">
        <f>data!AO93</f>
        <v>72752.600000000006</v>
      </c>
      <c r="G191" s="238">
        <f>data!AP93</f>
        <v>24411.37</v>
      </c>
      <c r="H191" s="238">
        <f>data!AQ93</f>
        <v>0</v>
      </c>
      <c r="I191" s="238">
        <f>data!AR93</f>
        <v>1149.9699999999998</v>
      </c>
    </row>
    <row r="192" spans="1:9" ht="20.100000000000001" customHeight="1" x14ac:dyDescent="0.2">
      <c r="A192" s="230">
        <v>26</v>
      </c>
      <c r="B192" s="238" t="s">
        <v>293</v>
      </c>
      <c r="C192" s="245">
        <f>data!AL94</f>
        <v>0</v>
      </c>
      <c r="D192" s="245">
        <f>data!AM94</f>
        <v>0</v>
      </c>
      <c r="E192" s="245">
        <f>data!AN94</f>
        <v>0</v>
      </c>
      <c r="F192" s="245">
        <f>data!AO94</f>
        <v>42</v>
      </c>
      <c r="G192" s="245">
        <f>data!AP94</f>
        <v>0</v>
      </c>
      <c r="H192" s="245">
        <f>data!AQ94</f>
        <v>0</v>
      </c>
      <c r="I192" s="245">
        <f>data!AR94</f>
        <v>0</v>
      </c>
    </row>
    <row r="193" spans="1:9" ht="20.100000000000001" customHeight="1" x14ac:dyDescent="0.2">
      <c r="A193" s="231" t="s">
        <v>997</v>
      </c>
      <c r="B193" s="232"/>
      <c r="C193" s="232"/>
      <c r="D193" s="232"/>
      <c r="E193" s="232"/>
      <c r="F193" s="232"/>
      <c r="G193" s="232"/>
      <c r="H193" s="232"/>
      <c r="I193" s="231"/>
    </row>
    <row r="194" spans="1:9" ht="20.100000000000001" customHeight="1" x14ac:dyDescent="0.2">
      <c r="D194" s="234"/>
      <c r="I194" s="235" t="s">
        <v>1035</v>
      </c>
    </row>
    <row r="195" spans="1:9" ht="20.100000000000001" customHeight="1" x14ac:dyDescent="0.2">
      <c r="A195" s="234"/>
    </row>
    <row r="196" spans="1:9" ht="20.100000000000001" customHeight="1" x14ac:dyDescent="0.2">
      <c r="A196" s="236" t="str">
        <f>"Hospital: "&amp;data!C98</f>
        <v>Hospital: Tacoma General / Allenmore</v>
      </c>
      <c r="G196" s="237"/>
      <c r="H196" s="236" t="str">
        <f>"FYE: "&amp;data!C96</f>
        <v>FYE: 12/31/2024</v>
      </c>
    </row>
    <row r="197" spans="1:9" ht="20.100000000000001" customHeight="1" x14ac:dyDescent="0.2">
      <c r="A197" s="230">
        <v>1</v>
      </c>
      <c r="B197" s="238" t="s">
        <v>235</v>
      </c>
      <c r="C197" s="240" t="s">
        <v>77</v>
      </c>
      <c r="D197" s="240" t="s">
        <v>78</v>
      </c>
      <c r="E197" s="240" t="s">
        <v>79</v>
      </c>
      <c r="F197" s="240" t="s">
        <v>80</v>
      </c>
      <c r="G197" s="240" t="s">
        <v>81</v>
      </c>
      <c r="H197" s="240" t="s">
        <v>82</v>
      </c>
      <c r="I197" s="240" t="s">
        <v>83</v>
      </c>
    </row>
    <row r="198" spans="1:9" ht="20.100000000000001" customHeight="1" x14ac:dyDescent="0.2">
      <c r="A198" s="241">
        <v>2</v>
      </c>
      <c r="B198" s="242" t="s">
        <v>999</v>
      </c>
      <c r="C198" s="244"/>
      <c r="D198" s="244" t="s">
        <v>156</v>
      </c>
      <c r="E198" s="244" t="s">
        <v>157</v>
      </c>
      <c r="F198" s="244" t="s">
        <v>158</v>
      </c>
      <c r="G198" s="244" t="s">
        <v>1036</v>
      </c>
      <c r="H198" s="244" t="s">
        <v>160</v>
      </c>
      <c r="I198" s="244"/>
    </row>
    <row r="199" spans="1:9" ht="20.100000000000001" customHeight="1" x14ac:dyDescent="0.2">
      <c r="A199" s="241"/>
      <c r="B199" s="242"/>
      <c r="C199" s="244" t="s">
        <v>155</v>
      </c>
      <c r="D199" s="244" t="s">
        <v>257</v>
      </c>
      <c r="E199" s="244" t="s">
        <v>1037</v>
      </c>
      <c r="F199" s="244" t="s">
        <v>212</v>
      </c>
      <c r="G199" s="244" t="s">
        <v>227</v>
      </c>
      <c r="H199" s="244" t="s">
        <v>214</v>
      </c>
      <c r="I199" s="244" t="s">
        <v>161</v>
      </c>
    </row>
    <row r="200" spans="1:9" ht="20.100000000000001" customHeight="1" x14ac:dyDescent="0.2">
      <c r="A200" s="230">
        <v>3</v>
      </c>
      <c r="B200" s="238" t="s">
        <v>1003</v>
      </c>
      <c r="C200" s="240" t="s">
        <v>252</v>
      </c>
      <c r="D200" s="240" t="s">
        <v>257</v>
      </c>
      <c r="E200" s="240" t="s">
        <v>254</v>
      </c>
      <c r="F200" s="250"/>
      <c r="G200" s="250"/>
      <c r="H200" s="250"/>
      <c r="I200" s="240" t="s">
        <v>258</v>
      </c>
    </row>
    <row r="201" spans="1:9" ht="20.100000000000001" customHeight="1" x14ac:dyDescent="0.2">
      <c r="A201" s="230">
        <v>4</v>
      </c>
      <c r="B201" s="238" t="s">
        <v>260</v>
      </c>
      <c r="C201" s="238">
        <f>data!AS59</f>
        <v>0</v>
      </c>
      <c r="D201" s="238">
        <f>data!AT59</f>
        <v>0</v>
      </c>
      <c r="E201" s="238">
        <f>data!AU59</f>
        <v>0</v>
      </c>
      <c r="F201" s="250"/>
      <c r="G201" s="250"/>
      <c r="H201" s="250"/>
      <c r="I201" s="238">
        <f>data!AY59</f>
        <v>384908</v>
      </c>
    </row>
    <row r="202" spans="1:9" ht="20.100000000000001" customHeight="1" x14ac:dyDescent="0.2">
      <c r="A202" s="230">
        <v>5</v>
      </c>
      <c r="B202" s="238" t="s">
        <v>261</v>
      </c>
      <c r="C202" s="245">
        <f>data!AS60</f>
        <v>0</v>
      </c>
      <c r="D202" s="245">
        <f>data!AT60</f>
        <v>0</v>
      </c>
      <c r="E202" s="245">
        <f>data!AU60</f>
        <v>0</v>
      </c>
      <c r="F202" s="245">
        <f>data!AV60</f>
        <v>34</v>
      </c>
      <c r="G202" s="245">
        <f>data!AW60</f>
        <v>108</v>
      </c>
      <c r="H202" s="245">
        <f>data!AX60</f>
        <v>0</v>
      </c>
      <c r="I202" s="245">
        <f>data!AY60</f>
        <v>26</v>
      </c>
    </row>
    <row r="203" spans="1:9" ht="20.100000000000001" customHeight="1" x14ac:dyDescent="0.2">
      <c r="A203" s="230">
        <v>6</v>
      </c>
      <c r="B203" s="238" t="s">
        <v>262</v>
      </c>
      <c r="C203" s="238">
        <f>data!AS61</f>
        <v>0</v>
      </c>
      <c r="D203" s="238">
        <f>data!AT61</f>
        <v>0</v>
      </c>
      <c r="E203" s="238">
        <f>data!AU61</f>
        <v>0</v>
      </c>
      <c r="F203" s="238">
        <f>data!AV61</f>
        <v>3936620.2600000002</v>
      </c>
      <c r="G203" s="238">
        <f>data!AW61</f>
        <v>11359271.199999999</v>
      </c>
      <c r="H203" s="238">
        <f>data!AX61</f>
        <v>0</v>
      </c>
      <c r="I203" s="238">
        <f>data!AY61</f>
        <v>1010579.7</v>
      </c>
    </row>
    <row r="204" spans="1:9" ht="20.100000000000001" customHeight="1" x14ac:dyDescent="0.2">
      <c r="A204" s="230">
        <v>7</v>
      </c>
      <c r="B204" s="238" t="s">
        <v>10</v>
      </c>
      <c r="C204" s="238">
        <f>data!AS62</f>
        <v>0</v>
      </c>
      <c r="D204" s="238">
        <f>data!AT62</f>
        <v>0</v>
      </c>
      <c r="E204" s="238">
        <f>data!AU62</f>
        <v>0</v>
      </c>
      <c r="F204" s="238">
        <f>data!AV62</f>
        <v>819949</v>
      </c>
      <c r="G204" s="238">
        <f>data!AW62</f>
        <v>2569024</v>
      </c>
      <c r="H204" s="238">
        <f>data!AX62</f>
        <v>0</v>
      </c>
      <c r="I204" s="238">
        <f>data!AY62</f>
        <v>350690</v>
      </c>
    </row>
    <row r="205" spans="1:9" ht="20.100000000000001" customHeight="1" x14ac:dyDescent="0.2">
      <c r="A205" s="230">
        <v>8</v>
      </c>
      <c r="B205" s="238" t="s">
        <v>263</v>
      </c>
      <c r="C205" s="238">
        <f>data!AS63</f>
        <v>0</v>
      </c>
      <c r="D205" s="238">
        <f>data!AT63</f>
        <v>0</v>
      </c>
      <c r="E205" s="238">
        <f>data!AU63</f>
        <v>0</v>
      </c>
      <c r="F205" s="238">
        <f>data!AV63</f>
        <v>686195.91</v>
      </c>
      <c r="G205" s="238">
        <f>data!AW63</f>
        <v>0</v>
      </c>
      <c r="H205" s="238">
        <f>data!AX63</f>
        <v>0</v>
      </c>
      <c r="I205" s="238">
        <f>data!AY63</f>
        <v>0</v>
      </c>
    </row>
    <row r="206" spans="1:9" ht="20.100000000000001" customHeight="1" x14ac:dyDescent="0.2">
      <c r="A206" s="230">
        <v>9</v>
      </c>
      <c r="B206" s="238" t="s">
        <v>264</v>
      </c>
      <c r="C206" s="238">
        <f>data!AS64</f>
        <v>0</v>
      </c>
      <c r="D206" s="238">
        <f>data!AT64</f>
        <v>0</v>
      </c>
      <c r="E206" s="238">
        <f>data!AU64</f>
        <v>0</v>
      </c>
      <c r="F206" s="238">
        <f>data!AV64</f>
        <v>2845619.1399999997</v>
      </c>
      <c r="G206" s="238">
        <f>data!AW64</f>
        <v>26759.47</v>
      </c>
      <c r="H206" s="238">
        <f>data!AX64</f>
        <v>0</v>
      </c>
      <c r="I206" s="238">
        <f>data!AY64</f>
        <v>491666.69</v>
      </c>
    </row>
    <row r="207" spans="1:9" ht="20.100000000000001" customHeight="1" x14ac:dyDescent="0.2">
      <c r="A207" s="230">
        <v>10</v>
      </c>
      <c r="B207" s="238" t="s">
        <v>518</v>
      </c>
      <c r="C207" s="238">
        <f>data!AS65</f>
        <v>0</v>
      </c>
      <c r="D207" s="238">
        <f>data!AT65</f>
        <v>0</v>
      </c>
      <c r="E207" s="238">
        <f>data!AU65</f>
        <v>0</v>
      </c>
      <c r="F207" s="238">
        <f>data!AV65</f>
        <v>0</v>
      </c>
      <c r="G207" s="238">
        <f>data!AW65</f>
        <v>0</v>
      </c>
      <c r="H207" s="238">
        <f>data!AX65</f>
        <v>0</v>
      </c>
      <c r="I207" s="238">
        <f>data!AY65</f>
        <v>0</v>
      </c>
    </row>
    <row r="208" spans="1:9" ht="20.100000000000001" customHeight="1" x14ac:dyDescent="0.2">
      <c r="A208" s="230">
        <v>11</v>
      </c>
      <c r="B208" s="238" t="s">
        <v>519</v>
      </c>
      <c r="C208" s="238">
        <f>data!AS66</f>
        <v>0</v>
      </c>
      <c r="D208" s="238">
        <f>data!AT66</f>
        <v>0</v>
      </c>
      <c r="E208" s="238">
        <f>data!AU66</f>
        <v>0</v>
      </c>
      <c r="F208" s="238">
        <f>data!AV66</f>
        <v>3778471.96</v>
      </c>
      <c r="G208" s="238">
        <f>data!AW66</f>
        <v>-8892298.5700000003</v>
      </c>
      <c r="H208" s="238">
        <f>data!AX66</f>
        <v>0</v>
      </c>
      <c r="I208" s="238">
        <f>data!AY66</f>
        <v>-1415241.4900000002</v>
      </c>
    </row>
    <row r="209" spans="1:9" ht="20.100000000000001" customHeight="1" x14ac:dyDescent="0.2">
      <c r="A209" s="230">
        <v>12</v>
      </c>
      <c r="B209" s="238" t="s">
        <v>15</v>
      </c>
      <c r="C209" s="238">
        <f>data!AS67</f>
        <v>0</v>
      </c>
      <c r="D209" s="238">
        <f>data!AT67</f>
        <v>0</v>
      </c>
      <c r="E209" s="238">
        <f>data!AU67</f>
        <v>0</v>
      </c>
      <c r="F209" s="238">
        <f>data!AV67</f>
        <v>322824</v>
      </c>
      <c r="G209" s="238">
        <f>data!AW67</f>
        <v>1290</v>
      </c>
      <c r="H209" s="238">
        <f>data!AX67</f>
        <v>0</v>
      </c>
      <c r="I209" s="238">
        <f>data!AY67</f>
        <v>141384</v>
      </c>
    </row>
    <row r="210" spans="1:9" ht="20.100000000000001" customHeight="1" x14ac:dyDescent="0.2">
      <c r="A210" s="230">
        <v>13</v>
      </c>
      <c r="B210" s="238" t="s">
        <v>1004</v>
      </c>
      <c r="C210" s="238">
        <f>data!AS68</f>
        <v>0</v>
      </c>
      <c r="D210" s="238">
        <f>data!AT68</f>
        <v>0</v>
      </c>
      <c r="E210" s="238">
        <f>data!AU68</f>
        <v>0</v>
      </c>
      <c r="F210" s="238">
        <f>data!AV68</f>
        <v>0</v>
      </c>
      <c r="G210" s="238">
        <f>data!AW68</f>
        <v>0</v>
      </c>
      <c r="H210" s="238">
        <f>data!AX68</f>
        <v>0</v>
      </c>
      <c r="I210" s="238">
        <f>data!AY68</f>
        <v>0</v>
      </c>
    </row>
    <row r="211" spans="1:9" ht="20.100000000000001" customHeight="1" x14ac:dyDescent="0.2">
      <c r="A211" s="230">
        <v>14</v>
      </c>
      <c r="B211" s="238" t="s">
        <v>1005</v>
      </c>
      <c r="C211" s="238">
        <f>data!AS69</f>
        <v>0</v>
      </c>
      <c r="D211" s="238">
        <f>data!AT69</f>
        <v>0</v>
      </c>
      <c r="E211" s="238">
        <f>data!AU69</f>
        <v>0</v>
      </c>
      <c r="F211" s="238">
        <f>data!AV69</f>
        <v>448484.38</v>
      </c>
      <c r="G211" s="238">
        <f>data!AW69</f>
        <v>2543194.3999999994</v>
      </c>
      <c r="H211" s="238">
        <f>data!AX69</f>
        <v>0</v>
      </c>
      <c r="I211" s="238">
        <f>data!AY69</f>
        <v>400918.05000000005</v>
      </c>
    </row>
    <row r="212" spans="1:9" ht="20.100000000000001" customHeight="1" x14ac:dyDescent="0.2">
      <c r="A212" s="230">
        <v>15</v>
      </c>
      <c r="B212" s="238" t="s">
        <v>283</v>
      </c>
      <c r="C212" s="238">
        <f>-data!AS84</f>
        <v>0</v>
      </c>
      <c r="D212" s="238">
        <f>-data!AT84</f>
        <v>0</v>
      </c>
      <c r="E212" s="238">
        <f>-data!AU84</f>
        <v>0</v>
      </c>
      <c r="F212" s="238">
        <f>-data!AV84</f>
        <v>0</v>
      </c>
      <c r="G212" s="238">
        <f>-data!AW84</f>
        <v>0</v>
      </c>
      <c r="H212" s="238">
        <f>-data!AX84</f>
        <v>0</v>
      </c>
      <c r="I212" s="238">
        <f>-data!AY84</f>
        <v>-781948.04</v>
      </c>
    </row>
    <row r="213" spans="1:9" ht="20.100000000000001" customHeight="1" x14ac:dyDescent="0.2">
      <c r="A213" s="230">
        <v>16</v>
      </c>
      <c r="B213" s="246" t="s">
        <v>1006</v>
      </c>
      <c r="C213" s="238">
        <f>data!AS85</f>
        <v>0</v>
      </c>
      <c r="D213" s="238">
        <f>data!AT85</f>
        <v>0</v>
      </c>
      <c r="E213" s="238">
        <f>data!AU85</f>
        <v>0</v>
      </c>
      <c r="F213" s="238">
        <f>data!AV85</f>
        <v>12838164.65</v>
      </c>
      <c r="G213" s="238">
        <f>data!AW85</f>
        <v>7607240.4999999991</v>
      </c>
      <c r="H213" s="238">
        <f>data!AX85</f>
        <v>0</v>
      </c>
      <c r="I213" s="238">
        <f>data!AY85</f>
        <v>198048.90999999968</v>
      </c>
    </row>
    <row r="214" spans="1:9" ht="20.100000000000001" customHeight="1" x14ac:dyDescent="0.2">
      <c r="A214" s="230">
        <v>17</v>
      </c>
      <c r="B214" s="238" t="s">
        <v>285</v>
      </c>
      <c r="C214" s="248"/>
      <c r="D214" s="248"/>
      <c r="E214" s="248"/>
      <c r="F214" s="248"/>
      <c r="G214" s="248"/>
      <c r="H214" s="248"/>
      <c r="I214" s="248"/>
    </row>
    <row r="215" spans="1:9" ht="20.100000000000001" customHeight="1" x14ac:dyDescent="0.2">
      <c r="A215" s="230">
        <v>18</v>
      </c>
      <c r="B215" s="238" t="s">
        <v>1007</v>
      </c>
      <c r="C215" s="246">
        <f>+data!M710</f>
        <v>0</v>
      </c>
      <c r="D215" s="246">
        <f>+data!M711</f>
        <v>0</v>
      </c>
      <c r="E215" s="246">
        <f>+data!M712</f>
        <v>0</v>
      </c>
      <c r="F215" s="246">
        <f>+data!M713</f>
        <v>2283148</v>
      </c>
      <c r="G215" s="252"/>
      <c r="H215" s="238"/>
      <c r="I215" s="238"/>
    </row>
    <row r="216" spans="1:9" ht="20.100000000000001" customHeight="1" x14ac:dyDescent="0.2">
      <c r="A216" s="230">
        <v>19</v>
      </c>
      <c r="B216" s="246" t="s">
        <v>1008</v>
      </c>
      <c r="C216" s="238">
        <f>data!AS87</f>
        <v>0</v>
      </c>
      <c r="D216" s="238">
        <f>data!AT87</f>
        <v>0</v>
      </c>
      <c r="E216" s="238">
        <f>data!AU87</f>
        <v>0</v>
      </c>
      <c r="F216" s="238">
        <f>data!AV87</f>
        <v>18756270.899999999</v>
      </c>
      <c r="G216" s="253" t="str">
        <f>IF(data!AW87&gt;0,data!AW87,"")</f>
        <v>x</v>
      </c>
      <c r="H216" s="253" t="str">
        <f>IF(data!AX87&gt;0,data!AX87,"")</f>
        <v>x</v>
      </c>
      <c r="I216" s="253" t="str">
        <f>IF(data!AY87&gt;0,data!AY87,"")</f>
        <v>x</v>
      </c>
    </row>
    <row r="217" spans="1:9" ht="20.100000000000001" customHeight="1" x14ac:dyDescent="0.2">
      <c r="A217" s="230">
        <v>20</v>
      </c>
      <c r="B217" s="246" t="s">
        <v>1009</v>
      </c>
      <c r="C217" s="238">
        <f>data!AS88</f>
        <v>0</v>
      </c>
      <c r="D217" s="238">
        <f>data!AT88</f>
        <v>0</v>
      </c>
      <c r="E217" s="238">
        <f>data!AU88</f>
        <v>0</v>
      </c>
      <c r="F217" s="238">
        <f>data!AV88</f>
        <v>56728023.68</v>
      </c>
      <c r="G217" s="253" t="str">
        <f>IF(data!AW88&gt;0,data!AW88,"")</f>
        <v>x</v>
      </c>
      <c r="H217" s="253" t="str">
        <f>IF(data!AX88&gt;0,data!AX88,"")</f>
        <v>x</v>
      </c>
      <c r="I217" s="253" t="str">
        <f>IF(data!AY88&gt;0,data!AY88,"")</f>
        <v>x</v>
      </c>
    </row>
    <row r="218" spans="1:9" ht="20.100000000000001" customHeight="1" x14ac:dyDescent="0.2">
      <c r="A218" s="230">
        <v>21</v>
      </c>
      <c r="B218" s="246" t="s">
        <v>1010</v>
      </c>
      <c r="C218" s="238">
        <f>data!AS89</f>
        <v>0</v>
      </c>
      <c r="D218" s="238">
        <f>data!AT89</f>
        <v>0</v>
      </c>
      <c r="E218" s="238">
        <f>data!AU89</f>
        <v>0</v>
      </c>
      <c r="F218" s="238">
        <f>data!AV89</f>
        <v>75484294.579999998</v>
      </c>
      <c r="G218" s="253" t="str">
        <f>IF(data!AW89&gt;0,data!AW89,"")</f>
        <v>x</v>
      </c>
      <c r="H218" s="253" t="str">
        <f>IF(data!AX89&gt;0,data!AX89,"")</f>
        <v>x</v>
      </c>
      <c r="I218" s="253" t="str">
        <f>IF(data!AY89&gt;0,data!AY89,"")</f>
        <v>x</v>
      </c>
    </row>
    <row r="219" spans="1:9" ht="20.100000000000001" customHeight="1" x14ac:dyDescent="0.2">
      <c r="A219" s="230" t="s">
        <v>1011</v>
      </c>
      <c r="B219" s="238"/>
      <c r="C219" s="248"/>
      <c r="D219" s="248"/>
      <c r="E219" s="248"/>
      <c r="F219" s="248"/>
      <c r="G219" s="248"/>
      <c r="H219" s="248"/>
      <c r="I219" s="248"/>
    </row>
    <row r="220" spans="1:9" ht="20.100000000000001" customHeight="1" x14ac:dyDescent="0.2">
      <c r="A220" s="230">
        <v>22</v>
      </c>
      <c r="B220" s="238" t="s">
        <v>1012</v>
      </c>
      <c r="C220" s="238">
        <f>data!AS90</f>
        <v>0</v>
      </c>
      <c r="D220" s="238">
        <f>data!AT90</f>
        <v>0</v>
      </c>
      <c r="E220" s="238">
        <f>data!AU90</f>
        <v>0</v>
      </c>
      <c r="F220" s="238">
        <f>data!AV90</f>
        <v>35346.154999999992</v>
      </c>
      <c r="G220" s="238">
        <f>data!AW90</f>
        <v>854.28000000000009</v>
      </c>
      <c r="H220" s="238">
        <f>data!AX90</f>
        <v>0</v>
      </c>
      <c r="I220" s="238">
        <f>data!AY90</f>
        <v>7753.9099999999989</v>
      </c>
    </row>
    <row r="221" spans="1:9" ht="20.100000000000001" customHeight="1" x14ac:dyDescent="0.2">
      <c r="A221" s="230">
        <v>23</v>
      </c>
      <c r="B221" s="238" t="s">
        <v>1013</v>
      </c>
      <c r="C221" s="238">
        <f>data!AS91</f>
        <v>0</v>
      </c>
      <c r="D221" s="238">
        <f>data!AT91</f>
        <v>0</v>
      </c>
      <c r="E221" s="238">
        <f>data!AU91</f>
        <v>0</v>
      </c>
      <c r="F221" s="238">
        <f>data!AV91</f>
        <v>16153.842193923629</v>
      </c>
      <c r="G221" s="238">
        <f>data!AW91</f>
        <v>0</v>
      </c>
      <c r="H221" s="253" t="str">
        <f>IF(data!AX91&gt;0,data!AX91,"")</f>
        <v>x</v>
      </c>
      <c r="I221" s="253" t="str">
        <f>IF(data!AY91&gt;0,data!AY91,"")</f>
        <v>x</v>
      </c>
    </row>
    <row r="222" spans="1:9" ht="20.100000000000001" customHeight="1" x14ac:dyDescent="0.2">
      <c r="A222" s="230">
        <v>24</v>
      </c>
      <c r="B222" s="238" t="s">
        <v>1014</v>
      </c>
      <c r="C222" s="238">
        <f>data!AS92</f>
        <v>0</v>
      </c>
      <c r="D222" s="238">
        <f>data!AT92</f>
        <v>0</v>
      </c>
      <c r="E222" s="238">
        <f>data!AU92</f>
        <v>0</v>
      </c>
      <c r="F222" s="238">
        <f>data!AV92</f>
        <v>73353.087586246547</v>
      </c>
      <c r="G222" s="238">
        <f>data!AW92</f>
        <v>0</v>
      </c>
      <c r="H222" s="253" t="str">
        <f>IF(data!AX92&gt;0,data!AX92,"")</f>
        <v>x</v>
      </c>
      <c r="I222" s="253" t="str">
        <f>IF(data!AY92&gt;0,data!AY92,"")</f>
        <v>x</v>
      </c>
    </row>
    <row r="223" spans="1:9" ht="20.100000000000001" customHeight="1" x14ac:dyDescent="0.2">
      <c r="A223" s="230">
        <v>25</v>
      </c>
      <c r="B223" s="238" t="s">
        <v>1015</v>
      </c>
      <c r="C223" s="238">
        <f>data!AS93</f>
        <v>0</v>
      </c>
      <c r="D223" s="238">
        <f>data!AT93</f>
        <v>0</v>
      </c>
      <c r="E223" s="238">
        <f>data!AU93</f>
        <v>0</v>
      </c>
      <c r="F223" s="238">
        <f>data!AV93</f>
        <v>101625.2</v>
      </c>
      <c r="G223" s="238">
        <f>data!AW93</f>
        <v>0</v>
      </c>
      <c r="H223" s="253" t="str">
        <f>IF(data!AX93&gt;0,data!AX93,"")</f>
        <v>x</v>
      </c>
      <c r="I223" s="253" t="str">
        <f>IF(data!AY93&gt;0,data!AY93,"")</f>
        <v>x</v>
      </c>
    </row>
    <row r="224" spans="1:9" ht="20.100000000000001" customHeight="1" x14ac:dyDescent="0.2">
      <c r="A224" s="230">
        <v>26</v>
      </c>
      <c r="B224" s="238" t="s">
        <v>293</v>
      </c>
      <c r="C224" s="245">
        <f>data!AS94</f>
        <v>0</v>
      </c>
      <c r="D224" s="245">
        <f>data!AT94</f>
        <v>0</v>
      </c>
      <c r="E224" s="245">
        <f>data!AU94</f>
        <v>0</v>
      </c>
      <c r="F224" s="245">
        <f>data!AV94</f>
        <v>216</v>
      </c>
      <c r="G224" s="253" t="str">
        <f>IF(data!AW94&gt;0,data!AW94,"")</f>
        <v>x</v>
      </c>
      <c r="H224" s="253" t="str">
        <f>IF(data!AX94&gt;0,data!AX94,"")</f>
        <v>x</v>
      </c>
      <c r="I224" s="253" t="str">
        <f>IF(data!AY94&gt;0,data!AY94,"")</f>
        <v>x</v>
      </c>
    </row>
    <row r="225" spans="1:9" ht="20.100000000000001" customHeight="1" x14ac:dyDescent="0.2">
      <c r="A225" s="231" t="s">
        <v>997</v>
      </c>
      <c r="B225" s="232"/>
      <c r="C225" s="232"/>
      <c r="D225" s="232"/>
      <c r="E225" s="232"/>
      <c r="F225" s="232"/>
      <c r="G225" s="232"/>
      <c r="H225" s="232"/>
      <c r="I225" s="231"/>
    </row>
    <row r="226" spans="1:9" ht="20.100000000000001" customHeight="1" x14ac:dyDescent="0.2">
      <c r="D226" s="234"/>
      <c r="I226" s="235" t="s">
        <v>1038</v>
      </c>
    </row>
    <row r="227" spans="1:9" ht="20.100000000000001" customHeight="1" x14ac:dyDescent="0.2">
      <c r="A227" s="234"/>
    </row>
    <row r="228" spans="1:9" ht="20.100000000000001" customHeight="1" x14ac:dyDescent="0.2">
      <c r="A228" s="236" t="str">
        <f>"Hospital: "&amp;data!C98</f>
        <v>Hospital: Tacoma General / Allenmore</v>
      </c>
      <c r="G228" s="237"/>
      <c r="H228" s="236" t="str">
        <f>"FYE: "&amp;data!C96</f>
        <v>FYE: 12/31/2024</v>
      </c>
    </row>
    <row r="229" spans="1:9" ht="20.100000000000001" customHeight="1" x14ac:dyDescent="0.2">
      <c r="A229" s="230">
        <v>1</v>
      </c>
      <c r="B229" s="238" t="s">
        <v>235</v>
      </c>
      <c r="C229" s="240" t="s">
        <v>84</v>
      </c>
      <c r="D229" s="240" t="s">
        <v>85</v>
      </c>
      <c r="E229" s="240" t="s">
        <v>86</v>
      </c>
      <c r="F229" s="240" t="s">
        <v>87</v>
      </c>
      <c r="G229" s="240" t="s">
        <v>88</v>
      </c>
      <c r="H229" s="240" t="s">
        <v>89</v>
      </c>
      <c r="I229" s="240" t="s">
        <v>90</v>
      </c>
    </row>
    <row r="230" spans="1:9" ht="20.100000000000001" customHeight="1" x14ac:dyDescent="0.2">
      <c r="A230" s="241">
        <v>2</v>
      </c>
      <c r="B230" s="242" t="s">
        <v>999</v>
      </c>
      <c r="C230" s="244"/>
      <c r="D230" s="244" t="s">
        <v>163</v>
      </c>
      <c r="E230" s="244" t="s">
        <v>164</v>
      </c>
      <c r="F230" s="244" t="s">
        <v>133</v>
      </c>
      <c r="G230" s="244"/>
      <c r="H230" s="244"/>
      <c r="I230" s="244"/>
    </row>
    <row r="231" spans="1:9" ht="20.100000000000001" customHeight="1" x14ac:dyDescent="0.2">
      <c r="A231" s="241"/>
      <c r="B231" s="242"/>
      <c r="C231" s="244" t="s">
        <v>162</v>
      </c>
      <c r="D231" s="244" t="s">
        <v>215</v>
      </c>
      <c r="E231" s="244" t="s">
        <v>1039</v>
      </c>
      <c r="F231" s="244" t="s">
        <v>1040</v>
      </c>
      <c r="G231" s="244" t="s">
        <v>165</v>
      </c>
      <c r="H231" s="244" t="s">
        <v>166</v>
      </c>
      <c r="I231" s="244" t="s">
        <v>167</v>
      </c>
    </row>
    <row r="232" spans="1:9" ht="20.100000000000001" customHeight="1" x14ac:dyDescent="0.2">
      <c r="A232" s="230">
        <v>3</v>
      </c>
      <c r="B232" s="238" t="s">
        <v>1003</v>
      </c>
      <c r="C232" s="240" t="s">
        <v>1041</v>
      </c>
      <c r="D232" s="240" t="s">
        <v>1042</v>
      </c>
      <c r="E232" s="250"/>
      <c r="F232" s="250"/>
      <c r="G232" s="250"/>
      <c r="H232" s="240" t="s">
        <v>259</v>
      </c>
      <c r="I232" s="250"/>
    </row>
    <row r="233" spans="1:9" ht="20.100000000000001" customHeight="1" x14ac:dyDescent="0.2">
      <c r="A233" s="230">
        <v>4</v>
      </c>
      <c r="B233" s="238" t="s">
        <v>260</v>
      </c>
      <c r="C233" s="238">
        <f>data!AZ59</f>
        <v>0</v>
      </c>
      <c r="D233" s="238">
        <f>data!BA59</f>
        <v>0</v>
      </c>
      <c r="E233" s="250"/>
      <c r="F233" s="250"/>
      <c r="G233" s="250"/>
      <c r="H233" s="238">
        <f>data!BE59</f>
        <v>515622.34499999986</v>
      </c>
      <c r="I233" s="250"/>
    </row>
    <row r="234" spans="1:9" ht="20.100000000000001" customHeight="1" x14ac:dyDescent="0.2">
      <c r="A234" s="230">
        <v>5</v>
      </c>
      <c r="B234" s="238" t="s">
        <v>261</v>
      </c>
      <c r="C234" s="245">
        <f>data!AZ60</f>
        <v>0</v>
      </c>
      <c r="D234" s="245">
        <f>data!BA60</f>
        <v>0</v>
      </c>
      <c r="E234" s="245">
        <f>data!BB60</f>
        <v>28</v>
      </c>
      <c r="F234" s="245">
        <f>data!BC60</f>
        <v>13</v>
      </c>
      <c r="G234" s="245">
        <f>data!BD60</f>
        <v>0</v>
      </c>
      <c r="H234" s="245">
        <f>data!BE60</f>
        <v>11</v>
      </c>
      <c r="I234" s="245">
        <f>data!BF60</f>
        <v>26</v>
      </c>
    </row>
    <row r="235" spans="1:9" ht="20.100000000000001" customHeight="1" x14ac:dyDescent="0.2">
      <c r="A235" s="230">
        <v>6</v>
      </c>
      <c r="B235" s="238" t="s">
        <v>262</v>
      </c>
      <c r="C235" s="238">
        <f>data!AZ61</f>
        <v>0</v>
      </c>
      <c r="D235" s="238">
        <f>data!BA61</f>
        <v>0</v>
      </c>
      <c r="E235" s="238">
        <f>data!BB61</f>
        <v>2419078.6100000003</v>
      </c>
      <c r="F235" s="238">
        <f>data!BC61</f>
        <v>514012.11</v>
      </c>
      <c r="G235" s="238">
        <f>data!BD61</f>
        <v>0</v>
      </c>
      <c r="H235" s="238">
        <f>data!BE61</f>
        <v>1063058.1100000001</v>
      </c>
      <c r="I235" s="238">
        <f>data!BF61</f>
        <v>1329222.73</v>
      </c>
    </row>
    <row r="236" spans="1:9" ht="20.100000000000001" customHeight="1" x14ac:dyDescent="0.2">
      <c r="A236" s="230">
        <v>7</v>
      </c>
      <c r="B236" s="238" t="s">
        <v>10</v>
      </c>
      <c r="C236" s="238">
        <f>data!AZ62</f>
        <v>0</v>
      </c>
      <c r="D236" s="238">
        <f>data!BA62</f>
        <v>0</v>
      </c>
      <c r="E236" s="238">
        <f>data!BB62</f>
        <v>622297</v>
      </c>
      <c r="F236" s="238">
        <f>data!BC62</f>
        <v>220491</v>
      </c>
      <c r="G236" s="238">
        <f>data!BD62</f>
        <v>0</v>
      </c>
      <c r="H236" s="238">
        <f>data!BE62</f>
        <v>261703</v>
      </c>
      <c r="I236" s="238">
        <f>data!BF62</f>
        <v>550154</v>
      </c>
    </row>
    <row r="237" spans="1:9" ht="20.100000000000001" customHeight="1" x14ac:dyDescent="0.2">
      <c r="A237" s="230">
        <v>8</v>
      </c>
      <c r="B237" s="238" t="s">
        <v>263</v>
      </c>
      <c r="C237" s="238">
        <f>data!AZ63</f>
        <v>0</v>
      </c>
      <c r="D237" s="238">
        <f>data!BA63</f>
        <v>0</v>
      </c>
      <c r="E237" s="238">
        <f>data!BB63</f>
        <v>-3735.1299999999992</v>
      </c>
      <c r="F237" s="238">
        <f>data!BC63</f>
        <v>0</v>
      </c>
      <c r="G237" s="238">
        <f>data!BD63</f>
        <v>0</v>
      </c>
      <c r="H237" s="238">
        <f>data!BE63</f>
        <v>17395.509999999998</v>
      </c>
      <c r="I237" s="238">
        <f>data!BF63</f>
        <v>0</v>
      </c>
    </row>
    <row r="238" spans="1:9" ht="20.100000000000001" customHeight="1" x14ac:dyDescent="0.2">
      <c r="A238" s="230">
        <v>9</v>
      </c>
      <c r="B238" s="238" t="s">
        <v>264</v>
      </c>
      <c r="C238" s="238">
        <f>data!AZ64</f>
        <v>0</v>
      </c>
      <c r="D238" s="238">
        <f>data!BA64</f>
        <v>0</v>
      </c>
      <c r="E238" s="238">
        <f>data!BB64</f>
        <v>10256.51</v>
      </c>
      <c r="F238" s="238">
        <f>data!BC64</f>
        <v>610.21</v>
      </c>
      <c r="G238" s="238">
        <f>data!BD64</f>
        <v>0</v>
      </c>
      <c r="H238" s="238">
        <f>data!BE64</f>
        <v>56387.01</v>
      </c>
      <c r="I238" s="238">
        <f>data!BF64</f>
        <v>115864.92</v>
      </c>
    </row>
    <row r="239" spans="1:9" ht="20.100000000000001" customHeight="1" x14ac:dyDescent="0.2">
      <c r="A239" s="230">
        <v>10</v>
      </c>
      <c r="B239" s="238" t="s">
        <v>518</v>
      </c>
      <c r="C239" s="238">
        <f>data!AZ65</f>
        <v>0</v>
      </c>
      <c r="D239" s="238">
        <f>data!BA65</f>
        <v>0</v>
      </c>
      <c r="E239" s="238">
        <f>data!BB65</f>
        <v>0</v>
      </c>
      <c r="F239" s="238">
        <f>data!BC65</f>
        <v>0</v>
      </c>
      <c r="G239" s="238">
        <f>data!BD65</f>
        <v>0</v>
      </c>
      <c r="H239" s="238">
        <f>data!BE65</f>
        <v>0</v>
      </c>
      <c r="I239" s="238">
        <f>data!BF65</f>
        <v>0</v>
      </c>
    </row>
    <row r="240" spans="1:9" ht="20.100000000000001" customHeight="1" x14ac:dyDescent="0.2">
      <c r="A240" s="230">
        <v>11</v>
      </c>
      <c r="B240" s="238" t="s">
        <v>519</v>
      </c>
      <c r="C240" s="238">
        <f>data!AZ66</f>
        <v>0</v>
      </c>
      <c r="D240" s="238">
        <f>data!BA66</f>
        <v>0</v>
      </c>
      <c r="E240" s="238">
        <f>data!BB66</f>
        <v>-4337574.2799999993</v>
      </c>
      <c r="F240" s="238">
        <f>data!BC66</f>
        <v>-747496.42</v>
      </c>
      <c r="G240" s="238">
        <f>data!BD66</f>
        <v>0</v>
      </c>
      <c r="H240" s="238">
        <f>data!BE66</f>
        <v>-2998315.74</v>
      </c>
      <c r="I240" s="238">
        <f>data!BF66</f>
        <v>-2446318.36</v>
      </c>
    </row>
    <row r="241" spans="1:9" ht="20.100000000000001" customHeight="1" x14ac:dyDescent="0.2">
      <c r="A241" s="230">
        <v>12</v>
      </c>
      <c r="B241" s="238" t="s">
        <v>15</v>
      </c>
      <c r="C241" s="238">
        <f>data!AZ67</f>
        <v>0</v>
      </c>
      <c r="D241" s="238">
        <f>data!BA67</f>
        <v>0</v>
      </c>
      <c r="E241" s="238">
        <f>data!BB67</f>
        <v>10034</v>
      </c>
      <c r="F241" s="238">
        <f>data!BC67</f>
        <v>53</v>
      </c>
      <c r="G241" s="238">
        <f>data!BD67</f>
        <v>0</v>
      </c>
      <c r="H241" s="238">
        <f>data!BE67</f>
        <v>385172</v>
      </c>
      <c r="I241" s="238">
        <f>data!BF67</f>
        <v>28847</v>
      </c>
    </row>
    <row r="242" spans="1:9" ht="20.100000000000001" customHeight="1" x14ac:dyDescent="0.2">
      <c r="A242" s="230">
        <v>13</v>
      </c>
      <c r="B242" s="238" t="s">
        <v>1004</v>
      </c>
      <c r="C242" s="238">
        <f>data!AZ68</f>
        <v>0</v>
      </c>
      <c r="D242" s="238">
        <f>data!BA68</f>
        <v>0</v>
      </c>
      <c r="E242" s="238">
        <f>data!BB68</f>
        <v>0</v>
      </c>
      <c r="F242" s="238">
        <f>data!BC68</f>
        <v>0</v>
      </c>
      <c r="G242" s="238">
        <f>data!BD68</f>
        <v>0</v>
      </c>
      <c r="H242" s="238">
        <f>data!BE68</f>
        <v>-2979.08</v>
      </c>
      <c r="I242" s="238">
        <f>data!BF68</f>
        <v>0</v>
      </c>
    </row>
    <row r="243" spans="1:9" ht="20.100000000000001" customHeight="1" x14ac:dyDescent="0.2">
      <c r="A243" s="230">
        <v>14</v>
      </c>
      <c r="B243" s="238" t="s">
        <v>1005</v>
      </c>
      <c r="C243" s="238">
        <f>data!AZ69</f>
        <v>0</v>
      </c>
      <c r="D243" s="238">
        <f>data!BA69</f>
        <v>0</v>
      </c>
      <c r="E243" s="238">
        <f>data!BB69</f>
        <v>1308780.6800000002</v>
      </c>
      <c r="F243" s="238">
        <f>data!BC69</f>
        <v>16419.010000000002</v>
      </c>
      <c r="G243" s="238">
        <f>data!BD69</f>
        <v>0</v>
      </c>
      <c r="H243" s="238">
        <f>data!BE69</f>
        <v>1222918.6199999999</v>
      </c>
      <c r="I243" s="238">
        <f>data!BF69</f>
        <v>442477.33999999997</v>
      </c>
    </row>
    <row r="244" spans="1:9" ht="20.100000000000001" customHeight="1" x14ac:dyDescent="0.2">
      <c r="A244" s="230">
        <v>15</v>
      </c>
      <c r="B244" s="238" t="s">
        <v>283</v>
      </c>
      <c r="C244" s="238">
        <f>-data!AZ84</f>
        <v>0</v>
      </c>
      <c r="D244" s="238">
        <f>-data!BA84</f>
        <v>0</v>
      </c>
      <c r="E244" s="238">
        <f>-data!BB84</f>
        <v>-6240</v>
      </c>
      <c r="F244" s="238">
        <f>-data!BC84</f>
        <v>0</v>
      </c>
      <c r="G244" s="238">
        <f>-data!BD84</f>
        <v>0</v>
      </c>
      <c r="H244" s="238">
        <f>-data!BE84</f>
        <v>0</v>
      </c>
      <c r="I244" s="238">
        <f>-data!BF84</f>
        <v>0</v>
      </c>
    </row>
    <row r="245" spans="1:9" ht="20.100000000000001" customHeight="1" x14ac:dyDescent="0.2">
      <c r="A245" s="230">
        <v>16</v>
      </c>
      <c r="B245" s="246" t="s">
        <v>1006</v>
      </c>
      <c r="C245" s="238">
        <f>data!AZ85</f>
        <v>0</v>
      </c>
      <c r="D245" s="238">
        <f>data!BA85</f>
        <v>0</v>
      </c>
      <c r="E245" s="238">
        <f>data!BB85</f>
        <v>22897.390000001062</v>
      </c>
      <c r="F245" s="238">
        <f>data!BC85</f>
        <v>4088.9099999999089</v>
      </c>
      <c r="G245" s="238">
        <f>data!BD85</f>
        <v>0</v>
      </c>
      <c r="H245" s="238">
        <f>data!BE85</f>
        <v>5339.429999999702</v>
      </c>
      <c r="I245" s="238">
        <f>data!BF85</f>
        <v>20247.630000000005</v>
      </c>
    </row>
    <row r="246" spans="1:9" ht="20.100000000000001" customHeight="1" x14ac:dyDescent="0.2">
      <c r="A246" s="230">
        <v>17</v>
      </c>
      <c r="B246" s="238" t="s">
        <v>285</v>
      </c>
      <c r="C246" s="248"/>
      <c r="D246" s="248"/>
      <c r="E246" s="248"/>
      <c r="F246" s="248"/>
      <c r="G246" s="248"/>
      <c r="H246" s="248"/>
      <c r="I246" s="248"/>
    </row>
    <row r="247" spans="1:9" ht="20.100000000000001" customHeight="1" x14ac:dyDescent="0.2">
      <c r="A247" s="230">
        <v>18</v>
      </c>
      <c r="B247" s="238" t="s">
        <v>1007</v>
      </c>
      <c r="C247" s="238"/>
      <c r="D247" s="238"/>
      <c r="E247" s="238"/>
      <c r="F247" s="238"/>
      <c r="G247" s="238"/>
      <c r="H247" s="238"/>
      <c r="I247" s="238"/>
    </row>
    <row r="248" spans="1:9" ht="20.100000000000001" customHeight="1" x14ac:dyDescent="0.2">
      <c r="A248" s="230">
        <v>19</v>
      </c>
      <c r="B248" s="246" t="s">
        <v>1008</v>
      </c>
      <c r="C248" s="253" t="str">
        <f>IF(data!AZ87&gt;0,data!AZ87,"")</f>
        <v>x</v>
      </c>
      <c r="D248" s="253" t="str">
        <f>IF(data!BA87&gt;0,data!BA87,"")</f>
        <v>x</v>
      </c>
      <c r="E248" s="253" t="str">
        <f>IF(data!BB87&gt;0,data!BB87,"")</f>
        <v>x</v>
      </c>
      <c r="F248" s="253" t="str">
        <f>IF(data!BC87&gt;0,data!BC87,"")</f>
        <v>x</v>
      </c>
      <c r="G248" s="253" t="str">
        <f>IF(data!BD87&gt;0,data!BD87,"")</f>
        <v>x</v>
      </c>
      <c r="H248" s="253" t="str">
        <f>IF(data!BE87&gt;0,data!BE87,"")</f>
        <v>x</v>
      </c>
      <c r="I248" s="253" t="str">
        <f>IF(data!BF87&gt;0,data!BF87,"")</f>
        <v>x</v>
      </c>
    </row>
    <row r="249" spans="1:9" ht="20.100000000000001" customHeight="1" x14ac:dyDescent="0.2">
      <c r="A249" s="230">
        <v>20</v>
      </c>
      <c r="B249" s="246" t="s">
        <v>1009</v>
      </c>
      <c r="C249" s="253" t="str">
        <f>IF(data!AZ88&gt;0,data!AZ88,"")</f>
        <v>x</v>
      </c>
      <c r="D249" s="253" t="str">
        <f>IF(data!BA88&gt;0,data!BA88,"")</f>
        <v>x</v>
      </c>
      <c r="E249" s="253" t="str">
        <f>IF(data!BB88&gt;0,data!BB88,"")</f>
        <v>x</v>
      </c>
      <c r="F249" s="253" t="str">
        <f>IF(data!BC88&gt;0,data!BC88,"")</f>
        <v>x</v>
      </c>
      <c r="G249" s="253" t="str">
        <f>IF(data!BD88&gt;0,data!BD88,"")</f>
        <v>x</v>
      </c>
      <c r="H249" s="253" t="str">
        <f>IF(data!BE88&gt;0,data!BE88,"")</f>
        <v>x</v>
      </c>
      <c r="I249" s="253" t="str">
        <f>IF(data!BF88&gt;0,data!BF88,"")</f>
        <v>x</v>
      </c>
    </row>
    <row r="250" spans="1:9" ht="20.100000000000001" customHeight="1" x14ac:dyDescent="0.2">
      <c r="A250" s="230">
        <v>21</v>
      </c>
      <c r="B250" s="246" t="s">
        <v>1010</v>
      </c>
      <c r="C250" s="253" t="str">
        <f>IF(data!AZ89&gt;0,data!AZ89,"")</f>
        <v>x</v>
      </c>
      <c r="D250" s="253" t="str">
        <f>IF(data!BA89&gt;0,data!BA89,"")</f>
        <v>x</v>
      </c>
      <c r="E250" s="253" t="str">
        <f>IF(data!BB89&gt;0,data!BB89,"")</f>
        <v>x</v>
      </c>
      <c r="F250" s="253" t="str">
        <f>IF(data!BC89&gt;0,data!BC89,"")</f>
        <v>x</v>
      </c>
      <c r="G250" s="253" t="str">
        <f>IF(data!BD89&gt;0,data!BD89,"")</f>
        <v>x</v>
      </c>
      <c r="H250" s="253" t="str">
        <f>IF(data!BE89&gt;0,data!BE89,"")</f>
        <v>x</v>
      </c>
      <c r="I250" s="253" t="str">
        <f>IF(data!BF89&gt;0,data!BF89,"")</f>
        <v>x</v>
      </c>
    </row>
    <row r="251" spans="1:9" ht="20.100000000000001" customHeight="1" x14ac:dyDescent="0.2">
      <c r="A251" s="230" t="s">
        <v>1011</v>
      </c>
      <c r="B251" s="238"/>
      <c r="C251" s="248"/>
      <c r="D251" s="248"/>
      <c r="E251" s="248"/>
      <c r="F251" s="248"/>
      <c r="G251" s="248"/>
      <c r="H251" s="248"/>
      <c r="I251" s="248"/>
    </row>
    <row r="252" spans="1:9" ht="20.100000000000001" customHeight="1" x14ac:dyDescent="0.2">
      <c r="A252" s="230">
        <v>22</v>
      </c>
      <c r="B252" s="238" t="s">
        <v>1012</v>
      </c>
      <c r="C252" s="254">
        <f>data!AZ90</f>
        <v>0</v>
      </c>
      <c r="D252" s="254">
        <f>data!BA90</f>
        <v>0</v>
      </c>
      <c r="E252" s="254">
        <f>data!BB90</f>
        <v>772.52</v>
      </c>
      <c r="F252" s="254">
        <f>data!BC90</f>
        <v>0</v>
      </c>
      <c r="G252" s="254">
        <f>data!BD90</f>
        <v>2167</v>
      </c>
      <c r="H252" s="254">
        <f>data!BE90</f>
        <v>22807.850000000002</v>
      </c>
      <c r="I252" s="254">
        <f>data!BF90</f>
        <v>2006.9199999999998</v>
      </c>
    </row>
    <row r="253" spans="1:9" ht="20.100000000000001" customHeight="1" x14ac:dyDescent="0.2">
      <c r="A253" s="230">
        <v>23</v>
      </c>
      <c r="B253" s="238" t="s">
        <v>1013</v>
      </c>
      <c r="C253" s="254">
        <f>data!AZ91</f>
        <v>0</v>
      </c>
      <c r="D253" s="254">
        <f>data!BA91</f>
        <v>0</v>
      </c>
      <c r="E253" s="254">
        <f>data!BB91</f>
        <v>0</v>
      </c>
      <c r="F253" s="254">
        <f>data!BC91</f>
        <v>0</v>
      </c>
      <c r="G253" s="253" t="str">
        <f>IF(data!BD91&gt;0,data!BD91,"")</f>
        <v>x</v>
      </c>
      <c r="H253" s="253" t="str">
        <f>IF(data!BE91&gt;0,data!BE91,"")</f>
        <v>x</v>
      </c>
      <c r="I253" s="254">
        <f>data!BF91</f>
        <v>0</v>
      </c>
    </row>
    <row r="254" spans="1:9" ht="20.100000000000001" customHeight="1" x14ac:dyDescent="0.2">
      <c r="A254" s="230">
        <v>24</v>
      </c>
      <c r="B254" s="238" t="s">
        <v>1014</v>
      </c>
      <c r="C254" s="253" t="str">
        <f>IF(data!AZ92&gt;0,data!AZ92,"")</f>
        <v>x</v>
      </c>
      <c r="D254" s="254">
        <f>data!BA92</f>
        <v>0</v>
      </c>
      <c r="E254" s="254">
        <f>data!BB92</f>
        <v>0</v>
      </c>
      <c r="F254" s="254">
        <f>data!BC92</f>
        <v>0</v>
      </c>
      <c r="G254" s="253" t="str">
        <f>IF(data!BD92&gt;0,data!BD92,"")</f>
        <v>x</v>
      </c>
      <c r="H254" s="253" t="str">
        <f>IF(data!BE92&gt;0,data!BE92,"")</f>
        <v>x</v>
      </c>
      <c r="I254" s="253" t="str">
        <f>IF(data!BF92&gt;0,data!BF92,"")</f>
        <v>x</v>
      </c>
    </row>
    <row r="255" spans="1:9" ht="20.100000000000001" customHeight="1" x14ac:dyDescent="0.2">
      <c r="A255" s="230">
        <v>25</v>
      </c>
      <c r="B255" s="238" t="s">
        <v>1015</v>
      </c>
      <c r="C255" s="253" t="str">
        <f>IF(data!AZ93&gt;0,data!AZ93,"")</f>
        <v>x</v>
      </c>
      <c r="D255" s="253" t="str">
        <f>IF(data!BA93&gt;0,data!BA93,"")</f>
        <v>x</v>
      </c>
      <c r="E255" s="254">
        <f>data!BB93</f>
        <v>0</v>
      </c>
      <c r="F255" s="254">
        <f>data!BC93</f>
        <v>0</v>
      </c>
      <c r="G255" s="253" t="str">
        <f>IF(data!BD93&gt;0,data!BD93,"")</f>
        <v>x</v>
      </c>
      <c r="H255" s="253" t="str">
        <f>IF(data!BE93&gt;0,data!BE93,"")</f>
        <v>x</v>
      </c>
      <c r="I255" s="253" t="str">
        <f>IF(data!BF93&gt;0,data!BF93,"")</f>
        <v>x</v>
      </c>
    </row>
    <row r="256" spans="1:9" ht="20.100000000000001" customHeight="1" x14ac:dyDescent="0.2">
      <c r="A256" s="230">
        <v>26</v>
      </c>
      <c r="B256" s="238" t="s">
        <v>293</v>
      </c>
      <c r="C256" s="253" t="str">
        <f>IF(data!AZ94&gt;0,data!AZ94,"")</f>
        <v>x</v>
      </c>
      <c r="D256" s="253" t="str">
        <f>IF(data!BA94&gt;0,data!BA94,"")</f>
        <v>x</v>
      </c>
      <c r="E256" s="253" t="str">
        <f>IF(data!BB94&gt;0,data!BB94,"")</f>
        <v>x</v>
      </c>
      <c r="F256" s="253" t="str">
        <f>IF(data!BC94&gt;0,data!BC94,"")</f>
        <v>x</v>
      </c>
      <c r="G256" s="253" t="str">
        <f>IF(data!BD94&gt;0,data!BD94,"")</f>
        <v>x</v>
      </c>
      <c r="H256" s="253" t="str">
        <f>IF(data!BE94&gt;0,data!BE94,"")</f>
        <v>x</v>
      </c>
      <c r="I256" s="253" t="str">
        <f>IF(data!BF94&gt;0,data!BF94,"")</f>
        <v>x</v>
      </c>
    </row>
    <row r="257" spans="1:9" ht="20.100000000000001" customHeight="1" x14ac:dyDescent="0.2">
      <c r="A257" s="231" t="s">
        <v>997</v>
      </c>
      <c r="B257" s="232"/>
      <c r="C257" s="232"/>
      <c r="D257" s="232"/>
      <c r="E257" s="232"/>
      <c r="F257" s="232"/>
      <c r="G257" s="232"/>
      <c r="H257" s="232"/>
      <c r="I257" s="231"/>
    </row>
    <row r="258" spans="1:9" ht="20.100000000000001" customHeight="1" x14ac:dyDescent="0.2">
      <c r="D258" s="234"/>
      <c r="I258" s="235" t="s">
        <v>1043</v>
      </c>
    </row>
    <row r="259" spans="1:9" ht="20.100000000000001" customHeight="1" x14ac:dyDescent="0.2">
      <c r="A259" s="234"/>
    </row>
    <row r="260" spans="1:9" ht="20.100000000000001" customHeight="1" x14ac:dyDescent="0.2">
      <c r="A260" s="236" t="str">
        <f>"Hospital: "&amp;data!C98</f>
        <v>Hospital: Tacoma General / Allenmore</v>
      </c>
      <c r="G260" s="237"/>
      <c r="H260" s="236" t="str">
        <f>"FYE: "&amp;data!C96</f>
        <v>FYE: 12/31/2024</v>
      </c>
    </row>
    <row r="261" spans="1:9" ht="20.100000000000001" customHeight="1" x14ac:dyDescent="0.2">
      <c r="A261" s="230">
        <v>1</v>
      </c>
      <c r="B261" s="238" t="s">
        <v>235</v>
      </c>
      <c r="C261" s="240" t="s">
        <v>91</v>
      </c>
      <c r="D261" s="240" t="s">
        <v>92</v>
      </c>
      <c r="E261" s="240" t="s">
        <v>93</v>
      </c>
      <c r="F261" s="240" t="s">
        <v>94</v>
      </c>
      <c r="G261" s="240" t="s">
        <v>95</v>
      </c>
      <c r="H261" s="240" t="s">
        <v>96</v>
      </c>
      <c r="I261" s="240" t="s">
        <v>97</v>
      </c>
    </row>
    <row r="262" spans="1:9" ht="20.100000000000001" customHeight="1" x14ac:dyDescent="0.2">
      <c r="A262" s="241">
        <v>2</v>
      </c>
      <c r="B262" s="242" t="s">
        <v>999</v>
      </c>
      <c r="C262" s="244" t="s">
        <v>1044</v>
      </c>
      <c r="D262" s="244" t="s">
        <v>169</v>
      </c>
      <c r="E262" s="244" t="s">
        <v>170</v>
      </c>
      <c r="F262" s="244"/>
      <c r="G262" s="244" t="s">
        <v>172</v>
      </c>
      <c r="H262" s="244"/>
      <c r="I262" s="244" t="s">
        <v>158</v>
      </c>
    </row>
    <row r="263" spans="1:9" ht="20.100000000000001" customHeight="1" x14ac:dyDescent="0.2">
      <c r="A263" s="241"/>
      <c r="B263" s="242"/>
      <c r="C263" s="244" t="s">
        <v>1045</v>
      </c>
      <c r="D263" s="244" t="s">
        <v>216</v>
      </c>
      <c r="E263" s="244" t="s">
        <v>195</v>
      </c>
      <c r="F263" s="244" t="s">
        <v>171</v>
      </c>
      <c r="G263" s="244" t="s">
        <v>217</v>
      </c>
      <c r="H263" s="244" t="s">
        <v>173</v>
      </c>
      <c r="I263" s="244" t="s">
        <v>1046</v>
      </c>
    </row>
    <row r="264" spans="1:9" ht="20.100000000000001" customHeight="1" x14ac:dyDescent="0.2">
      <c r="A264" s="230">
        <v>3</v>
      </c>
      <c r="B264" s="238" t="s">
        <v>1003</v>
      </c>
      <c r="C264" s="250"/>
      <c r="D264" s="250"/>
      <c r="E264" s="250"/>
      <c r="F264" s="250"/>
      <c r="G264" s="250"/>
      <c r="H264" s="250"/>
      <c r="I264" s="250"/>
    </row>
    <row r="265" spans="1:9" ht="20.100000000000001" customHeight="1" x14ac:dyDescent="0.2">
      <c r="A265" s="230">
        <v>4</v>
      </c>
      <c r="B265" s="238" t="s">
        <v>260</v>
      </c>
      <c r="C265" s="250"/>
      <c r="D265" s="250"/>
      <c r="E265" s="250"/>
      <c r="F265" s="250"/>
      <c r="G265" s="250"/>
      <c r="H265" s="250"/>
      <c r="I265" s="250"/>
    </row>
    <row r="266" spans="1:9" ht="20.100000000000001" customHeight="1" x14ac:dyDescent="0.2">
      <c r="A266" s="230">
        <v>5</v>
      </c>
      <c r="B266" s="238" t="s">
        <v>261</v>
      </c>
      <c r="C266" s="245">
        <f>data!BG60</f>
        <v>0</v>
      </c>
      <c r="D266" s="245">
        <f>data!BH60</f>
        <v>0</v>
      </c>
      <c r="E266" s="245">
        <f>data!BI60</f>
        <v>11</v>
      </c>
      <c r="F266" s="245">
        <f>data!BJ60</f>
        <v>0</v>
      </c>
      <c r="G266" s="245">
        <f>data!BK60</f>
        <v>0</v>
      </c>
      <c r="H266" s="245">
        <f>data!BL60</f>
        <v>32</v>
      </c>
      <c r="I266" s="245">
        <f>data!BM60</f>
        <v>0</v>
      </c>
    </row>
    <row r="267" spans="1:9" ht="20.100000000000001" customHeight="1" x14ac:dyDescent="0.2">
      <c r="A267" s="230">
        <v>6</v>
      </c>
      <c r="B267" s="238" t="s">
        <v>262</v>
      </c>
      <c r="C267" s="238">
        <f>data!BG61</f>
        <v>0</v>
      </c>
      <c r="D267" s="238">
        <f>data!BH61</f>
        <v>0</v>
      </c>
      <c r="E267" s="238">
        <f>data!BI61</f>
        <v>733002.37999999989</v>
      </c>
      <c r="F267" s="238">
        <f>data!BJ61</f>
        <v>0</v>
      </c>
      <c r="G267" s="238">
        <f>data!BK61</f>
        <v>0</v>
      </c>
      <c r="H267" s="238">
        <f>data!BL61</f>
        <v>1836293.6</v>
      </c>
      <c r="I267" s="238">
        <f>data!BM61</f>
        <v>0</v>
      </c>
    </row>
    <row r="268" spans="1:9" ht="20.100000000000001" customHeight="1" x14ac:dyDescent="0.2">
      <c r="A268" s="230">
        <v>7</v>
      </c>
      <c r="B268" s="238" t="s">
        <v>10</v>
      </c>
      <c r="C268" s="238">
        <f>data!BG62</f>
        <v>0</v>
      </c>
      <c r="D268" s="238">
        <f>data!BH62</f>
        <v>0</v>
      </c>
      <c r="E268" s="238">
        <f>data!BI62</f>
        <v>259847</v>
      </c>
      <c r="F268" s="238">
        <f>data!BJ62</f>
        <v>0</v>
      </c>
      <c r="G268" s="238">
        <f>data!BK62</f>
        <v>0</v>
      </c>
      <c r="H268" s="238">
        <f>data!BL62</f>
        <v>721418</v>
      </c>
      <c r="I268" s="238">
        <f>data!BM62</f>
        <v>0</v>
      </c>
    </row>
    <row r="269" spans="1:9" ht="20.100000000000001" customHeight="1" x14ac:dyDescent="0.2">
      <c r="A269" s="230">
        <v>8</v>
      </c>
      <c r="B269" s="238" t="s">
        <v>263</v>
      </c>
      <c r="C269" s="238">
        <f>data!BG63</f>
        <v>0</v>
      </c>
      <c r="D269" s="238">
        <f>data!BH63</f>
        <v>0</v>
      </c>
      <c r="E269" s="238">
        <f>data!BI63</f>
        <v>0</v>
      </c>
      <c r="F269" s="238">
        <f>data!BJ63</f>
        <v>0</v>
      </c>
      <c r="G269" s="238">
        <f>data!BK63</f>
        <v>0</v>
      </c>
      <c r="H269" s="238">
        <f>data!BL63</f>
        <v>0</v>
      </c>
      <c r="I269" s="238">
        <f>data!BM63</f>
        <v>0</v>
      </c>
    </row>
    <row r="270" spans="1:9" ht="20.100000000000001" customHeight="1" x14ac:dyDescent="0.2">
      <c r="A270" s="230">
        <v>9</v>
      </c>
      <c r="B270" s="238" t="s">
        <v>264</v>
      </c>
      <c r="C270" s="238">
        <f>data!BG64</f>
        <v>0</v>
      </c>
      <c r="D270" s="238">
        <f>data!BH64</f>
        <v>0</v>
      </c>
      <c r="E270" s="238">
        <f>data!BI64</f>
        <v>516929.74</v>
      </c>
      <c r="F270" s="238">
        <f>data!BJ64</f>
        <v>0</v>
      </c>
      <c r="G270" s="238">
        <f>data!BK64</f>
        <v>0</v>
      </c>
      <c r="H270" s="238">
        <f>data!BL64</f>
        <v>32127.78</v>
      </c>
      <c r="I270" s="238">
        <f>data!BM64</f>
        <v>0</v>
      </c>
    </row>
    <row r="271" spans="1:9" ht="20.100000000000001" customHeight="1" x14ac:dyDescent="0.2">
      <c r="A271" s="230">
        <v>10</v>
      </c>
      <c r="B271" s="238" t="s">
        <v>518</v>
      </c>
      <c r="C271" s="238">
        <f>data!BG65</f>
        <v>0</v>
      </c>
      <c r="D271" s="238">
        <f>data!BH65</f>
        <v>0</v>
      </c>
      <c r="E271" s="238">
        <f>data!BI65</f>
        <v>0</v>
      </c>
      <c r="F271" s="238">
        <f>data!BJ65</f>
        <v>0</v>
      </c>
      <c r="G271" s="238">
        <f>data!BK65</f>
        <v>0</v>
      </c>
      <c r="H271" s="238">
        <f>data!BL65</f>
        <v>0</v>
      </c>
      <c r="I271" s="238">
        <f>data!BM65</f>
        <v>0</v>
      </c>
    </row>
    <row r="272" spans="1:9" ht="20.100000000000001" customHeight="1" x14ac:dyDescent="0.2">
      <c r="A272" s="230">
        <v>11</v>
      </c>
      <c r="B272" s="238" t="s">
        <v>519</v>
      </c>
      <c r="C272" s="238">
        <f>data!BG66</f>
        <v>0</v>
      </c>
      <c r="D272" s="238">
        <f>data!BH66</f>
        <v>0</v>
      </c>
      <c r="E272" s="238">
        <f>data!BI66</f>
        <v>290865.74000000005</v>
      </c>
      <c r="F272" s="238">
        <f>data!BJ66</f>
        <v>0</v>
      </c>
      <c r="G272" s="238">
        <f>data!BK66</f>
        <v>0</v>
      </c>
      <c r="H272" s="238">
        <f>data!BL66</f>
        <v>-2806584.9899999998</v>
      </c>
      <c r="I272" s="238">
        <f>data!BM66</f>
        <v>0</v>
      </c>
    </row>
    <row r="273" spans="1:9" ht="20.100000000000001" customHeight="1" x14ac:dyDescent="0.2">
      <c r="A273" s="230">
        <v>12</v>
      </c>
      <c r="B273" s="238" t="s">
        <v>15</v>
      </c>
      <c r="C273" s="238">
        <f>data!BG67</f>
        <v>0</v>
      </c>
      <c r="D273" s="238">
        <f>data!BH67</f>
        <v>0</v>
      </c>
      <c r="E273" s="238">
        <f>data!BI67</f>
        <v>114095</v>
      </c>
      <c r="F273" s="238">
        <f>data!BJ67</f>
        <v>0</v>
      </c>
      <c r="G273" s="238">
        <f>data!BK67</f>
        <v>0</v>
      </c>
      <c r="H273" s="238">
        <f>data!BL67</f>
        <v>19403</v>
      </c>
      <c r="I273" s="238">
        <f>data!BM67</f>
        <v>0</v>
      </c>
    </row>
    <row r="274" spans="1:9" ht="20.100000000000001" customHeight="1" x14ac:dyDescent="0.2">
      <c r="A274" s="230">
        <v>13</v>
      </c>
      <c r="B274" s="238" t="s">
        <v>1004</v>
      </c>
      <c r="C274" s="238">
        <f>data!BG68</f>
        <v>0</v>
      </c>
      <c r="D274" s="238">
        <f>data!BH68</f>
        <v>0</v>
      </c>
      <c r="E274" s="238">
        <f>data!BI68</f>
        <v>125</v>
      </c>
      <c r="F274" s="238">
        <f>data!BJ68</f>
        <v>0</v>
      </c>
      <c r="G274" s="238">
        <f>data!BK68</f>
        <v>0</v>
      </c>
      <c r="H274" s="238">
        <f>data!BL68</f>
        <v>0</v>
      </c>
      <c r="I274" s="238">
        <f>data!BM68</f>
        <v>0</v>
      </c>
    </row>
    <row r="275" spans="1:9" ht="20.100000000000001" customHeight="1" x14ac:dyDescent="0.2">
      <c r="A275" s="230">
        <v>14</v>
      </c>
      <c r="B275" s="238" t="s">
        <v>1005</v>
      </c>
      <c r="C275" s="238">
        <f>data!BG69</f>
        <v>0</v>
      </c>
      <c r="D275" s="238">
        <f>data!BH69</f>
        <v>0</v>
      </c>
      <c r="E275" s="238">
        <f>data!BI69</f>
        <v>98122.06</v>
      </c>
      <c r="F275" s="238">
        <f>data!BJ69</f>
        <v>0</v>
      </c>
      <c r="G275" s="238">
        <f>data!BK69</f>
        <v>0</v>
      </c>
      <c r="H275" s="238">
        <f>data!BL69</f>
        <v>56364.729999999996</v>
      </c>
      <c r="I275" s="238">
        <f>data!BM69</f>
        <v>0</v>
      </c>
    </row>
    <row r="276" spans="1:9" ht="20.100000000000001" customHeight="1" x14ac:dyDescent="0.2">
      <c r="A276" s="230">
        <v>15</v>
      </c>
      <c r="B276" s="238" t="s">
        <v>283</v>
      </c>
      <c r="C276" s="238">
        <f>-data!BG84</f>
        <v>0</v>
      </c>
      <c r="D276" s="238">
        <f>-data!BH84</f>
        <v>0</v>
      </c>
      <c r="E276" s="238">
        <f>-data!BI84</f>
        <v>-1488807.2</v>
      </c>
      <c r="F276" s="238">
        <f>-data!BJ84</f>
        <v>0</v>
      </c>
      <c r="G276" s="238">
        <f>-data!BK84</f>
        <v>0</v>
      </c>
      <c r="H276" s="238">
        <f>-data!BL84</f>
        <v>0</v>
      </c>
      <c r="I276" s="238">
        <f>-data!BM84</f>
        <v>0</v>
      </c>
    </row>
    <row r="277" spans="1:9" ht="20.100000000000001" customHeight="1" x14ac:dyDescent="0.2">
      <c r="A277" s="230">
        <v>16</v>
      </c>
      <c r="B277" s="246" t="s">
        <v>1006</v>
      </c>
      <c r="C277" s="238">
        <f>data!BG85</f>
        <v>0</v>
      </c>
      <c r="D277" s="238">
        <f>data!BH85</f>
        <v>0</v>
      </c>
      <c r="E277" s="238">
        <f>data!BI85</f>
        <v>524179.72</v>
      </c>
      <c r="F277" s="238">
        <f>data!BJ85</f>
        <v>0</v>
      </c>
      <c r="G277" s="238">
        <f>data!BK85</f>
        <v>0</v>
      </c>
      <c r="H277" s="238">
        <f>data!BL85</f>
        <v>-140977.87999999989</v>
      </c>
      <c r="I277" s="238">
        <f>data!BM85</f>
        <v>0</v>
      </c>
    </row>
    <row r="278" spans="1:9" ht="20.100000000000001" customHeight="1" x14ac:dyDescent="0.2">
      <c r="A278" s="230">
        <v>17</v>
      </c>
      <c r="B278" s="238" t="s">
        <v>285</v>
      </c>
      <c r="C278" s="248"/>
      <c r="D278" s="248"/>
      <c r="E278" s="248"/>
      <c r="F278" s="248"/>
      <c r="G278" s="248"/>
      <c r="H278" s="248"/>
      <c r="I278" s="248"/>
    </row>
    <row r="279" spans="1:9" ht="20.100000000000001" customHeight="1" x14ac:dyDescent="0.2">
      <c r="A279" s="230">
        <v>18</v>
      </c>
      <c r="B279" s="238" t="s">
        <v>1007</v>
      </c>
      <c r="C279" s="238"/>
      <c r="D279" s="238"/>
      <c r="E279" s="238"/>
      <c r="F279" s="238"/>
      <c r="G279" s="238"/>
      <c r="H279" s="238"/>
      <c r="I279" s="238"/>
    </row>
    <row r="280" spans="1:9" ht="20.100000000000001" customHeight="1" x14ac:dyDescent="0.2">
      <c r="A280" s="230">
        <v>19</v>
      </c>
      <c r="B280" s="246" t="s">
        <v>1008</v>
      </c>
      <c r="C280" s="253" t="str">
        <f>IF(data!BG87&gt;0,data!BG87,"")</f>
        <v>x</v>
      </c>
      <c r="D280" s="253" t="str">
        <f>IF(data!BH87&gt;0,data!BH87,"")</f>
        <v>x</v>
      </c>
      <c r="E280" s="253" t="str">
        <f>IF(data!BI87&gt;0,data!BI87,"")</f>
        <v>x</v>
      </c>
      <c r="F280" s="253" t="str">
        <f>IF(data!BJ87&gt;0,data!BJ87,"")</f>
        <v>x</v>
      </c>
      <c r="G280" s="253" t="str">
        <f>IF(data!BK87&gt;0,data!BK87,"")</f>
        <v>x</v>
      </c>
      <c r="H280" s="253" t="str">
        <f>IF(data!BL87&gt;0,data!BL87,"")</f>
        <v>x</v>
      </c>
      <c r="I280" s="253" t="str">
        <f>IF(data!BM87&gt;0,data!BM87,"")</f>
        <v>x</v>
      </c>
    </row>
    <row r="281" spans="1:9" ht="20.100000000000001" customHeight="1" x14ac:dyDescent="0.2">
      <c r="A281" s="230">
        <v>20</v>
      </c>
      <c r="B281" s="246" t="s">
        <v>1009</v>
      </c>
      <c r="C281" s="253" t="str">
        <f>IF(data!BG88&gt;0,data!BG88,"")</f>
        <v>x</v>
      </c>
      <c r="D281" s="253" t="str">
        <f>IF(data!BH88&gt;0,data!BH88,"")</f>
        <v>x</v>
      </c>
      <c r="E281" s="253" t="str">
        <f>IF(data!BI88&gt;0,data!BI88,"")</f>
        <v>x</v>
      </c>
      <c r="F281" s="253" t="str">
        <f>IF(data!BJ88&gt;0,data!BJ88,"")</f>
        <v>x</v>
      </c>
      <c r="G281" s="253" t="str">
        <f>IF(data!BK88&gt;0,data!BK88,"")</f>
        <v>x</v>
      </c>
      <c r="H281" s="253" t="str">
        <f>IF(data!BL88&gt;0,data!BL88,"")</f>
        <v>x</v>
      </c>
      <c r="I281" s="253" t="str">
        <f>IF(data!BM88&gt;0,data!BM88,"")</f>
        <v>x</v>
      </c>
    </row>
    <row r="282" spans="1:9" ht="20.100000000000001" customHeight="1" x14ac:dyDescent="0.2">
      <c r="A282" s="230">
        <v>21</v>
      </c>
      <c r="B282" s="246" t="s">
        <v>1010</v>
      </c>
      <c r="C282" s="253" t="str">
        <f>IF(data!BG89&gt;0,data!BG89,"")</f>
        <v>x</v>
      </c>
      <c r="D282" s="253" t="str">
        <f>IF(data!BH89&gt;0,data!BH89,"")</f>
        <v>x</v>
      </c>
      <c r="E282" s="253" t="str">
        <f>IF(data!BI89&gt;0,data!BI89,"")</f>
        <v>x</v>
      </c>
      <c r="F282" s="253" t="str">
        <f>IF(data!BJ89&gt;0,data!BJ89,"")</f>
        <v>x</v>
      </c>
      <c r="G282" s="253" t="str">
        <f>IF(data!BK89&gt;0,data!BK89,"")</f>
        <v>x</v>
      </c>
      <c r="H282" s="253" t="str">
        <f>IF(data!BL89&gt;0,data!BL89,"")</f>
        <v>x</v>
      </c>
      <c r="I282" s="253" t="str">
        <f>IF(data!BM89&gt;0,data!BM89,"")</f>
        <v>x</v>
      </c>
    </row>
    <row r="283" spans="1:9" ht="20.100000000000001" customHeight="1" x14ac:dyDescent="0.2">
      <c r="A283" s="230" t="s">
        <v>1011</v>
      </c>
      <c r="B283" s="238"/>
      <c r="C283" s="255"/>
      <c r="D283" s="255"/>
      <c r="E283" s="255"/>
      <c r="F283" s="255"/>
      <c r="G283" s="255"/>
      <c r="H283" s="255"/>
      <c r="I283" s="255"/>
    </row>
    <row r="284" spans="1:9" ht="20.100000000000001" customHeight="1" x14ac:dyDescent="0.2">
      <c r="A284" s="230">
        <v>22</v>
      </c>
      <c r="B284" s="238" t="s">
        <v>1012</v>
      </c>
      <c r="C284" s="254">
        <f>data!BG90</f>
        <v>0</v>
      </c>
      <c r="D284" s="254">
        <f>data!BH90</f>
        <v>0</v>
      </c>
      <c r="E284" s="254">
        <f>data!BI90</f>
        <v>0</v>
      </c>
      <c r="F284" s="254">
        <f>data!BJ90</f>
        <v>0</v>
      </c>
      <c r="G284" s="254">
        <f>data!BK90</f>
        <v>0</v>
      </c>
      <c r="H284" s="254">
        <f>data!BL90</f>
        <v>1432.76</v>
      </c>
      <c r="I284" s="254">
        <f>data!BM90</f>
        <v>0</v>
      </c>
    </row>
    <row r="285" spans="1:9" ht="20.100000000000001" customHeight="1" x14ac:dyDescent="0.2">
      <c r="A285" s="230">
        <v>23</v>
      </c>
      <c r="B285" s="238" t="s">
        <v>1013</v>
      </c>
      <c r="C285" s="253" t="str">
        <f>IF(data!BG91&gt;0,data!BG91,"")</f>
        <v>x</v>
      </c>
      <c r="D285" s="254">
        <f>data!BH91</f>
        <v>0</v>
      </c>
      <c r="E285" s="254">
        <f>data!BI91</f>
        <v>0</v>
      </c>
      <c r="F285" s="253" t="str">
        <f>IF(data!BJ91&gt;0,data!BJ91,"")</f>
        <v>x</v>
      </c>
      <c r="G285" s="254">
        <f>data!BK91</f>
        <v>0</v>
      </c>
      <c r="H285" s="254">
        <f>data!BL91</f>
        <v>0</v>
      </c>
      <c r="I285" s="254">
        <f>data!BM91</f>
        <v>0</v>
      </c>
    </row>
    <row r="286" spans="1:9" ht="20.100000000000001" customHeight="1" x14ac:dyDescent="0.2">
      <c r="A286" s="230">
        <v>24</v>
      </c>
      <c r="B286" s="238" t="s">
        <v>1014</v>
      </c>
      <c r="C286" s="253" t="str">
        <f>IF(data!BG92&gt;0,data!BG92,"")</f>
        <v>x</v>
      </c>
      <c r="D286" s="254">
        <f>data!BH92</f>
        <v>0</v>
      </c>
      <c r="E286" s="254">
        <f>data!BI92</f>
        <v>0</v>
      </c>
      <c r="F286" s="253" t="str">
        <f>IF(data!BJ92&gt;0,data!BJ92,"")</f>
        <v>x</v>
      </c>
      <c r="G286" s="254">
        <f>data!BK92</f>
        <v>0</v>
      </c>
      <c r="H286" s="254">
        <f>data!BL92</f>
        <v>0</v>
      </c>
      <c r="I286" s="254">
        <f>data!BM92</f>
        <v>0</v>
      </c>
    </row>
    <row r="287" spans="1:9" ht="20.100000000000001" customHeight="1" x14ac:dyDescent="0.2">
      <c r="A287" s="230">
        <v>25</v>
      </c>
      <c r="B287" s="238" t="s">
        <v>1015</v>
      </c>
      <c r="C287" s="253" t="str">
        <f>IF(data!BG93&gt;0,data!BG93,"")</f>
        <v>x</v>
      </c>
      <c r="D287" s="254">
        <f>data!BH93</f>
        <v>0</v>
      </c>
      <c r="E287" s="254">
        <f>data!BI93</f>
        <v>0</v>
      </c>
      <c r="F287" s="253" t="str">
        <f>IF(data!BJ93&gt;0,data!BJ93,"")</f>
        <v>x</v>
      </c>
      <c r="G287" s="254">
        <f>data!BK93</f>
        <v>0</v>
      </c>
      <c r="H287" s="254">
        <f>data!BL93</f>
        <v>0</v>
      </c>
      <c r="I287" s="254">
        <f>data!BM93</f>
        <v>0</v>
      </c>
    </row>
    <row r="288" spans="1:9" ht="20.100000000000001" customHeight="1" x14ac:dyDescent="0.2">
      <c r="A288" s="230">
        <v>26</v>
      </c>
      <c r="B288" s="238" t="s">
        <v>293</v>
      </c>
      <c r="C288" s="253" t="str">
        <f>IF(data!BG94&gt;0,data!BG94,"")</f>
        <v>x</v>
      </c>
      <c r="D288" s="253" t="str">
        <f>IF(data!BH94&gt;0,data!BH94,"")</f>
        <v>x</v>
      </c>
      <c r="E288" s="253" t="str">
        <f>IF(data!BI94&gt;0,data!BI94,"")</f>
        <v>x</v>
      </c>
      <c r="F288" s="253" t="str">
        <f>IF(data!BJ94&gt;0,data!BJ94,"")</f>
        <v>x</v>
      </c>
      <c r="G288" s="253" t="str">
        <f>IF(data!BK94&gt;0,data!BK94,"")</f>
        <v>x</v>
      </c>
      <c r="H288" s="253" t="str">
        <f>IF(data!BL94&gt;0,data!BL94,"")</f>
        <v>x</v>
      </c>
      <c r="I288" s="253" t="str">
        <f>IF(data!BM94&gt;0,data!BM94,"")</f>
        <v>x</v>
      </c>
    </row>
    <row r="289" spans="1:9" ht="20.100000000000001" customHeight="1" x14ac:dyDescent="0.2">
      <c r="A289" s="231" t="s">
        <v>997</v>
      </c>
      <c r="B289" s="232"/>
      <c r="C289" s="232"/>
      <c r="D289" s="232"/>
      <c r="E289" s="232"/>
      <c r="F289" s="232"/>
      <c r="G289" s="232"/>
      <c r="H289" s="232"/>
      <c r="I289" s="231"/>
    </row>
    <row r="290" spans="1:9" ht="20.100000000000001" customHeight="1" x14ac:dyDescent="0.2">
      <c r="D290" s="234"/>
      <c r="I290" s="235" t="s">
        <v>1047</v>
      </c>
    </row>
    <row r="291" spans="1:9" ht="20.100000000000001" customHeight="1" x14ac:dyDescent="0.2">
      <c r="A291" s="234"/>
    </row>
    <row r="292" spans="1:9" ht="20.100000000000001" customHeight="1" x14ac:dyDescent="0.2">
      <c r="A292" s="236" t="str">
        <f>"Hospital: "&amp;data!C98</f>
        <v>Hospital: Tacoma General / Allenmore</v>
      </c>
      <c r="G292" s="237"/>
      <c r="H292" s="236" t="str">
        <f>"FYE: "&amp;data!C96</f>
        <v>FYE: 12/31/2024</v>
      </c>
    </row>
    <row r="293" spans="1:9" ht="20.100000000000001" customHeight="1" x14ac:dyDescent="0.2">
      <c r="A293" s="230">
        <v>1</v>
      </c>
      <c r="B293" s="238" t="s">
        <v>235</v>
      </c>
      <c r="C293" s="240" t="s">
        <v>98</v>
      </c>
      <c r="D293" s="240" t="s">
        <v>99</v>
      </c>
      <c r="E293" s="240" t="s">
        <v>100</v>
      </c>
      <c r="F293" s="240" t="s">
        <v>101</v>
      </c>
      <c r="G293" s="240" t="s">
        <v>102</v>
      </c>
      <c r="H293" s="240" t="s">
        <v>103</v>
      </c>
      <c r="I293" s="240" t="s">
        <v>104</v>
      </c>
    </row>
    <row r="294" spans="1:9" ht="20.100000000000001" customHeight="1" x14ac:dyDescent="0.2">
      <c r="A294" s="241">
        <v>2</v>
      </c>
      <c r="B294" s="242" t="s">
        <v>999</v>
      </c>
      <c r="C294" s="244" t="s">
        <v>174</v>
      </c>
      <c r="D294" s="244" t="s">
        <v>175</v>
      </c>
      <c r="E294" s="244" t="s">
        <v>176</v>
      </c>
      <c r="F294" s="244" t="s">
        <v>177</v>
      </c>
      <c r="G294" s="244"/>
      <c r="H294" s="244" t="s">
        <v>179</v>
      </c>
      <c r="I294" s="244" t="s">
        <v>180</v>
      </c>
    </row>
    <row r="295" spans="1:9" ht="20.100000000000001" customHeight="1" x14ac:dyDescent="0.2">
      <c r="A295" s="241"/>
      <c r="B295" s="242"/>
      <c r="C295" s="244" t="s">
        <v>1048</v>
      </c>
      <c r="D295" s="244" t="s">
        <v>220</v>
      </c>
      <c r="E295" s="244" t="s">
        <v>221</v>
      </c>
      <c r="F295" s="244" t="s">
        <v>222</v>
      </c>
      <c r="G295" s="244" t="s">
        <v>178</v>
      </c>
      <c r="H295" s="244" t="s">
        <v>223</v>
      </c>
      <c r="I295" s="244" t="s">
        <v>195</v>
      </c>
    </row>
    <row r="296" spans="1:9" ht="20.100000000000001" customHeight="1" x14ac:dyDescent="0.2">
      <c r="A296" s="230">
        <v>3</v>
      </c>
      <c r="B296" s="238" t="s">
        <v>1003</v>
      </c>
      <c r="C296" s="250"/>
      <c r="D296" s="250"/>
      <c r="E296" s="250"/>
      <c r="F296" s="250"/>
      <c r="G296" s="250"/>
      <c r="H296" s="250"/>
      <c r="I296" s="250"/>
    </row>
    <row r="297" spans="1:9" ht="20.100000000000001" customHeight="1" x14ac:dyDescent="0.2">
      <c r="A297" s="230">
        <v>4</v>
      </c>
      <c r="B297" s="238" t="s">
        <v>260</v>
      </c>
      <c r="C297" s="250"/>
      <c r="D297" s="250"/>
      <c r="E297" s="250"/>
      <c r="F297" s="250"/>
      <c r="G297" s="250"/>
      <c r="H297" s="250"/>
      <c r="I297" s="250"/>
    </row>
    <row r="298" spans="1:9" ht="20.100000000000001" customHeight="1" x14ac:dyDescent="0.2">
      <c r="A298" s="230">
        <v>5</v>
      </c>
      <c r="B298" s="238" t="s">
        <v>261</v>
      </c>
      <c r="C298" s="245">
        <f>data!BN60</f>
        <v>0</v>
      </c>
      <c r="D298" s="245">
        <f>data!BO60</f>
        <v>0</v>
      </c>
      <c r="E298" s="245">
        <f>data!BP60</f>
        <v>0</v>
      </c>
      <c r="F298" s="245">
        <f>data!BQ60</f>
        <v>0</v>
      </c>
      <c r="G298" s="245">
        <f>data!BR60</f>
        <v>0</v>
      </c>
      <c r="H298" s="245">
        <f>data!BS60</f>
        <v>0</v>
      </c>
      <c r="I298" s="245">
        <f>data!BT60</f>
        <v>0</v>
      </c>
    </row>
    <row r="299" spans="1:9" ht="20.100000000000001" customHeight="1" x14ac:dyDescent="0.2">
      <c r="A299" s="230">
        <v>6</v>
      </c>
      <c r="B299" s="238" t="s">
        <v>262</v>
      </c>
      <c r="C299" s="238">
        <f>data!BN61</f>
        <v>0</v>
      </c>
      <c r="D299" s="238">
        <f>data!BO61</f>
        <v>0</v>
      </c>
      <c r="E299" s="238">
        <f>data!BP61</f>
        <v>0</v>
      </c>
      <c r="F299" s="238">
        <f>data!BQ61</f>
        <v>0</v>
      </c>
      <c r="G299" s="238">
        <f>data!BR61</f>
        <v>0</v>
      </c>
      <c r="H299" s="238">
        <f>data!BS61</f>
        <v>0</v>
      </c>
      <c r="I299" s="238">
        <f>data!BT61</f>
        <v>0</v>
      </c>
    </row>
    <row r="300" spans="1:9" ht="20.100000000000001" customHeight="1" x14ac:dyDescent="0.2">
      <c r="A300" s="230">
        <v>7</v>
      </c>
      <c r="B300" s="238" t="s">
        <v>10</v>
      </c>
      <c r="C300" s="238">
        <f>data!BN62</f>
        <v>0</v>
      </c>
      <c r="D300" s="238">
        <f>data!BO62</f>
        <v>0</v>
      </c>
      <c r="E300" s="238">
        <f>data!BP62</f>
        <v>1056</v>
      </c>
      <c r="F300" s="238">
        <f>data!BQ62</f>
        <v>0</v>
      </c>
      <c r="G300" s="238">
        <f>data!BR62</f>
        <v>0</v>
      </c>
      <c r="H300" s="238">
        <f>data!BS62</f>
        <v>0</v>
      </c>
      <c r="I300" s="238">
        <f>data!BT62</f>
        <v>0</v>
      </c>
    </row>
    <row r="301" spans="1:9" ht="20.100000000000001" customHeight="1" x14ac:dyDescent="0.2">
      <c r="A301" s="230">
        <v>8</v>
      </c>
      <c r="B301" s="238" t="s">
        <v>263</v>
      </c>
      <c r="C301" s="238">
        <f>data!BN63</f>
        <v>0</v>
      </c>
      <c r="D301" s="238">
        <f>data!BO63</f>
        <v>0</v>
      </c>
      <c r="E301" s="238">
        <f>data!BP63</f>
        <v>750</v>
      </c>
      <c r="F301" s="238">
        <f>data!BQ63</f>
        <v>0</v>
      </c>
      <c r="G301" s="238">
        <f>data!BR63</f>
        <v>0</v>
      </c>
      <c r="H301" s="238">
        <f>data!BS63</f>
        <v>0</v>
      </c>
      <c r="I301" s="238">
        <f>data!BT63</f>
        <v>0</v>
      </c>
    </row>
    <row r="302" spans="1:9" ht="20.100000000000001" customHeight="1" x14ac:dyDescent="0.2">
      <c r="A302" s="230">
        <v>9</v>
      </c>
      <c r="B302" s="238" t="s">
        <v>264</v>
      </c>
      <c r="C302" s="238">
        <f>data!BN64</f>
        <v>0</v>
      </c>
      <c r="D302" s="238">
        <f>data!BO64</f>
        <v>0</v>
      </c>
      <c r="E302" s="238">
        <f>data!BP64</f>
        <v>18192.78</v>
      </c>
      <c r="F302" s="238">
        <f>data!BQ64</f>
        <v>0</v>
      </c>
      <c r="G302" s="238">
        <f>data!BR64</f>
        <v>0</v>
      </c>
      <c r="H302" s="238">
        <f>data!BS64</f>
        <v>0</v>
      </c>
      <c r="I302" s="238">
        <f>data!BT64</f>
        <v>0</v>
      </c>
    </row>
    <row r="303" spans="1:9" ht="20.100000000000001" customHeight="1" x14ac:dyDescent="0.2">
      <c r="A303" s="230">
        <v>10</v>
      </c>
      <c r="B303" s="238" t="s">
        <v>518</v>
      </c>
      <c r="C303" s="238">
        <f>data!BN65</f>
        <v>0</v>
      </c>
      <c r="D303" s="238">
        <f>data!BO65</f>
        <v>0</v>
      </c>
      <c r="E303" s="238">
        <f>data!BP65</f>
        <v>0</v>
      </c>
      <c r="F303" s="238">
        <f>data!BQ65</f>
        <v>0</v>
      </c>
      <c r="G303" s="238">
        <f>data!BR65</f>
        <v>0</v>
      </c>
      <c r="H303" s="238">
        <f>data!BS65</f>
        <v>0</v>
      </c>
      <c r="I303" s="238">
        <f>data!BT65</f>
        <v>0</v>
      </c>
    </row>
    <row r="304" spans="1:9" ht="20.100000000000001" customHeight="1" x14ac:dyDescent="0.2">
      <c r="A304" s="230">
        <v>11</v>
      </c>
      <c r="B304" s="238" t="s">
        <v>519</v>
      </c>
      <c r="C304" s="238">
        <f>data!BN66</f>
        <v>0</v>
      </c>
      <c r="D304" s="238">
        <f>data!BO66</f>
        <v>0</v>
      </c>
      <c r="E304" s="238">
        <f>data!BP66</f>
        <v>-32754.680000000004</v>
      </c>
      <c r="F304" s="238">
        <f>data!BQ66</f>
        <v>0</v>
      </c>
      <c r="G304" s="238">
        <f>data!BR66</f>
        <v>0</v>
      </c>
      <c r="H304" s="238">
        <f>data!BS66</f>
        <v>0</v>
      </c>
      <c r="I304" s="238">
        <f>data!BT66</f>
        <v>0</v>
      </c>
    </row>
    <row r="305" spans="1:9" ht="20.100000000000001" customHeight="1" x14ac:dyDescent="0.2">
      <c r="A305" s="230">
        <v>12</v>
      </c>
      <c r="B305" s="238" t="s">
        <v>15</v>
      </c>
      <c r="C305" s="238">
        <f>data!BN67</f>
        <v>0</v>
      </c>
      <c r="D305" s="238">
        <f>data!BO67</f>
        <v>0</v>
      </c>
      <c r="E305" s="238">
        <f>data!BP67</f>
        <v>0</v>
      </c>
      <c r="F305" s="238">
        <f>data!BQ67</f>
        <v>0</v>
      </c>
      <c r="G305" s="238">
        <f>data!BR67</f>
        <v>0</v>
      </c>
      <c r="H305" s="238">
        <f>data!BS67</f>
        <v>0</v>
      </c>
      <c r="I305" s="238">
        <f>data!BT67</f>
        <v>0</v>
      </c>
    </row>
    <row r="306" spans="1:9" ht="20.100000000000001" customHeight="1" x14ac:dyDescent="0.2">
      <c r="A306" s="230">
        <v>13</v>
      </c>
      <c r="B306" s="238" t="s">
        <v>1004</v>
      </c>
      <c r="C306" s="238">
        <f>data!BN68</f>
        <v>0</v>
      </c>
      <c r="D306" s="238">
        <f>data!BO68</f>
        <v>0</v>
      </c>
      <c r="E306" s="238">
        <f>data!BP68</f>
        <v>15717.73</v>
      </c>
      <c r="F306" s="238">
        <f>data!BQ68</f>
        <v>0</v>
      </c>
      <c r="G306" s="238">
        <f>data!BR68</f>
        <v>0</v>
      </c>
      <c r="H306" s="238">
        <f>data!BS68</f>
        <v>0</v>
      </c>
      <c r="I306" s="238">
        <f>data!BT68</f>
        <v>0</v>
      </c>
    </row>
    <row r="307" spans="1:9" ht="20.100000000000001" customHeight="1" x14ac:dyDescent="0.2">
      <c r="A307" s="230">
        <v>14</v>
      </c>
      <c r="B307" s="238" t="s">
        <v>1005</v>
      </c>
      <c r="C307" s="238">
        <f>data!BN69</f>
        <v>0</v>
      </c>
      <c r="D307" s="238">
        <f>data!BO69</f>
        <v>0</v>
      </c>
      <c r="E307" s="238">
        <f>data!BP69</f>
        <v>141450.03999999998</v>
      </c>
      <c r="F307" s="238">
        <f>data!BQ69</f>
        <v>0</v>
      </c>
      <c r="G307" s="238">
        <f>data!BR69</f>
        <v>0</v>
      </c>
      <c r="H307" s="238">
        <f>data!BS69</f>
        <v>0</v>
      </c>
      <c r="I307" s="238">
        <f>data!BT69</f>
        <v>0</v>
      </c>
    </row>
    <row r="308" spans="1:9" ht="20.100000000000001" customHeight="1" x14ac:dyDescent="0.2">
      <c r="A308" s="230">
        <v>15</v>
      </c>
      <c r="B308" s="238" t="s">
        <v>283</v>
      </c>
      <c r="C308" s="238">
        <f>-data!BN84</f>
        <v>0</v>
      </c>
      <c r="D308" s="238">
        <f>-data!BO84</f>
        <v>0</v>
      </c>
      <c r="E308" s="238">
        <f>-data!BP84</f>
        <v>-158815.15</v>
      </c>
      <c r="F308" s="238">
        <f>-data!BQ84</f>
        <v>0</v>
      </c>
      <c r="G308" s="238">
        <f>-data!BR84</f>
        <v>0</v>
      </c>
      <c r="H308" s="238">
        <f>-data!BS84</f>
        <v>0</v>
      </c>
      <c r="I308" s="238">
        <f>-data!BT84</f>
        <v>0</v>
      </c>
    </row>
    <row r="309" spans="1:9" ht="20.100000000000001" customHeight="1" x14ac:dyDescent="0.2">
      <c r="A309" s="230">
        <v>16</v>
      </c>
      <c r="B309" s="246" t="s">
        <v>1006</v>
      </c>
      <c r="C309" s="238">
        <f>data!BN85</f>
        <v>0</v>
      </c>
      <c r="D309" s="238">
        <f>data!BO85</f>
        <v>0</v>
      </c>
      <c r="E309" s="238">
        <f>data!BP85</f>
        <v>-14403.280000000028</v>
      </c>
      <c r="F309" s="238">
        <f>data!BQ85</f>
        <v>0</v>
      </c>
      <c r="G309" s="238">
        <f>data!BR85</f>
        <v>0</v>
      </c>
      <c r="H309" s="238">
        <f>data!BS85</f>
        <v>0</v>
      </c>
      <c r="I309" s="238">
        <f>data!BT85</f>
        <v>0</v>
      </c>
    </row>
    <row r="310" spans="1:9" ht="20.100000000000001" customHeight="1" x14ac:dyDescent="0.2">
      <c r="A310" s="230">
        <v>17</v>
      </c>
      <c r="B310" s="238" t="s">
        <v>285</v>
      </c>
      <c r="C310" s="248"/>
      <c r="D310" s="248"/>
      <c r="E310" s="248"/>
      <c r="F310" s="248"/>
      <c r="G310" s="248"/>
      <c r="H310" s="248"/>
      <c r="I310" s="248"/>
    </row>
    <row r="311" spans="1:9" ht="20.100000000000001" customHeight="1" x14ac:dyDescent="0.2">
      <c r="A311" s="230">
        <v>18</v>
      </c>
      <c r="B311" s="238" t="s">
        <v>1007</v>
      </c>
      <c r="C311" s="238"/>
      <c r="D311" s="238"/>
      <c r="E311" s="238"/>
      <c r="F311" s="238"/>
      <c r="G311" s="238"/>
      <c r="H311" s="238"/>
      <c r="I311" s="238"/>
    </row>
    <row r="312" spans="1:9" ht="20.100000000000001" customHeight="1" x14ac:dyDescent="0.2">
      <c r="A312" s="230">
        <v>19</v>
      </c>
      <c r="B312" s="246" t="s">
        <v>1008</v>
      </c>
      <c r="C312" s="253" t="str">
        <f>IF(data!BN87&gt;0,data!BN87,"")</f>
        <v>x</v>
      </c>
      <c r="D312" s="253" t="str">
        <f>IF(data!BO87&gt;0,data!BO87,"")</f>
        <v>x</v>
      </c>
      <c r="E312" s="253" t="str">
        <f>IF(data!BP87&gt;0,data!BP87,"")</f>
        <v>x</v>
      </c>
      <c r="F312" s="253" t="str">
        <f>IF(data!BQ87&gt;0,data!BQ87,"")</f>
        <v>x</v>
      </c>
      <c r="G312" s="253" t="str">
        <f>IF(data!BR87&gt;0,data!BR87,"")</f>
        <v>x</v>
      </c>
      <c r="H312" s="253" t="str">
        <f>IF(data!BS87&gt;0,data!BS87,"")</f>
        <v>x</v>
      </c>
      <c r="I312" s="253" t="str">
        <f>IF(data!BT87&gt;0,data!BT87,"")</f>
        <v>x</v>
      </c>
    </row>
    <row r="313" spans="1:9" ht="20.100000000000001" customHeight="1" x14ac:dyDescent="0.2">
      <c r="A313" s="230">
        <v>20</v>
      </c>
      <c r="B313" s="246" t="s">
        <v>1009</v>
      </c>
      <c r="C313" s="253" t="str">
        <f>IF(data!BN88&gt;0,data!BN88,"")</f>
        <v>x</v>
      </c>
      <c r="D313" s="253" t="str">
        <f>IF(data!BO88&gt;0,data!BO88,"")</f>
        <v>x</v>
      </c>
      <c r="E313" s="253" t="str">
        <f>IF(data!BP88&gt;0,data!BP88,"")</f>
        <v>x</v>
      </c>
      <c r="F313" s="253" t="str">
        <f>IF(data!BQ88&gt;0,data!BQ88,"")</f>
        <v>x</v>
      </c>
      <c r="G313" s="253" t="str">
        <f>IF(data!BR88&gt;0,data!BR88,"")</f>
        <v>x</v>
      </c>
      <c r="H313" s="253" t="str">
        <f>IF(data!BS88&gt;0,data!BS88,"")</f>
        <v>x</v>
      </c>
      <c r="I313" s="253" t="str">
        <f>IF(data!BT88&gt;0,data!BT88,"")</f>
        <v>x</v>
      </c>
    </row>
    <row r="314" spans="1:9" ht="20.100000000000001" customHeight="1" x14ac:dyDescent="0.2">
      <c r="A314" s="230">
        <v>21</v>
      </c>
      <c r="B314" s="246" t="s">
        <v>1010</v>
      </c>
      <c r="C314" s="253" t="str">
        <f>IF(data!BN89&gt;0,data!BN89,"")</f>
        <v>x</v>
      </c>
      <c r="D314" s="253" t="str">
        <f>IF(data!BO89&gt;0,data!BO89,"")</f>
        <v>x</v>
      </c>
      <c r="E314" s="253" t="str">
        <f>IF(data!BP89&gt;0,data!BP89,"")</f>
        <v>x</v>
      </c>
      <c r="F314" s="253" t="str">
        <f>IF(data!BQ89&gt;0,data!BQ89,"")</f>
        <v>x</v>
      </c>
      <c r="G314" s="253" t="str">
        <f>IF(data!BR89&gt;0,data!BR89,"")</f>
        <v>x</v>
      </c>
      <c r="H314" s="253" t="str">
        <f>IF(data!BS89&gt;0,data!BS89,"")</f>
        <v>x</v>
      </c>
      <c r="I314" s="253" t="str">
        <f>IF(data!BT89&gt;0,data!BT89,"")</f>
        <v>x</v>
      </c>
    </row>
    <row r="315" spans="1:9" ht="20.100000000000001" customHeight="1" x14ac:dyDescent="0.2">
      <c r="A315" s="230" t="s">
        <v>1011</v>
      </c>
      <c r="B315" s="238"/>
      <c r="C315" s="248"/>
      <c r="D315" s="248"/>
      <c r="E315" s="248"/>
      <c r="F315" s="248"/>
      <c r="G315" s="248"/>
      <c r="H315" s="248"/>
      <c r="I315" s="248"/>
    </row>
    <row r="316" spans="1:9" ht="20.100000000000001" customHeight="1" x14ac:dyDescent="0.2">
      <c r="A316" s="230">
        <v>22</v>
      </c>
      <c r="B316" s="238" t="s">
        <v>1012</v>
      </c>
      <c r="C316" s="254">
        <f>data!BN90</f>
        <v>10024.09</v>
      </c>
      <c r="D316" s="254">
        <f>data!BO90</f>
        <v>0</v>
      </c>
      <c r="E316" s="254">
        <f>data!BP90</f>
        <v>0</v>
      </c>
      <c r="F316" s="254">
        <f>data!BQ90</f>
        <v>0</v>
      </c>
      <c r="G316" s="254">
        <f>data!BR90</f>
        <v>0</v>
      </c>
      <c r="H316" s="254">
        <f>data!BS90</f>
        <v>0</v>
      </c>
      <c r="I316" s="254">
        <f>data!BT90</f>
        <v>0</v>
      </c>
    </row>
    <row r="317" spans="1:9" ht="20.100000000000001" customHeight="1" x14ac:dyDescent="0.2">
      <c r="A317" s="230">
        <v>23</v>
      </c>
      <c r="B317" s="238" t="s">
        <v>1013</v>
      </c>
      <c r="C317" s="253" t="str">
        <f>IF(data!BN91&gt;0,data!BN91,"")</f>
        <v>x</v>
      </c>
      <c r="D317" s="253" t="str">
        <f>IF(data!BO91&gt;0,data!BO91,"")</f>
        <v>x</v>
      </c>
      <c r="E317" s="253" t="str">
        <f>IF(data!BP91&gt;0,data!BP91,"")</f>
        <v>x</v>
      </c>
      <c r="F317" s="253" t="str">
        <f>IF(data!BQ91&gt;0,data!BQ91,"")</f>
        <v>x</v>
      </c>
      <c r="G317" s="254">
        <f>data!BR91</f>
        <v>0</v>
      </c>
      <c r="H317" s="254">
        <f>data!BS91</f>
        <v>0</v>
      </c>
      <c r="I317" s="254">
        <f>data!BT91</f>
        <v>0</v>
      </c>
    </row>
    <row r="318" spans="1:9" ht="20.100000000000001" customHeight="1" x14ac:dyDescent="0.2">
      <c r="A318" s="230">
        <v>24</v>
      </c>
      <c r="B318" s="238" t="s">
        <v>1014</v>
      </c>
      <c r="C318" s="253" t="str">
        <f>IF(data!BN92&gt;0,data!BN92,"")</f>
        <v>x</v>
      </c>
      <c r="D318" s="253" t="str">
        <f>IF(data!BO92&gt;0,data!BO92,"")</f>
        <v>x</v>
      </c>
      <c r="E318" s="253" t="str">
        <f>IF(data!BP92&gt;0,data!BP92,"")</f>
        <v>x</v>
      </c>
      <c r="F318" s="253" t="str">
        <f>IF(data!BQ92&gt;0,data!BQ92,"")</f>
        <v>x</v>
      </c>
      <c r="G318" s="253" t="str">
        <f>IF(data!BR92&gt;0,data!BR92,"")</f>
        <v>x</v>
      </c>
      <c r="H318" s="254">
        <f>data!BS92</f>
        <v>0</v>
      </c>
      <c r="I318" s="254">
        <f>data!BT92</f>
        <v>0</v>
      </c>
    </row>
    <row r="319" spans="1:9" ht="20.100000000000001" customHeight="1" x14ac:dyDescent="0.2">
      <c r="A319" s="230">
        <v>25</v>
      </c>
      <c r="B319" s="238" t="s">
        <v>1015</v>
      </c>
      <c r="C319" s="253" t="str">
        <f>IF(data!BN93&gt;0,data!BN93,"")</f>
        <v>x</v>
      </c>
      <c r="D319" s="253" t="str">
        <f>IF(data!BO93&gt;0,data!BO93,"")</f>
        <v>x</v>
      </c>
      <c r="E319" s="253" t="str">
        <f>IF(data!BP93&gt;0,data!BP93,"")</f>
        <v>x</v>
      </c>
      <c r="F319" s="253" t="str">
        <f>IF(data!BQ93&gt;0,data!BQ93,"")</f>
        <v>x</v>
      </c>
      <c r="G319" s="253" t="str">
        <f>IF(data!BR93&gt;0,data!BR93,"")</f>
        <v>x</v>
      </c>
      <c r="H319" s="254">
        <f>data!BS93</f>
        <v>0</v>
      </c>
      <c r="I319" s="254">
        <f>data!BT93</f>
        <v>0</v>
      </c>
    </row>
    <row r="320" spans="1:9" ht="20.100000000000001" customHeight="1" x14ac:dyDescent="0.2">
      <c r="A320" s="230">
        <v>26</v>
      </c>
      <c r="B320" s="238" t="s">
        <v>293</v>
      </c>
      <c r="C320" s="256" t="str">
        <f>IF(data!BN94&gt;0,data!BN94,"")</f>
        <v>x</v>
      </c>
      <c r="D320" s="256" t="str">
        <f>IF(data!BO94&gt;0,data!BO94,"")</f>
        <v>x</v>
      </c>
      <c r="E320" s="256" t="str">
        <f>IF(data!BP94&gt;0,data!BP94,"")</f>
        <v>x</v>
      </c>
      <c r="F320" s="256" t="str">
        <f>IF(data!BQ94&gt;0,data!BQ94,"")</f>
        <v>x</v>
      </c>
      <c r="G320" s="256" t="str">
        <f>IF(data!BR94&gt;0,data!BR94,"")</f>
        <v>x</v>
      </c>
      <c r="H320" s="256" t="str">
        <f>IF(data!BS94&gt;0,data!BS94,"")</f>
        <v>x</v>
      </c>
      <c r="I320" s="256" t="str">
        <f>IF(data!BT94&gt;0,data!BT94,"")</f>
        <v>x</v>
      </c>
    </row>
    <row r="321" spans="1:9" ht="20.100000000000001" customHeight="1" x14ac:dyDescent="0.2">
      <c r="A321" s="231" t="s">
        <v>997</v>
      </c>
      <c r="B321" s="232"/>
      <c r="C321" s="232"/>
      <c r="D321" s="232"/>
      <c r="E321" s="232"/>
      <c r="F321" s="232"/>
      <c r="G321" s="232"/>
      <c r="H321" s="232"/>
      <c r="I321" s="231"/>
    </row>
    <row r="322" spans="1:9" ht="20.100000000000001" customHeight="1" x14ac:dyDescent="0.2">
      <c r="D322" s="234"/>
      <c r="I322" s="235" t="s">
        <v>1049</v>
      </c>
    </row>
    <row r="323" spans="1:9" ht="20.100000000000001" customHeight="1" x14ac:dyDescent="0.2">
      <c r="A323" s="234"/>
    </row>
    <row r="324" spans="1:9" ht="20.100000000000001" customHeight="1" x14ac:dyDescent="0.2">
      <c r="A324" s="236" t="str">
        <f>"Hospital: "&amp;data!C98</f>
        <v>Hospital: Tacoma General / Allenmore</v>
      </c>
      <c r="G324" s="237"/>
      <c r="H324" s="236" t="str">
        <f>"FYE: "&amp;data!C96</f>
        <v>FYE: 12/31/2024</v>
      </c>
    </row>
    <row r="325" spans="1:9" ht="20.100000000000001" customHeight="1" x14ac:dyDescent="0.2">
      <c r="A325" s="230">
        <v>1</v>
      </c>
      <c r="B325" s="238" t="s">
        <v>235</v>
      </c>
      <c r="C325" s="240" t="s">
        <v>105</v>
      </c>
      <c r="D325" s="240" t="s">
        <v>106</v>
      </c>
      <c r="E325" s="240" t="s">
        <v>107</v>
      </c>
      <c r="F325" s="240" t="s">
        <v>108</v>
      </c>
      <c r="G325" s="240" t="s">
        <v>109</v>
      </c>
      <c r="H325" s="240" t="s">
        <v>110</v>
      </c>
      <c r="I325" s="240" t="s">
        <v>111</v>
      </c>
    </row>
    <row r="326" spans="1:9" ht="20.100000000000001" customHeight="1" x14ac:dyDescent="0.2">
      <c r="A326" s="241">
        <v>2</v>
      </c>
      <c r="B326" s="242" t="s">
        <v>999</v>
      </c>
      <c r="C326" s="244" t="s">
        <v>181</v>
      </c>
      <c r="D326" s="244" t="s">
        <v>181</v>
      </c>
      <c r="E326" s="244" t="s">
        <v>181</v>
      </c>
      <c r="F326" s="244" t="s">
        <v>182</v>
      </c>
      <c r="G326" s="244" t="s">
        <v>183</v>
      </c>
      <c r="H326" s="244" t="s">
        <v>184</v>
      </c>
      <c r="I326" s="244" t="s">
        <v>185</v>
      </c>
    </row>
    <row r="327" spans="1:9" ht="20.100000000000001" customHeight="1" x14ac:dyDescent="0.2">
      <c r="A327" s="241"/>
      <c r="B327" s="242"/>
      <c r="C327" s="244" t="s">
        <v>224</v>
      </c>
      <c r="D327" s="244" t="s">
        <v>225</v>
      </c>
      <c r="E327" s="244" t="s">
        <v>226</v>
      </c>
      <c r="F327" s="244" t="s">
        <v>177</v>
      </c>
      <c r="G327" s="244" t="s">
        <v>1048</v>
      </c>
      <c r="H327" s="244" t="s">
        <v>178</v>
      </c>
      <c r="I327" s="244" t="s">
        <v>227</v>
      </c>
    </row>
    <row r="328" spans="1:9" ht="20.100000000000001" customHeight="1" x14ac:dyDescent="0.2">
      <c r="A328" s="230">
        <v>3</v>
      </c>
      <c r="B328" s="238" t="s">
        <v>1003</v>
      </c>
      <c r="C328" s="250"/>
      <c r="D328" s="250"/>
      <c r="E328" s="250"/>
      <c r="F328" s="250"/>
      <c r="G328" s="250"/>
      <c r="H328" s="250"/>
      <c r="I328" s="250"/>
    </row>
    <row r="329" spans="1:9" ht="20.100000000000001" customHeight="1" x14ac:dyDescent="0.2">
      <c r="A329" s="230">
        <v>4</v>
      </c>
      <c r="B329" s="238" t="s">
        <v>260</v>
      </c>
      <c r="C329" s="250"/>
      <c r="D329" s="250"/>
      <c r="E329" s="250"/>
      <c r="F329" s="250"/>
      <c r="G329" s="250"/>
      <c r="H329" s="250"/>
      <c r="I329" s="250"/>
    </row>
    <row r="330" spans="1:9" ht="20.100000000000001" customHeight="1" x14ac:dyDescent="0.2">
      <c r="A330" s="230">
        <v>5</v>
      </c>
      <c r="B330" s="238" t="s">
        <v>261</v>
      </c>
      <c r="C330" s="245">
        <f>data!BU60</f>
        <v>0</v>
      </c>
      <c r="D330" s="245">
        <f>data!BV60</f>
        <v>0</v>
      </c>
      <c r="E330" s="245">
        <f>data!BW60</f>
        <v>0</v>
      </c>
      <c r="F330" s="245">
        <f>data!BX60</f>
        <v>0</v>
      </c>
      <c r="G330" s="245">
        <f>data!BY60</f>
        <v>0</v>
      </c>
      <c r="H330" s="245">
        <f>data!BZ60</f>
        <v>66</v>
      </c>
      <c r="I330" s="245">
        <f>data!CA60</f>
        <v>0</v>
      </c>
    </row>
    <row r="331" spans="1:9" ht="20.100000000000001" customHeight="1" x14ac:dyDescent="0.2">
      <c r="A331" s="230">
        <v>6</v>
      </c>
      <c r="B331" s="238" t="s">
        <v>262</v>
      </c>
      <c r="C331" s="257">
        <f>data!BU61</f>
        <v>0</v>
      </c>
      <c r="D331" s="257">
        <f>data!BV61</f>
        <v>0</v>
      </c>
      <c r="E331" s="257">
        <f>data!BW61</f>
        <v>0</v>
      </c>
      <c r="F331" s="257">
        <f>data!BX61</f>
        <v>0</v>
      </c>
      <c r="G331" s="257">
        <f>data!BY61</f>
        <v>0</v>
      </c>
      <c r="H331" s="257">
        <f>data!BZ61</f>
        <v>2267426.42</v>
      </c>
      <c r="I331" s="257">
        <f>data!CA61</f>
        <v>0</v>
      </c>
    </row>
    <row r="332" spans="1:9" ht="20.100000000000001" customHeight="1" x14ac:dyDescent="0.2">
      <c r="A332" s="230">
        <v>7</v>
      </c>
      <c r="B332" s="238" t="s">
        <v>10</v>
      </c>
      <c r="C332" s="257">
        <f>data!BU62</f>
        <v>0</v>
      </c>
      <c r="D332" s="257">
        <f>data!BV62</f>
        <v>0</v>
      </c>
      <c r="E332" s="257">
        <f>data!BW62</f>
        <v>0</v>
      </c>
      <c r="F332" s="257">
        <f>data!BX62</f>
        <v>0</v>
      </c>
      <c r="G332" s="257">
        <f>data!BY62</f>
        <v>0</v>
      </c>
      <c r="H332" s="257">
        <f>data!BZ62</f>
        <v>364572</v>
      </c>
      <c r="I332" s="257">
        <f>data!CA62</f>
        <v>0</v>
      </c>
    </row>
    <row r="333" spans="1:9" ht="20.100000000000001" customHeight="1" x14ac:dyDescent="0.2">
      <c r="A333" s="230">
        <v>8</v>
      </c>
      <c r="B333" s="238" t="s">
        <v>263</v>
      </c>
      <c r="C333" s="257">
        <f>data!BU63</f>
        <v>0</v>
      </c>
      <c r="D333" s="257">
        <f>data!BV63</f>
        <v>0</v>
      </c>
      <c r="E333" s="257">
        <f>data!BW63</f>
        <v>0</v>
      </c>
      <c r="F333" s="257">
        <f>data!BX63</f>
        <v>0</v>
      </c>
      <c r="G333" s="257">
        <f>data!BY63</f>
        <v>0</v>
      </c>
      <c r="H333" s="257">
        <f>data!BZ63</f>
        <v>0</v>
      </c>
      <c r="I333" s="257">
        <f>data!CA63</f>
        <v>0</v>
      </c>
    </row>
    <row r="334" spans="1:9" ht="20.100000000000001" customHeight="1" x14ac:dyDescent="0.2">
      <c r="A334" s="230">
        <v>9</v>
      </c>
      <c r="B334" s="238" t="s">
        <v>264</v>
      </c>
      <c r="C334" s="257">
        <f>data!BU64</f>
        <v>0</v>
      </c>
      <c r="D334" s="257">
        <f>data!BV64</f>
        <v>0</v>
      </c>
      <c r="E334" s="257">
        <f>data!BW64</f>
        <v>0</v>
      </c>
      <c r="F334" s="257">
        <f>data!BX64</f>
        <v>0</v>
      </c>
      <c r="G334" s="257">
        <f>data!BY64</f>
        <v>0</v>
      </c>
      <c r="H334" s="257">
        <f>data!BZ64</f>
        <v>369.67</v>
      </c>
      <c r="I334" s="257">
        <f>data!CA64</f>
        <v>0</v>
      </c>
    </row>
    <row r="335" spans="1:9" ht="20.100000000000001" customHeight="1" x14ac:dyDescent="0.2">
      <c r="A335" s="230">
        <v>10</v>
      </c>
      <c r="B335" s="238" t="s">
        <v>518</v>
      </c>
      <c r="C335" s="257">
        <f>data!BU65</f>
        <v>0</v>
      </c>
      <c r="D335" s="257">
        <f>data!BV65</f>
        <v>0</v>
      </c>
      <c r="E335" s="257">
        <f>data!BW65</f>
        <v>0</v>
      </c>
      <c r="F335" s="257">
        <f>data!BX65</f>
        <v>0</v>
      </c>
      <c r="G335" s="257">
        <f>data!BY65</f>
        <v>0</v>
      </c>
      <c r="H335" s="257">
        <f>data!BZ65</f>
        <v>0</v>
      </c>
      <c r="I335" s="257">
        <f>data!CA65</f>
        <v>0</v>
      </c>
    </row>
    <row r="336" spans="1:9" ht="20.100000000000001" customHeight="1" x14ac:dyDescent="0.2">
      <c r="A336" s="230">
        <v>11</v>
      </c>
      <c r="B336" s="238" t="s">
        <v>519</v>
      </c>
      <c r="C336" s="257">
        <f>data!BU66</f>
        <v>0</v>
      </c>
      <c r="D336" s="257">
        <f>data!BV66</f>
        <v>0</v>
      </c>
      <c r="E336" s="257">
        <f>data!BW66</f>
        <v>0</v>
      </c>
      <c r="F336" s="257">
        <f>data!BX66</f>
        <v>0</v>
      </c>
      <c r="G336" s="257">
        <f>data!BY66</f>
        <v>0</v>
      </c>
      <c r="H336" s="257">
        <f>data!BZ66</f>
        <v>-1721076.22</v>
      </c>
      <c r="I336" s="257">
        <f>data!CA66</f>
        <v>0</v>
      </c>
    </row>
    <row r="337" spans="1:9" ht="20.100000000000001" customHeight="1" x14ac:dyDescent="0.2">
      <c r="A337" s="230">
        <v>12</v>
      </c>
      <c r="B337" s="238" t="s">
        <v>15</v>
      </c>
      <c r="C337" s="257">
        <f>data!BU67</f>
        <v>0</v>
      </c>
      <c r="D337" s="257">
        <f>data!BV67</f>
        <v>0</v>
      </c>
      <c r="E337" s="257">
        <f>data!BW67</f>
        <v>0</v>
      </c>
      <c r="F337" s="257">
        <f>data!BX67</f>
        <v>0</v>
      </c>
      <c r="G337" s="257">
        <f>data!BY67</f>
        <v>0</v>
      </c>
      <c r="H337" s="257">
        <f>data!BZ67</f>
        <v>0</v>
      </c>
      <c r="I337" s="257">
        <f>data!CA67</f>
        <v>0</v>
      </c>
    </row>
    <row r="338" spans="1:9" ht="20.100000000000001" customHeight="1" x14ac:dyDescent="0.2">
      <c r="A338" s="230">
        <v>13</v>
      </c>
      <c r="B338" s="238" t="s">
        <v>1004</v>
      </c>
      <c r="C338" s="257">
        <f>data!BU68</f>
        <v>0</v>
      </c>
      <c r="D338" s="257">
        <f>data!BV68</f>
        <v>0</v>
      </c>
      <c r="E338" s="257">
        <f>data!BW68</f>
        <v>0</v>
      </c>
      <c r="F338" s="257">
        <f>data!BX68</f>
        <v>0</v>
      </c>
      <c r="G338" s="257">
        <f>data!BY68</f>
        <v>0</v>
      </c>
      <c r="H338" s="257">
        <f>data!BZ68</f>
        <v>0</v>
      </c>
      <c r="I338" s="257">
        <f>data!CA68</f>
        <v>0</v>
      </c>
    </row>
    <row r="339" spans="1:9" ht="20.100000000000001" customHeight="1" x14ac:dyDescent="0.2">
      <c r="A339" s="230">
        <v>14</v>
      </c>
      <c r="B339" s="238" t="s">
        <v>1005</v>
      </c>
      <c r="C339" s="257">
        <f>data!BU69</f>
        <v>0</v>
      </c>
      <c r="D339" s="257">
        <f>data!BV69</f>
        <v>0</v>
      </c>
      <c r="E339" s="257">
        <f>data!BW69</f>
        <v>0</v>
      </c>
      <c r="F339" s="257">
        <f>data!BX69</f>
        <v>0</v>
      </c>
      <c r="G339" s="257">
        <f>data!BY69</f>
        <v>0</v>
      </c>
      <c r="H339" s="257">
        <f>data!BZ69</f>
        <v>214657.33000000002</v>
      </c>
      <c r="I339" s="257">
        <f>data!CA69</f>
        <v>0</v>
      </c>
    </row>
    <row r="340" spans="1:9" ht="20.100000000000001" customHeight="1" x14ac:dyDescent="0.2">
      <c r="A340" s="230">
        <v>15</v>
      </c>
      <c r="B340" s="238" t="s">
        <v>283</v>
      </c>
      <c r="C340" s="238">
        <f>-data!BU84</f>
        <v>0</v>
      </c>
      <c r="D340" s="238">
        <f>-data!BV84</f>
        <v>0</v>
      </c>
      <c r="E340" s="238">
        <f>-data!BW84</f>
        <v>0</v>
      </c>
      <c r="F340" s="238">
        <f>-data!BX84</f>
        <v>0</v>
      </c>
      <c r="G340" s="238">
        <f>-data!BY84</f>
        <v>0</v>
      </c>
      <c r="H340" s="238">
        <f>-data!BZ84</f>
        <v>0</v>
      </c>
      <c r="I340" s="238">
        <f>-data!CA84</f>
        <v>0</v>
      </c>
    </row>
    <row r="341" spans="1:9" ht="20.100000000000001" customHeight="1" x14ac:dyDescent="0.2">
      <c r="A341" s="230">
        <v>16</v>
      </c>
      <c r="B341" s="246" t="s">
        <v>1006</v>
      </c>
      <c r="C341" s="238">
        <f>data!BU85</f>
        <v>0</v>
      </c>
      <c r="D341" s="238">
        <f>data!BV85</f>
        <v>0</v>
      </c>
      <c r="E341" s="238">
        <f>data!BW85</f>
        <v>0</v>
      </c>
      <c r="F341" s="238">
        <f>data!BX85</f>
        <v>0</v>
      </c>
      <c r="G341" s="238">
        <f>data!BY85</f>
        <v>0</v>
      </c>
      <c r="H341" s="238">
        <f>data!BZ85</f>
        <v>1125949.2</v>
      </c>
      <c r="I341" s="238">
        <f>data!CA85</f>
        <v>0</v>
      </c>
    </row>
    <row r="342" spans="1:9" ht="20.100000000000001" customHeight="1" x14ac:dyDescent="0.2">
      <c r="A342" s="230">
        <v>17</v>
      </c>
      <c r="B342" s="238" t="s">
        <v>285</v>
      </c>
      <c r="C342" s="248"/>
      <c r="D342" s="248"/>
      <c r="E342" s="248"/>
      <c r="F342" s="248"/>
      <c r="G342" s="248"/>
      <c r="H342" s="248"/>
      <c r="I342" s="248"/>
    </row>
    <row r="343" spans="1:9" ht="20.100000000000001" customHeight="1" x14ac:dyDescent="0.2">
      <c r="A343" s="230">
        <v>18</v>
      </c>
      <c r="B343" s="238" t="s">
        <v>1007</v>
      </c>
      <c r="C343" s="238"/>
      <c r="D343" s="238"/>
      <c r="E343" s="238"/>
      <c r="F343" s="238"/>
      <c r="G343" s="238"/>
      <c r="H343" s="238"/>
      <c r="I343" s="238"/>
    </row>
    <row r="344" spans="1:9" ht="20.100000000000001" customHeight="1" x14ac:dyDescent="0.2">
      <c r="A344" s="230">
        <v>19</v>
      </c>
      <c r="B344" s="246" t="s">
        <v>1008</v>
      </c>
      <c r="C344" s="253" t="str">
        <f>IF(data!BU87&gt;0,data!BU87,"")</f>
        <v>x</v>
      </c>
      <c r="D344" s="253" t="str">
        <f>IF(data!BV87&gt;0,data!BV87,"")</f>
        <v>x</v>
      </c>
      <c r="E344" s="253" t="str">
        <f>IF(data!BW87&gt;0,data!BW87,"")</f>
        <v>x</v>
      </c>
      <c r="F344" s="253" t="str">
        <f>IF(data!BX87&gt;0,data!BX87,"")</f>
        <v>x</v>
      </c>
      <c r="G344" s="253" t="str">
        <f>IF(data!BY87&gt;0,data!BY87,"")</f>
        <v>x</v>
      </c>
      <c r="H344" s="253" t="str">
        <f>IF(data!BZ87&gt;0,data!BZ87,"")</f>
        <v>x</v>
      </c>
      <c r="I344" s="253" t="str">
        <f>IF(data!CA87&gt;0,data!CA87,"")</f>
        <v>x</v>
      </c>
    </row>
    <row r="345" spans="1:9" ht="20.100000000000001" customHeight="1" x14ac:dyDescent="0.2">
      <c r="A345" s="230">
        <v>20</v>
      </c>
      <c r="B345" s="246" t="s">
        <v>1009</v>
      </c>
      <c r="C345" s="253" t="str">
        <f>IF(data!BU88&gt;0,data!BU88,"")</f>
        <v>x</v>
      </c>
      <c r="D345" s="253" t="str">
        <f>IF(data!BV88&gt;0,data!BV88,"")</f>
        <v>x</v>
      </c>
      <c r="E345" s="253" t="str">
        <f>IF(data!BW88&gt;0,data!BW88,"")</f>
        <v>x</v>
      </c>
      <c r="F345" s="253" t="str">
        <f>IF(data!BX88&gt;0,data!BX88,"")</f>
        <v>x</v>
      </c>
      <c r="G345" s="253" t="str">
        <f>IF(data!BY88&gt;0,data!BY88,"")</f>
        <v>x</v>
      </c>
      <c r="H345" s="253" t="str">
        <f>IF(data!BZ88&gt;0,data!BZ88,"")</f>
        <v>x</v>
      </c>
      <c r="I345" s="253" t="str">
        <f>IF(data!CA88&gt;0,data!CA88,"")</f>
        <v>x</v>
      </c>
    </row>
    <row r="346" spans="1:9" ht="20.100000000000001" customHeight="1" x14ac:dyDescent="0.2">
      <c r="A346" s="230">
        <v>21</v>
      </c>
      <c r="B346" s="246" t="s">
        <v>1010</v>
      </c>
      <c r="C346" s="253" t="str">
        <f>IF(data!BU89&gt;0,data!BU89,"")</f>
        <v>x</v>
      </c>
      <c r="D346" s="253" t="str">
        <f>IF(data!BV89&gt;0,data!BV89,"")</f>
        <v>x</v>
      </c>
      <c r="E346" s="253" t="str">
        <f>IF(data!BW89&gt;0,data!BW89,"")</f>
        <v>x</v>
      </c>
      <c r="F346" s="253" t="str">
        <f>IF(data!BX89&gt;0,data!BX89,"")</f>
        <v>x</v>
      </c>
      <c r="G346" s="253" t="str">
        <f>IF(data!BY89&gt;0,data!BY89,"")</f>
        <v>x</v>
      </c>
      <c r="H346" s="253" t="str">
        <f>IF(data!BZ89&gt;0,data!BZ89,"")</f>
        <v>x</v>
      </c>
      <c r="I346" s="253" t="str">
        <f>IF(data!CA89&gt;0,data!CA89,"")</f>
        <v>x</v>
      </c>
    </row>
    <row r="347" spans="1:9" ht="20.100000000000001" customHeight="1" x14ac:dyDescent="0.2">
      <c r="A347" s="230" t="s">
        <v>1011</v>
      </c>
      <c r="B347" s="238"/>
      <c r="C347" s="248"/>
      <c r="D347" s="248"/>
      <c r="E347" s="248"/>
      <c r="F347" s="248"/>
      <c r="G347" s="248"/>
      <c r="H347" s="248"/>
      <c r="I347" s="248"/>
    </row>
    <row r="348" spans="1:9" ht="20.100000000000001" customHeight="1" x14ac:dyDescent="0.2">
      <c r="A348" s="230">
        <v>22</v>
      </c>
      <c r="B348" s="238" t="s">
        <v>1012</v>
      </c>
      <c r="C348" s="254">
        <f>data!BU90</f>
        <v>0</v>
      </c>
      <c r="D348" s="254">
        <f>data!BV90</f>
        <v>0</v>
      </c>
      <c r="E348" s="254">
        <f>data!BW90</f>
        <v>0</v>
      </c>
      <c r="F348" s="254">
        <f>data!BX90</f>
        <v>2529.88</v>
      </c>
      <c r="G348" s="254">
        <f>data!BY90</f>
        <v>497.74</v>
      </c>
      <c r="H348" s="254">
        <f>data!BZ90</f>
        <v>380.67</v>
      </c>
      <c r="I348" s="254">
        <f>data!CA90</f>
        <v>0</v>
      </c>
    </row>
    <row r="349" spans="1:9" ht="20.100000000000001" customHeight="1" x14ac:dyDescent="0.2">
      <c r="A349" s="230">
        <v>23</v>
      </c>
      <c r="B349" s="238" t="s">
        <v>1013</v>
      </c>
      <c r="C349" s="254">
        <f>data!BU91</f>
        <v>0</v>
      </c>
      <c r="D349" s="254">
        <f>data!BV91</f>
        <v>0</v>
      </c>
      <c r="E349" s="254">
        <f>data!BW91</f>
        <v>0</v>
      </c>
      <c r="F349" s="254">
        <f>data!BX91</f>
        <v>0</v>
      </c>
      <c r="G349" s="254">
        <f>data!BY91</f>
        <v>0</v>
      </c>
      <c r="H349" s="254">
        <f>data!BZ91</f>
        <v>0</v>
      </c>
      <c r="I349" s="254">
        <f>data!CA91</f>
        <v>0</v>
      </c>
    </row>
    <row r="350" spans="1:9" ht="20.100000000000001" customHeight="1" x14ac:dyDescent="0.2">
      <c r="A350" s="230">
        <v>24</v>
      </c>
      <c r="B350" s="238" t="s">
        <v>1014</v>
      </c>
      <c r="C350" s="254">
        <f>data!BU92</f>
        <v>0</v>
      </c>
      <c r="D350" s="254">
        <f>data!BV92</f>
        <v>0</v>
      </c>
      <c r="E350" s="254">
        <f>data!BW92</f>
        <v>0</v>
      </c>
      <c r="F350" s="254">
        <f>data!BX92</f>
        <v>0</v>
      </c>
      <c r="G350" s="254">
        <f>data!BY92</f>
        <v>0</v>
      </c>
      <c r="H350" s="254">
        <f>data!BZ92</f>
        <v>0</v>
      </c>
      <c r="I350" s="254">
        <f>data!CA92</f>
        <v>0</v>
      </c>
    </row>
    <row r="351" spans="1:9" ht="20.100000000000001" customHeight="1" x14ac:dyDescent="0.2">
      <c r="A351" s="230">
        <v>25</v>
      </c>
      <c r="B351" s="238" t="s">
        <v>1015</v>
      </c>
      <c r="C351" s="254">
        <f>data!BU93</f>
        <v>0</v>
      </c>
      <c r="D351" s="254">
        <f>data!BV93</f>
        <v>0</v>
      </c>
      <c r="E351" s="254">
        <f>data!BW93</f>
        <v>0</v>
      </c>
      <c r="F351" s="254">
        <f>data!BX93</f>
        <v>0</v>
      </c>
      <c r="G351" s="254">
        <f>data!BY93</f>
        <v>0</v>
      </c>
      <c r="H351" s="254">
        <f>data!BZ93</f>
        <v>0</v>
      </c>
      <c r="I351" s="254">
        <f>data!CA93</f>
        <v>0</v>
      </c>
    </row>
    <row r="352" spans="1:9" ht="20.100000000000001" customHeight="1" x14ac:dyDescent="0.2">
      <c r="A352" s="230">
        <v>26</v>
      </c>
      <c r="B352" s="238" t="s">
        <v>293</v>
      </c>
      <c r="C352" s="256" t="str">
        <f>IF(data!BU94&gt;0,data!BU94,"")</f>
        <v/>
      </c>
      <c r="D352" s="256" t="str">
        <f>IF(data!BV94&gt;0,data!BV94,"")</f>
        <v/>
      </c>
      <c r="E352" s="256" t="str">
        <f>IF(data!BW94&gt;0,data!BW94,"")</f>
        <v/>
      </c>
      <c r="F352" s="256" t="str">
        <f>IF(data!BX94&gt;0,data!BX94,"")</f>
        <v/>
      </c>
      <c r="G352" s="256" t="str">
        <f>IF(data!BY94&gt;0,data!BY94,"")</f>
        <v/>
      </c>
      <c r="H352" s="256" t="str">
        <f>IF(data!BZ94&gt;0,data!BZ94,"")</f>
        <v/>
      </c>
      <c r="I352" s="256" t="str">
        <f>IF(data!CA94&gt;0,data!CA94,"")</f>
        <v/>
      </c>
    </row>
    <row r="353" spans="1:9" ht="20.100000000000001" customHeight="1" x14ac:dyDescent="0.2">
      <c r="A353" s="231" t="s">
        <v>997</v>
      </c>
      <c r="B353" s="232"/>
      <c r="C353" s="232"/>
      <c r="D353" s="232"/>
      <c r="E353" s="232"/>
      <c r="F353" s="232"/>
      <c r="G353" s="232"/>
      <c r="H353" s="232"/>
      <c r="I353" s="231"/>
    </row>
    <row r="354" spans="1:9" ht="20.100000000000001" customHeight="1" x14ac:dyDescent="0.2">
      <c r="D354" s="234"/>
      <c r="I354" s="235" t="s">
        <v>1050</v>
      </c>
    </row>
    <row r="355" spans="1:9" ht="20.100000000000001" customHeight="1" x14ac:dyDescent="0.2">
      <c r="A355" s="234"/>
    </row>
    <row r="356" spans="1:9" ht="20.100000000000001" customHeight="1" x14ac:dyDescent="0.2">
      <c r="A356" s="236" t="str">
        <f>"Hospital: "&amp;data!C98</f>
        <v>Hospital: Tacoma General / Allenmore</v>
      </c>
      <c r="G356" s="237"/>
      <c r="H356" s="236" t="str">
        <f>"FYE: "&amp;data!C96</f>
        <v>FYE: 12/31/2024</v>
      </c>
    </row>
    <row r="357" spans="1:9" ht="20.100000000000001" customHeight="1" x14ac:dyDescent="0.2">
      <c r="A357" s="230">
        <v>1</v>
      </c>
      <c r="B357" s="238" t="s">
        <v>235</v>
      </c>
      <c r="C357" s="240">
        <v>8910</v>
      </c>
      <c r="D357" s="240">
        <v>8930</v>
      </c>
      <c r="E357" s="240" t="s">
        <v>114</v>
      </c>
      <c r="F357" s="258"/>
      <c r="G357" s="258"/>
      <c r="H357" s="258"/>
      <c r="I357" s="240"/>
    </row>
    <row r="358" spans="1:9" ht="20.100000000000001" customHeight="1" x14ac:dyDescent="0.2">
      <c r="A358" s="241">
        <v>2</v>
      </c>
      <c r="B358" s="242" t="s">
        <v>999</v>
      </c>
      <c r="C358" s="244" t="s">
        <v>186</v>
      </c>
      <c r="D358" s="244" t="s">
        <v>158</v>
      </c>
      <c r="E358" s="244" t="s">
        <v>237</v>
      </c>
      <c r="F358" s="259"/>
      <c r="G358" s="259"/>
      <c r="H358" s="259"/>
      <c r="I358" s="244" t="s">
        <v>187</v>
      </c>
    </row>
    <row r="359" spans="1:9" ht="20.100000000000001" customHeight="1" x14ac:dyDescent="0.2">
      <c r="A359" s="241"/>
      <c r="B359" s="242"/>
      <c r="C359" s="244" t="s">
        <v>227</v>
      </c>
      <c r="D359" s="244" t="s">
        <v>1051</v>
      </c>
      <c r="E359" s="244" t="s">
        <v>239</v>
      </c>
      <c r="F359" s="259"/>
      <c r="G359" s="259"/>
      <c r="H359" s="259"/>
      <c r="I359" s="244" t="s">
        <v>229</v>
      </c>
    </row>
    <row r="360" spans="1:9" ht="20.100000000000001" customHeight="1" x14ac:dyDescent="0.2">
      <c r="A360" s="230">
        <v>3</v>
      </c>
      <c r="B360" s="238" t="s">
        <v>1003</v>
      </c>
      <c r="C360" s="250"/>
      <c r="D360" s="250"/>
      <c r="E360" s="250"/>
      <c r="F360" s="250"/>
      <c r="G360" s="250"/>
      <c r="H360" s="250"/>
      <c r="I360" s="250"/>
    </row>
    <row r="361" spans="1:9" ht="20.100000000000001" customHeight="1" x14ac:dyDescent="0.2">
      <c r="A361" s="230">
        <v>4</v>
      </c>
      <c r="B361" s="238" t="s">
        <v>260</v>
      </c>
      <c r="C361" s="250"/>
      <c r="D361" s="250"/>
      <c r="E361" s="250"/>
      <c r="F361" s="250"/>
      <c r="G361" s="250"/>
      <c r="H361" s="250"/>
      <c r="I361" s="250"/>
    </row>
    <row r="362" spans="1:9" ht="20.100000000000001" customHeight="1" x14ac:dyDescent="0.2">
      <c r="A362" s="230">
        <v>5</v>
      </c>
      <c r="B362" s="238" t="s">
        <v>261</v>
      </c>
      <c r="C362" s="245">
        <f>data!CB60</f>
        <v>0</v>
      </c>
      <c r="D362" s="245">
        <f>data!CC60</f>
        <v>130</v>
      </c>
      <c r="E362" s="260"/>
      <c r="F362" s="248"/>
      <c r="G362" s="248"/>
      <c r="H362" s="248"/>
      <c r="I362" s="261">
        <f>data!CE60</f>
        <v>3829</v>
      </c>
    </row>
    <row r="363" spans="1:9" ht="20.100000000000001" customHeight="1" x14ac:dyDescent="0.2">
      <c r="A363" s="230">
        <v>6</v>
      </c>
      <c r="B363" s="238" t="s">
        <v>262</v>
      </c>
      <c r="C363" s="257">
        <f>data!CB61</f>
        <v>0</v>
      </c>
      <c r="D363" s="257">
        <f>data!CC61</f>
        <v>12889056.680000003</v>
      </c>
      <c r="E363" s="262"/>
      <c r="F363" s="262"/>
      <c r="G363" s="262"/>
      <c r="H363" s="262"/>
      <c r="I363" s="257">
        <f>data!CE61</f>
        <v>388880579.90000004</v>
      </c>
    </row>
    <row r="364" spans="1:9" ht="20.100000000000001" customHeight="1" x14ac:dyDescent="0.2">
      <c r="A364" s="230">
        <v>7</v>
      </c>
      <c r="B364" s="238" t="s">
        <v>10</v>
      </c>
      <c r="C364" s="257">
        <f>data!CB62</f>
        <v>0</v>
      </c>
      <c r="D364" s="257">
        <f>data!CC62</f>
        <v>2866008</v>
      </c>
      <c r="E364" s="262"/>
      <c r="F364" s="262"/>
      <c r="G364" s="262"/>
      <c r="H364" s="262"/>
      <c r="I364" s="257">
        <f>data!CE62</f>
        <v>86477483</v>
      </c>
    </row>
    <row r="365" spans="1:9" ht="20.100000000000001" customHeight="1" x14ac:dyDescent="0.2">
      <c r="A365" s="230">
        <v>8</v>
      </c>
      <c r="B365" s="238" t="s">
        <v>263</v>
      </c>
      <c r="C365" s="257">
        <f>data!CB63</f>
        <v>0</v>
      </c>
      <c r="D365" s="257">
        <f>data!CC63</f>
        <v>12391495.120000001</v>
      </c>
      <c r="E365" s="262"/>
      <c r="F365" s="262"/>
      <c r="G365" s="262"/>
      <c r="H365" s="262"/>
      <c r="I365" s="257">
        <f>data!CE63</f>
        <v>54367529.229999989</v>
      </c>
    </row>
    <row r="366" spans="1:9" ht="20.100000000000001" customHeight="1" x14ac:dyDescent="0.2">
      <c r="A366" s="230">
        <v>9</v>
      </c>
      <c r="B366" s="238" t="s">
        <v>264</v>
      </c>
      <c r="C366" s="257">
        <f>data!CB64</f>
        <v>0</v>
      </c>
      <c r="D366" s="257">
        <f>data!CC64</f>
        <v>-1256534.21</v>
      </c>
      <c r="E366" s="262"/>
      <c r="F366" s="262"/>
      <c r="G366" s="262"/>
      <c r="H366" s="262"/>
      <c r="I366" s="257">
        <f>data!CE64</f>
        <v>348030151.14999992</v>
      </c>
    </row>
    <row r="367" spans="1:9" ht="20.100000000000001" customHeight="1" x14ac:dyDescent="0.2">
      <c r="A367" s="230">
        <v>10</v>
      </c>
      <c r="B367" s="238" t="s">
        <v>518</v>
      </c>
      <c r="C367" s="257">
        <f>data!CB65</f>
        <v>0</v>
      </c>
      <c r="D367" s="257">
        <f>data!CC65</f>
        <v>0</v>
      </c>
      <c r="E367" s="262"/>
      <c r="F367" s="262"/>
      <c r="G367" s="262"/>
      <c r="H367" s="262"/>
      <c r="I367" s="257">
        <f>data!CE65</f>
        <v>0</v>
      </c>
    </row>
    <row r="368" spans="1:9" ht="20.100000000000001" customHeight="1" x14ac:dyDescent="0.2">
      <c r="A368" s="230">
        <v>11</v>
      </c>
      <c r="B368" s="238" t="s">
        <v>519</v>
      </c>
      <c r="C368" s="257">
        <f>data!CB66</f>
        <v>0</v>
      </c>
      <c r="D368" s="257">
        <f>data!CC66</f>
        <v>-23587651.140000001</v>
      </c>
      <c r="E368" s="262"/>
      <c r="F368" s="262"/>
      <c r="G368" s="262"/>
      <c r="H368" s="262"/>
      <c r="I368" s="257">
        <f>data!CE66</f>
        <v>319683489.1699999</v>
      </c>
    </row>
    <row r="369" spans="1:9" ht="20.100000000000001" customHeight="1" x14ac:dyDescent="0.2">
      <c r="A369" s="230">
        <v>12</v>
      </c>
      <c r="B369" s="238" t="s">
        <v>15</v>
      </c>
      <c r="C369" s="257">
        <f>data!CB67</f>
        <v>0</v>
      </c>
      <c r="D369" s="257">
        <f>data!CC67</f>
        <v>1014520</v>
      </c>
      <c r="E369" s="262"/>
      <c r="F369" s="262"/>
      <c r="G369" s="262"/>
      <c r="H369" s="262"/>
      <c r="I369" s="257">
        <f>data!CE67</f>
        <v>20429357</v>
      </c>
    </row>
    <row r="370" spans="1:9" ht="20.100000000000001" customHeight="1" x14ac:dyDescent="0.2">
      <c r="A370" s="230">
        <v>13</v>
      </c>
      <c r="B370" s="238" t="s">
        <v>1004</v>
      </c>
      <c r="C370" s="257">
        <f>data!CB68</f>
        <v>0</v>
      </c>
      <c r="D370" s="257">
        <f>data!CC68</f>
        <v>2310394.96</v>
      </c>
      <c r="E370" s="262"/>
      <c r="F370" s="262"/>
      <c r="G370" s="262"/>
      <c r="H370" s="262"/>
      <c r="I370" s="257">
        <f>data!CE68</f>
        <v>9920201.3200000003</v>
      </c>
    </row>
    <row r="371" spans="1:9" ht="20.100000000000001" customHeight="1" x14ac:dyDescent="0.2">
      <c r="A371" s="230">
        <v>14</v>
      </c>
      <c r="B371" s="238" t="s">
        <v>1005</v>
      </c>
      <c r="C371" s="257">
        <f>data!CB69</f>
        <v>0</v>
      </c>
      <c r="D371" s="257">
        <f>data!CC69</f>
        <v>176643308.33000001</v>
      </c>
      <c r="E371" s="257">
        <f>data!CD69</f>
        <v>0</v>
      </c>
      <c r="F371" s="262"/>
      <c r="G371" s="262"/>
      <c r="H371" s="262"/>
      <c r="I371" s="257">
        <f>data!CE69</f>
        <v>247205855.65999997</v>
      </c>
    </row>
    <row r="372" spans="1:9" ht="20.100000000000001" customHeight="1" x14ac:dyDescent="0.2">
      <c r="A372" s="230">
        <v>15</v>
      </c>
      <c r="B372" s="238" t="s">
        <v>283</v>
      </c>
      <c r="C372" s="238">
        <f>-data!CB84</f>
        <v>0</v>
      </c>
      <c r="D372" s="238">
        <f>-data!CC84</f>
        <v>-2096354.29</v>
      </c>
      <c r="E372" s="238">
        <f>-data!CD84</f>
        <v>0</v>
      </c>
      <c r="F372" s="248"/>
      <c r="G372" s="248"/>
      <c r="H372" s="248"/>
      <c r="I372" s="238">
        <f>-data!CE84</f>
        <v>-102034884.20000002</v>
      </c>
    </row>
    <row r="373" spans="1:9" ht="20.100000000000001" customHeight="1" x14ac:dyDescent="0.2">
      <c r="A373" s="230">
        <v>16</v>
      </c>
      <c r="B373" s="246" t="s">
        <v>1006</v>
      </c>
      <c r="C373" s="257">
        <f>data!CB85</f>
        <v>0</v>
      </c>
      <c r="D373" s="257">
        <f>data!CC85</f>
        <v>181174243.45000002</v>
      </c>
      <c r="E373" s="257">
        <f>data!CD85</f>
        <v>0</v>
      </c>
      <c r="F373" s="262"/>
      <c r="G373" s="262"/>
      <c r="H373" s="262"/>
      <c r="I373" s="238">
        <f>data!CE85</f>
        <v>1372959762.230001</v>
      </c>
    </row>
    <row r="374" spans="1:9" ht="20.100000000000001" customHeight="1" x14ac:dyDescent="0.2">
      <c r="A374" s="230">
        <v>17</v>
      </c>
      <c r="B374" s="238" t="s">
        <v>285</v>
      </c>
      <c r="C374" s="262"/>
      <c r="D374" s="262"/>
      <c r="E374" s="262"/>
      <c r="F374" s="262"/>
      <c r="G374" s="262"/>
      <c r="H374" s="262"/>
      <c r="I374" s="238">
        <f>data!CE86</f>
        <v>0</v>
      </c>
    </row>
    <row r="375" spans="1:9" ht="20.100000000000001" customHeight="1" x14ac:dyDescent="0.2">
      <c r="A375" s="230">
        <v>18</v>
      </c>
      <c r="B375" s="238" t="s">
        <v>1007</v>
      </c>
      <c r="C375" s="238"/>
      <c r="D375" s="238"/>
      <c r="E375" s="238"/>
      <c r="F375" s="238"/>
      <c r="G375" s="238"/>
      <c r="H375" s="238"/>
      <c r="I375" s="238"/>
    </row>
    <row r="376" spans="1:9" ht="20.100000000000001" customHeight="1" x14ac:dyDescent="0.2">
      <c r="A376" s="230">
        <v>19</v>
      </c>
      <c r="B376" s="246" t="s">
        <v>1008</v>
      </c>
      <c r="C376" s="253" t="str">
        <f>IF(data!CB87&gt;0,data!CB87,"")</f>
        <v>x</v>
      </c>
      <c r="D376" s="253" t="str">
        <f>IF(data!CC87&gt;0,data!CC87,"")</f>
        <v>x</v>
      </c>
      <c r="E376" s="248"/>
      <c r="F376" s="248"/>
      <c r="G376" s="248"/>
      <c r="H376" s="248"/>
      <c r="I376" s="254">
        <f>data!CE87</f>
        <v>1936975112.7700002</v>
      </c>
    </row>
    <row r="377" spans="1:9" ht="20.100000000000001" customHeight="1" x14ac:dyDescent="0.2">
      <c r="A377" s="230">
        <v>20</v>
      </c>
      <c r="B377" s="246" t="s">
        <v>1009</v>
      </c>
      <c r="C377" s="253" t="str">
        <f>IF(data!CB88&gt;0,data!CB88,"")</f>
        <v>x</v>
      </c>
      <c r="D377" s="253" t="str">
        <f>IF(data!CC88&gt;0,data!CC88,"")</f>
        <v>x</v>
      </c>
      <c r="E377" s="248"/>
      <c r="F377" s="248"/>
      <c r="G377" s="248"/>
      <c r="H377" s="248"/>
      <c r="I377" s="254">
        <f>data!CE88</f>
        <v>3284740364.0499997</v>
      </c>
    </row>
    <row r="378" spans="1:9" ht="20.100000000000001" customHeight="1" x14ac:dyDescent="0.2">
      <c r="A378" s="230">
        <v>21</v>
      </c>
      <c r="B378" s="246" t="s">
        <v>1010</v>
      </c>
      <c r="C378" s="253" t="str">
        <f>IF(data!CB89&gt;0,data!CB89,"")</f>
        <v>x</v>
      </c>
      <c r="D378" s="253" t="str">
        <f>IF(data!CC89&gt;0,data!CC89,"")</f>
        <v>x</v>
      </c>
      <c r="E378" s="248"/>
      <c r="F378" s="248"/>
      <c r="G378" s="248"/>
      <c r="H378" s="248"/>
      <c r="I378" s="254">
        <f>data!CE89</f>
        <v>5221715476.8199997</v>
      </c>
    </row>
    <row r="379" spans="1:9" ht="20.100000000000001" customHeight="1" x14ac:dyDescent="0.2">
      <c r="A379" s="230" t="s">
        <v>1011</v>
      </c>
      <c r="B379" s="238"/>
      <c r="C379" s="248"/>
      <c r="D379" s="248"/>
      <c r="E379" s="248"/>
      <c r="F379" s="248"/>
      <c r="G379" s="248"/>
      <c r="H379" s="248"/>
      <c r="I379" s="248"/>
    </row>
    <row r="380" spans="1:9" ht="20.100000000000001" customHeight="1" x14ac:dyDescent="0.2">
      <c r="A380" s="230">
        <v>22</v>
      </c>
      <c r="B380" s="238" t="s">
        <v>1012</v>
      </c>
      <c r="C380" s="254">
        <f>data!CB90</f>
        <v>0</v>
      </c>
      <c r="D380" s="254">
        <f>data!CC90</f>
        <v>3453.55</v>
      </c>
      <c r="E380" s="248"/>
      <c r="F380" s="248"/>
      <c r="G380" s="248"/>
      <c r="H380" s="248"/>
      <c r="I380" s="238">
        <f>data!CE90</f>
        <v>515622.34499999986</v>
      </c>
    </row>
    <row r="381" spans="1:9" ht="20.100000000000001" customHeight="1" x14ac:dyDescent="0.2">
      <c r="A381" s="230">
        <v>23</v>
      </c>
      <c r="B381" s="238" t="s">
        <v>1013</v>
      </c>
      <c r="C381" s="254">
        <f>data!CB91</f>
        <v>0</v>
      </c>
      <c r="D381" s="253" t="str">
        <f>IF(data!CC91&gt;0,data!CC91,"")</f>
        <v>x</v>
      </c>
      <c r="E381" s="248"/>
      <c r="F381" s="248"/>
      <c r="G381" s="248"/>
      <c r="H381" s="248"/>
      <c r="I381" s="238">
        <f>data!CE91</f>
        <v>384908</v>
      </c>
    </row>
    <row r="382" spans="1:9" ht="20.100000000000001" customHeight="1" x14ac:dyDescent="0.2">
      <c r="A382" s="230">
        <v>24</v>
      </c>
      <c r="B382" s="238" t="s">
        <v>1014</v>
      </c>
      <c r="C382" s="254">
        <f>data!CB92</f>
        <v>0</v>
      </c>
      <c r="D382" s="253" t="str">
        <f>IF(data!CC92&gt;0,data!CC92,"")</f>
        <v>x</v>
      </c>
      <c r="E382" s="248"/>
      <c r="F382" s="248"/>
      <c r="G382" s="248"/>
      <c r="H382" s="248"/>
      <c r="I382" s="238">
        <f>data!CE92</f>
        <v>212014.4</v>
      </c>
    </row>
    <row r="383" spans="1:9" ht="20.100000000000001" customHeight="1" x14ac:dyDescent="0.2">
      <c r="A383" s="230">
        <v>25</v>
      </c>
      <c r="B383" s="238" t="s">
        <v>1015</v>
      </c>
      <c r="C383" s="254">
        <f>data!CB93</f>
        <v>0</v>
      </c>
      <c r="D383" s="253" t="str">
        <f>IF(data!CC93&gt;0,data!CC93,"")</f>
        <v>x</v>
      </c>
      <c r="E383" s="248"/>
      <c r="F383" s="248"/>
      <c r="G383" s="248"/>
      <c r="H383" s="248"/>
      <c r="I383" s="238">
        <f>data!CE93</f>
        <v>3706456.62</v>
      </c>
    </row>
    <row r="384" spans="1:9" ht="20.100000000000001" customHeight="1" x14ac:dyDescent="0.2">
      <c r="A384" s="230">
        <v>26</v>
      </c>
      <c r="B384" s="238" t="s">
        <v>293</v>
      </c>
      <c r="C384" s="253" t="str">
        <f>IF(data!CB94&gt;0,data!CB94,"")</f>
        <v/>
      </c>
      <c r="D384" s="253" t="str">
        <f>IF(data!CC94&gt;0,data!CC94,"")</f>
        <v>x</v>
      </c>
      <c r="E384" s="260"/>
      <c r="F384" s="248"/>
      <c r="G384" s="248"/>
      <c r="H384" s="248"/>
      <c r="I384" s="245">
        <f>data!CE94</f>
        <v>1556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85" transitionEvaluation="1" transitionEntry="1" codeName="Sheet1">
    <tabColor rgb="FF92D050"/>
    <pageSetUpPr autoPageBreaks="0" fitToPage="1"/>
  </sheetPr>
  <dimension ref="A1:CF716"/>
  <sheetViews>
    <sheetView topLeftCell="A85" zoomScaleNormal="100" workbookViewId="0">
      <selection activeCell="C109" sqref="C109:C110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10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311" t="s">
        <v>1052</v>
      </c>
    </row>
    <row r="6" spans="1:5" x14ac:dyDescent="0.25">
      <c r="A6" s="11" t="s">
        <v>1053</v>
      </c>
    </row>
    <row r="7" spans="1:5" x14ac:dyDescent="0.25">
      <c r="A7" s="11" t="s">
        <v>297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312" t="s">
        <v>23</v>
      </c>
      <c r="F30" s="313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314" t="s">
        <v>27</v>
      </c>
      <c r="B36" s="315"/>
      <c r="C36" s="316"/>
      <c r="D36" s="315"/>
      <c r="E36" s="315"/>
      <c r="F36" s="315"/>
      <c r="G36" s="317"/>
    </row>
    <row r="37" spans="1:83" x14ac:dyDescent="0.25">
      <c r="A37" s="318" t="s">
        <v>1054</v>
      </c>
      <c r="B37" s="319"/>
      <c r="C37" s="320"/>
      <c r="D37" s="321"/>
      <c r="E37" s="321"/>
      <c r="F37" s="321"/>
      <c r="G37" s="322"/>
    </row>
    <row r="38" spans="1:83" x14ac:dyDescent="0.25">
      <c r="A38" s="323" t="s">
        <v>29</v>
      </c>
      <c r="B38" s="319"/>
      <c r="C38" s="320"/>
      <c r="D38" s="321"/>
      <c r="E38" s="321"/>
      <c r="F38" s="321"/>
      <c r="G38" s="322"/>
    </row>
    <row r="39" spans="1:83" x14ac:dyDescent="0.25">
      <c r="A39" s="324" t="s">
        <v>1055</v>
      </c>
      <c r="B39" s="321"/>
      <c r="C39" s="320"/>
      <c r="D39" s="321"/>
      <c r="E39" s="321"/>
      <c r="F39" s="321"/>
      <c r="G39" s="322"/>
    </row>
    <row r="40" spans="1:83" x14ac:dyDescent="0.25">
      <c r="A40" s="325" t="s">
        <v>31</v>
      </c>
      <c r="B40" s="326"/>
      <c r="C40" s="327"/>
      <c r="D40" s="326"/>
      <c r="E40" s="326"/>
      <c r="F40" s="326"/>
      <c r="G40" s="328"/>
    </row>
    <row r="41" spans="1:83" x14ac:dyDescent="0.25">
      <c r="C41" s="13"/>
    </row>
    <row r="42" spans="1:83" x14ac:dyDescent="0.25">
      <c r="A42" s="11" t="s">
        <v>32</v>
      </c>
      <c r="C42" s="13"/>
      <c r="F42" s="313" t="s">
        <v>33</v>
      </c>
    </row>
    <row r="43" spans="1:83" x14ac:dyDescent="0.25">
      <c r="A43" s="313" t="s">
        <v>34</v>
      </c>
      <c r="C43" s="13"/>
    </row>
    <row r="44" spans="1:83" x14ac:dyDescent="0.25">
      <c r="A44" s="16"/>
      <c r="B44" s="16"/>
      <c r="C44" s="329">
        <v>6010</v>
      </c>
      <c r="D44" s="329">
        <v>6030</v>
      </c>
      <c r="E44" s="329">
        <v>6070</v>
      </c>
      <c r="F44" s="329">
        <v>6100</v>
      </c>
      <c r="G44" s="329">
        <v>6120</v>
      </c>
      <c r="H44" s="329">
        <v>6140</v>
      </c>
      <c r="I44" s="329">
        <v>6150</v>
      </c>
      <c r="J44" s="329">
        <v>6170</v>
      </c>
      <c r="K44" s="329">
        <v>6200</v>
      </c>
      <c r="L44" s="329">
        <v>6210</v>
      </c>
      <c r="M44" s="329">
        <v>6330</v>
      </c>
      <c r="N44" s="329">
        <v>6400</v>
      </c>
      <c r="O44" s="329">
        <v>7010</v>
      </c>
      <c r="P44" s="329">
        <v>7020</v>
      </c>
      <c r="Q44" s="329">
        <v>7030</v>
      </c>
      <c r="R44" s="329">
        <v>7040</v>
      </c>
      <c r="S44" s="329">
        <v>7050</v>
      </c>
      <c r="T44" s="329">
        <v>7060</v>
      </c>
      <c r="U44" s="329">
        <v>7070</v>
      </c>
      <c r="V44" s="329">
        <v>7110</v>
      </c>
      <c r="W44" s="329">
        <v>7120</v>
      </c>
      <c r="X44" s="329">
        <v>7130</v>
      </c>
      <c r="Y44" s="329">
        <v>7140</v>
      </c>
      <c r="Z44" s="329">
        <v>7150</v>
      </c>
      <c r="AA44" s="329">
        <v>7160</v>
      </c>
      <c r="AB44" s="329">
        <v>7170</v>
      </c>
      <c r="AC44" s="329">
        <v>7180</v>
      </c>
      <c r="AD44" s="329">
        <v>7190</v>
      </c>
      <c r="AE44" s="329">
        <v>7200</v>
      </c>
      <c r="AF44" s="329">
        <v>7220</v>
      </c>
      <c r="AG44" s="329">
        <v>7230</v>
      </c>
      <c r="AH44" s="329">
        <v>7240</v>
      </c>
      <c r="AI44" s="329">
        <v>7250</v>
      </c>
      <c r="AJ44" s="329">
        <v>7260</v>
      </c>
      <c r="AK44" s="329">
        <v>7310</v>
      </c>
      <c r="AL44" s="329">
        <v>7320</v>
      </c>
      <c r="AM44" s="329">
        <v>7330</v>
      </c>
      <c r="AN44" s="329">
        <v>7340</v>
      </c>
      <c r="AO44" s="329">
        <v>7350</v>
      </c>
      <c r="AP44" s="329">
        <v>7380</v>
      </c>
      <c r="AQ44" s="329">
        <v>7390</v>
      </c>
      <c r="AR44" s="329">
        <v>7400</v>
      </c>
      <c r="AS44" s="329">
        <v>7410</v>
      </c>
      <c r="AT44" s="329">
        <v>7420</v>
      </c>
      <c r="AU44" s="329">
        <v>7430</v>
      </c>
      <c r="AV44" s="329">
        <v>7490</v>
      </c>
      <c r="AW44" s="329">
        <v>8200</v>
      </c>
      <c r="AX44" s="329">
        <v>8310</v>
      </c>
      <c r="AY44" s="329">
        <v>8320</v>
      </c>
      <c r="AZ44" s="329">
        <v>8330</v>
      </c>
      <c r="BA44" s="329">
        <v>8350</v>
      </c>
      <c r="BB44" s="329">
        <v>8360</v>
      </c>
      <c r="BC44" s="329">
        <v>8370</v>
      </c>
      <c r="BD44" s="329">
        <v>8420</v>
      </c>
      <c r="BE44" s="329">
        <v>8430</v>
      </c>
      <c r="BF44" s="329">
        <v>8460</v>
      </c>
      <c r="BG44" s="329">
        <v>8470</v>
      </c>
      <c r="BH44" s="329">
        <v>8480</v>
      </c>
      <c r="BI44" s="329">
        <v>8490</v>
      </c>
      <c r="BJ44" s="329">
        <v>8510</v>
      </c>
      <c r="BK44" s="329">
        <v>8530</v>
      </c>
      <c r="BL44" s="329">
        <v>8560</v>
      </c>
      <c r="BM44" s="329">
        <v>8590</v>
      </c>
      <c r="BN44" s="329">
        <v>8610</v>
      </c>
      <c r="BO44" s="329">
        <v>8620</v>
      </c>
      <c r="BP44" s="329">
        <v>8630</v>
      </c>
      <c r="BQ44" s="329">
        <v>8640</v>
      </c>
      <c r="BR44" s="329">
        <v>8650</v>
      </c>
      <c r="BS44" s="329">
        <v>8660</v>
      </c>
      <c r="BT44" s="329">
        <v>8670</v>
      </c>
      <c r="BU44" s="329">
        <v>8680</v>
      </c>
      <c r="BV44" s="329">
        <v>8690</v>
      </c>
      <c r="BW44" s="329">
        <v>8700</v>
      </c>
      <c r="BX44" s="329">
        <v>8710</v>
      </c>
      <c r="BY44" s="329">
        <v>8720</v>
      </c>
      <c r="BZ44" s="329">
        <v>8730</v>
      </c>
      <c r="CA44" s="329">
        <v>8740</v>
      </c>
      <c r="CB44" s="329">
        <v>8770</v>
      </c>
      <c r="CC44" s="329">
        <v>8790</v>
      </c>
      <c r="CD44" s="18" t="s">
        <v>114</v>
      </c>
      <c r="CE44" s="329">
        <v>9999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>
        <v>0</v>
      </c>
      <c r="C47" s="273">
        <v>13060774.380000001</v>
      </c>
      <c r="D47" s="273">
        <v>1235483.57</v>
      </c>
      <c r="E47" s="273">
        <v>5500682.0900000008</v>
      </c>
      <c r="F47" s="273">
        <v>1128643.0199999998</v>
      </c>
      <c r="G47" s="273">
        <v>0</v>
      </c>
      <c r="H47" s="273">
        <v>1401393.4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1973727.54</v>
      </c>
      <c r="P47" s="273">
        <v>6584959.9600000028</v>
      </c>
      <c r="Q47" s="273">
        <v>0</v>
      </c>
      <c r="R47" s="273">
        <v>3508518.7799999993</v>
      </c>
      <c r="S47" s="273">
        <v>1177540.3800000001</v>
      </c>
      <c r="T47" s="273">
        <v>1663708.7399999995</v>
      </c>
      <c r="U47" s="273">
        <v>6965129.5700000003</v>
      </c>
      <c r="V47" s="273">
        <v>0</v>
      </c>
      <c r="W47" s="273">
        <v>1521812.3700000008</v>
      </c>
      <c r="X47" s="273">
        <v>674680.08000000007</v>
      </c>
      <c r="Y47" s="273">
        <v>1630819.7099999997</v>
      </c>
      <c r="Z47" s="273">
        <v>1679685.5199999996</v>
      </c>
      <c r="AA47" s="273">
        <v>140344.66</v>
      </c>
      <c r="AB47" s="273">
        <v>4075326.1199999996</v>
      </c>
      <c r="AC47" s="273">
        <v>1491031.3699999999</v>
      </c>
      <c r="AD47" s="273">
        <v>0</v>
      </c>
      <c r="AE47" s="273">
        <v>721695.5</v>
      </c>
      <c r="AF47" s="273">
        <v>0</v>
      </c>
      <c r="AG47" s="273">
        <v>5201911.9899999993</v>
      </c>
      <c r="AH47" s="273">
        <v>0</v>
      </c>
      <c r="AI47" s="273">
        <v>690254.28</v>
      </c>
      <c r="AJ47" s="273">
        <v>4522899.2700000014</v>
      </c>
      <c r="AK47" s="273">
        <v>0</v>
      </c>
      <c r="AL47" s="273">
        <v>196628.11</v>
      </c>
      <c r="AM47" s="273">
        <v>0</v>
      </c>
      <c r="AN47" s="273">
        <v>0</v>
      </c>
      <c r="AO47" s="273">
        <v>0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0</v>
      </c>
      <c r="AV47" s="273">
        <v>4858312.7699999986</v>
      </c>
      <c r="AW47" s="273">
        <v>3421065.8600000003</v>
      </c>
      <c r="AX47" s="273">
        <v>0</v>
      </c>
      <c r="AY47" s="273">
        <v>319996.76</v>
      </c>
      <c r="AZ47" s="273">
        <v>0</v>
      </c>
      <c r="BA47" s="273">
        <v>0</v>
      </c>
      <c r="BB47" s="273">
        <v>661427.28</v>
      </c>
      <c r="BC47" s="273">
        <v>397175.29999999993</v>
      </c>
      <c r="BD47" s="273">
        <v>213426.46</v>
      </c>
      <c r="BE47" s="273">
        <v>262833.39</v>
      </c>
      <c r="BF47" s="273">
        <v>473811.51</v>
      </c>
      <c r="BG47" s="273">
        <v>0</v>
      </c>
      <c r="BH47" s="273">
        <v>0</v>
      </c>
      <c r="BI47" s="273">
        <v>0</v>
      </c>
      <c r="BJ47" s="273">
        <v>0</v>
      </c>
      <c r="BK47" s="273">
        <v>0</v>
      </c>
      <c r="BL47" s="273">
        <v>511985.74</v>
      </c>
      <c r="BM47" s="273">
        <v>0</v>
      </c>
      <c r="BN47" s="273">
        <v>365282.43999999994</v>
      </c>
      <c r="BO47" s="273">
        <v>0</v>
      </c>
      <c r="BP47" s="273">
        <v>0</v>
      </c>
      <c r="BQ47" s="273">
        <v>0</v>
      </c>
      <c r="BR47" s="273">
        <v>0</v>
      </c>
      <c r="BS47" s="273">
        <v>0</v>
      </c>
      <c r="BT47" s="273">
        <v>0</v>
      </c>
      <c r="BU47" s="273">
        <v>0</v>
      </c>
      <c r="BV47" s="273">
        <v>0</v>
      </c>
      <c r="BW47" s="273">
        <v>0</v>
      </c>
      <c r="BX47" s="273">
        <v>797628.58999999985</v>
      </c>
      <c r="BY47" s="273">
        <v>472512</v>
      </c>
      <c r="BZ47" s="273">
        <v>545816.44000000006</v>
      </c>
      <c r="CA47" s="273">
        <v>0</v>
      </c>
      <c r="CB47" s="273">
        <v>0</v>
      </c>
      <c r="CC47" s="273">
        <v>411818.33999999985</v>
      </c>
      <c r="CD47" s="16"/>
      <c r="CE47" s="25">
        <v>80460743.289999992</v>
      </c>
    </row>
    <row r="48" spans="1:83" x14ac:dyDescent="0.25">
      <c r="A48" s="25" t="s">
        <v>231</v>
      </c>
      <c r="B48" s="272">
        <v>0</v>
      </c>
      <c r="C48" s="25" t="b">
        <v>0</v>
      </c>
      <c r="D48" s="25" t="b">
        <v>0</v>
      </c>
      <c r="E48" s="25" t="b">
        <v>0</v>
      </c>
      <c r="F48" s="25" t="b">
        <v>0</v>
      </c>
      <c r="G48" s="25" t="b">
        <v>0</v>
      </c>
      <c r="H48" s="25" t="b">
        <v>0</v>
      </c>
      <c r="I48" s="25" t="b">
        <v>0</v>
      </c>
      <c r="J48" s="25" t="b">
        <v>0</v>
      </c>
      <c r="K48" s="25" t="b">
        <v>0</v>
      </c>
      <c r="L48" s="25" t="b">
        <v>0</v>
      </c>
      <c r="M48" s="25" t="b">
        <v>0</v>
      </c>
      <c r="N48" s="25" t="b">
        <v>0</v>
      </c>
      <c r="O48" s="25" t="b">
        <v>0</v>
      </c>
      <c r="P48" s="25" t="b">
        <v>0</v>
      </c>
      <c r="Q48" s="25" t="b">
        <v>0</v>
      </c>
      <c r="R48" s="25" t="b">
        <v>0</v>
      </c>
      <c r="S48" s="25" t="b">
        <v>0</v>
      </c>
      <c r="T48" s="25" t="b">
        <v>0</v>
      </c>
      <c r="U48" s="25" t="b">
        <v>0</v>
      </c>
      <c r="V48" s="25" t="b">
        <v>0</v>
      </c>
      <c r="W48" s="25" t="b">
        <v>0</v>
      </c>
      <c r="X48" s="25" t="b">
        <v>0</v>
      </c>
      <c r="Y48" s="25" t="b">
        <v>0</v>
      </c>
      <c r="Z48" s="25" t="b">
        <v>0</v>
      </c>
      <c r="AA48" s="25" t="b">
        <v>0</v>
      </c>
      <c r="AB48" s="25" t="b">
        <v>0</v>
      </c>
      <c r="AC48" s="25" t="b">
        <v>0</v>
      </c>
      <c r="AD48" s="25" t="b">
        <v>0</v>
      </c>
      <c r="AE48" s="25" t="b">
        <v>0</v>
      </c>
      <c r="AF48" s="25" t="b">
        <v>0</v>
      </c>
      <c r="AG48" s="25" t="b">
        <v>0</v>
      </c>
      <c r="AH48" s="25" t="b">
        <v>0</v>
      </c>
      <c r="AI48" s="25" t="b">
        <v>0</v>
      </c>
      <c r="AJ48" s="25" t="b">
        <v>0</v>
      </c>
      <c r="AK48" s="25" t="b">
        <v>0</v>
      </c>
      <c r="AL48" s="25" t="b">
        <v>0</v>
      </c>
      <c r="AM48" s="25" t="b">
        <v>0</v>
      </c>
      <c r="AN48" s="25" t="b">
        <v>0</v>
      </c>
      <c r="AO48" s="25" t="b">
        <v>0</v>
      </c>
      <c r="AP48" s="25" t="b">
        <v>0</v>
      </c>
      <c r="AQ48" s="25" t="b">
        <v>0</v>
      </c>
      <c r="AR48" s="25" t="b">
        <v>0</v>
      </c>
      <c r="AS48" s="25" t="b">
        <v>0</v>
      </c>
      <c r="AT48" s="25" t="b">
        <v>0</v>
      </c>
      <c r="AU48" s="25" t="b">
        <v>0</v>
      </c>
      <c r="AV48" s="25" t="b">
        <v>0</v>
      </c>
      <c r="AW48" s="25" t="b">
        <v>0</v>
      </c>
      <c r="AX48" s="25" t="b">
        <v>0</v>
      </c>
      <c r="AY48" s="25" t="b">
        <v>0</v>
      </c>
      <c r="AZ48" s="25" t="b">
        <v>0</v>
      </c>
      <c r="BA48" s="25" t="b">
        <v>0</v>
      </c>
      <c r="BB48" s="25" t="b">
        <v>0</v>
      </c>
      <c r="BC48" s="25" t="b">
        <v>0</v>
      </c>
      <c r="BD48" s="25" t="b">
        <v>0</v>
      </c>
      <c r="BE48" s="25" t="b">
        <v>0</v>
      </c>
      <c r="BF48" s="25" t="b">
        <v>0</v>
      </c>
      <c r="BG48" s="25" t="b">
        <v>0</v>
      </c>
      <c r="BH48" s="25" t="b">
        <v>0</v>
      </c>
      <c r="BI48" s="25" t="b">
        <v>0</v>
      </c>
      <c r="BJ48" s="25" t="b">
        <v>0</v>
      </c>
      <c r="BK48" s="25" t="b">
        <v>0</v>
      </c>
      <c r="BL48" s="25" t="b">
        <v>0</v>
      </c>
      <c r="BM48" s="25" t="b">
        <v>0</v>
      </c>
      <c r="BN48" s="25" t="b">
        <v>0</v>
      </c>
      <c r="BO48" s="25" t="b">
        <v>0</v>
      </c>
      <c r="BP48" s="25" t="b">
        <v>0</v>
      </c>
      <c r="BQ48" s="25" t="b">
        <v>0</v>
      </c>
      <c r="BR48" s="25" t="b">
        <v>0</v>
      </c>
      <c r="BS48" s="25" t="b">
        <v>0</v>
      </c>
      <c r="BT48" s="25" t="b">
        <v>0</v>
      </c>
      <c r="BU48" s="25" t="b">
        <v>0</v>
      </c>
      <c r="BV48" s="25" t="b">
        <v>0</v>
      </c>
      <c r="BW48" s="25" t="b">
        <v>0</v>
      </c>
      <c r="BX48" s="25" t="b">
        <v>0</v>
      </c>
      <c r="BY48" s="25" t="b">
        <v>0</v>
      </c>
      <c r="BZ48" s="25" t="b">
        <v>0</v>
      </c>
      <c r="CA48" s="25" t="b">
        <v>0</v>
      </c>
      <c r="CB48" s="25" t="b">
        <v>0</v>
      </c>
      <c r="CC48" s="25" t="b">
        <v>0</v>
      </c>
      <c r="CD48" s="25" t="b">
        <v>0</v>
      </c>
      <c r="CE48" s="25">
        <v>0</v>
      </c>
    </row>
    <row r="49" spans="1:84" x14ac:dyDescent="0.25">
      <c r="A49" s="16" t="s">
        <v>232</v>
      </c>
      <c r="B49" s="25"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4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4" x14ac:dyDescent="0.25">
      <c r="A51" s="21" t="s">
        <v>233</v>
      </c>
      <c r="B51" s="273">
        <v>0</v>
      </c>
      <c r="C51" s="273">
        <v>2134371.92</v>
      </c>
      <c r="D51" s="273">
        <v>289030.24</v>
      </c>
      <c r="E51" s="273">
        <v>667639.81999999995</v>
      </c>
      <c r="F51" s="273">
        <v>821.74</v>
      </c>
      <c r="G51" s="273">
        <v>0</v>
      </c>
      <c r="H51" s="273">
        <v>239828.41999999998</v>
      </c>
      <c r="I51" s="273">
        <v>0</v>
      </c>
      <c r="J51" s="273">
        <v>0</v>
      </c>
      <c r="K51" s="273">
        <v>0</v>
      </c>
      <c r="L51" s="273">
        <v>0</v>
      </c>
      <c r="M51" s="273">
        <v>0</v>
      </c>
      <c r="N51" s="273">
        <v>0</v>
      </c>
      <c r="O51" s="273">
        <v>837912.68</v>
      </c>
      <c r="P51" s="273">
        <v>3659608.3200000003</v>
      </c>
      <c r="Q51" s="273">
        <v>0</v>
      </c>
      <c r="R51" s="273">
        <v>446209.90999999992</v>
      </c>
      <c r="S51" s="273">
        <v>501105.39</v>
      </c>
      <c r="T51" s="273">
        <v>232371.71</v>
      </c>
      <c r="U51" s="273">
        <v>753794.64000000013</v>
      </c>
      <c r="V51" s="273">
        <v>0</v>
      </c>
      <c r="W51" s="273">
        <v>878694.66</v>
      </c>
      <c r="X51" s="273">
        <v>305799.55</v>
      </c>
      <c r="Y51" s="273">
        <v>1065487.55</v>
      </c>
      <c r="Z51" s="273">
        <v>1114062.73</v>
      </c>
      <c r="AA51" s="273">
        <v>24146.800000000003</v>
      </c>
      <c r="AB51" s="273">
        <v>630194.84000000008</v>
      </c>
      <c r="AC51" s="273">
        <v>228317.84000000003</v>
      </c>
      <c r="AD51" s="273">
        <v>4316.4799999999996</v>
      </c>
      <c r="AE51" s="273">
        <v>31714.11</v>
      </c>
      <c r="AF51" s="273">
        <v>0</v>
      </c>
      <c r="AG51" s="273">
        <v>1809809.4200000002</v>
      </c>
      <c r="AH51" s="273">
        <v>0</v>
      </c>
      <c r="AI51" s="273">
        <v>162031.09000000003</v>
      </c>
      <c r="AJ51" s="273">
        <v>1419161.75</v>
      </c>
      <c r="AK51" s="273">
        <v>52464.6</v>
      </c>
      <c r="AL51" s="273">
        <v>1999.53</v>
      </c>
      <c r="AM51" s="273">
        <v>0</v>
      </c>
      <c r="AN51" s="273">
        <v>0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927127.87999999977</v>
      </c>
      <c r="AW51" s="273">
        <v>54023.4</v>
      </c>
      <c r="AX51" s="273">
        <v>0</v>
      </c>
      <c r="AY51" s="273">
        <v>152347.22999999998</v>
      </c>
      <c r="AZ51" s="273">
        <v>0</v>
      </c>
      <c r="BA51" s="273">
        <v>0</v>
      </c>
      <c r="BB51" s="273">
        <v>10810.75</v>
      </c>
      <c r="BC51" s="273">
        <v>3209.46</v>
      </c>
      <c r="BD51" s="273">
        <v>30492.760000000002</v>
      </c>
      <c r="BE51" s="273">
        <v>343461.80000000005</v>
      </c>
      <c r="BF51" s="273">
        <v>32775.279999999999</v>
      </c>
      <c r="BG51" s="273">
        <v>0</v>
      </c>
      <c r="BH51" s="273">
        <v>0</v>
      </c>
      <c r="BI51" s="273">
        <v>0</v>
      </c>
      <c r="BJ51" s="273">
        <v>0</v>
      </c>
      <c r="BK51" s="273">
        <v>0</v>
      </c>
      <c r="BL51" s="273">
        <v>21319.010000000002</v>
      </c>
      <c r="BM51" s="273">
        <v>0</v>
      </c>
      <c r="BN51" s="273">
        <v>605792.58000000007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33430.9</v>
      </c>
      <c r="BY51" s="273">
        <v>54614.1</v>
      </c>
      <c r="BZ51" s="273">
        <v>21582.05</v>
      </c>
      <c r="CA51" s="273">
        <v>0</v>
      </c>
      <c r="CB51" s="273">
        <v>0</v>
      </c>
      <c r="CC51" s="273">
        <v>50108.609999999462</v>
      </c>
      <c r="CD51" s="16"/>
      <c r="CE51" s="25">
        <v>19831991.550000016</v>
      </c>
    </row>
    <row r="52" spans="1:84" x14ac:dyDescent="0.25">
      <c r="A52" s="31" t="s">
        <v>234</v>
      </c>
      <c r="B52" s="330">
        <v>0</v>
      </c>
      <c r="C52" s="25" t="b">
        <v>0</v>
      </c>
      <c r="D52" s="25" t="b">
        <v>0</v>
      </c>
      <c r="E52" s="25" t="b">
        <v>0</v>
      </c>
      <c r="F52" s="25" t="b">
        <v>0</v>
      </c>
      <c r="G52" s="25" t="b">
        <v>0</v>
      </c>
      <c r="H52" s="25" t="b">
        <v>0</v>
      </c>
      <c r="I52" s="25" t="b">
        <v>0</v>
      </c>
      <c r="J52" s="25" t="b">
        <v>0</v>
      </c>
      <c r="K52" s="25" t="b">
        <v>0</v>
      </c>
      <c r="L52" s="25" t="b">
        <v>0</v>
      </c>
      <c r="M52" s="25" t="b">
        <v>0</v>
      </c>
      <c r="N52" s="25" t="b">
        <v>0</v>
      </c>
      <c r="O52" s="25" t="b">
        <v>0</v>
      </c>
      <c r="P52" s="25" t="b">
        <v>0</v>
      </c>
      <c r="Q52" s="25" t="b">
        <v>0</v>
      </c>
      <c r="R52" s="25" t="b">
        <v>0</v>
      </c>
      <c r="S52" s="25" t="b">
        <v>0</v>
      </c>
      <c r="T52" s="25" t="b">
        <v>0</v>
      </c>
      <c r="U52" s="25" t="b">
        <v>0</v>
      </c>
      <c r="V52" s="25" t="b">
        <v>0</v>
      </c>
      <c r="W52" s="25" t="b">
        <v>0</v>
      </c>
      <c r="X52" s="25" t="b">
        <v>0</v>
      </c>
      <c r="Y52" s="25" t="b">
        <v>0</v>
      </c>
      <c r="Z52" s="25" t="b">
        <v>0</v>
      </c>
      <c r="AA52" s="25" t="b">
        <v>0</v>
      </c>
      <c r="AB52" s="25" t="b">
        <v>0</v>
      </c>
      <c r="AC52" s="25" t="b">
        <v>0</v>
      </c>
      <c r="AD52" s="25" t="b">
        <v>0</v>
      </c>
      <c r="AE52" s="25" t="b">
        <v>0</v>
      </c>
      <c r="AF52" s="25" t="b">
        <v>0</v>
      </c>
      <c r="AG52" s="25" t="b">
        <v>0</v>
      </c>
      <c r="AH52" s="25" t="b">
        <v>0</v>
      </c>
      <c r="AI52" s="25" t="b">
        <v>0</v>
      </c>
      <c r="AJ52" s="25" t="b">
        <v>0</v>
      </c>
      <c r="AK52" s="25" t="b">
        <v>0</v>
      </c>
      <c r="AL52" s="25" t="b">
        <v>0</v>
      </c>
      <c r="AM52" s="25" t="b">
        <v>0</v>
      </c>
      <c r="AN52" s="25" t="b">
        <v>0</v>
      </c>
      <c r="AO52" s="25" t="b">
        <v>0</v>
      </c>
      <c r="AP52" s="25" t="b">
        <v>0</v>
      </c>
      <c r="AQ52" s="25" t="b">
        <v>0</v>
      </c>
      <c r="AR52" s="25" t="b">
        <v>0</v>
      </c>
      <c r="AS52" s="25" t="b">
        <v>0</v>
      </c>
      <c r="AT52" s="25" t="b">
        <v>0</v>
      </c>
      <c r="AU52" s="25" t="b">
        <v>0</v>
      </c>
      <c r="AV52" s="25" t="b">
        <v>0</v>
      </c>
      <c r="AW52" s="25" t="b">
        <v>0</v>
      </c>
      <c r="AX52" s="25" t="b">
        <v>0</v>
      </c>
      <c r="AY52" s="25" t="b">
        <v>0</v>
      </c>
      <c r="AZ52" s="25" t="b">
        <v>0</v>
      </c>
      <c r="BA52" s="25" t="b">
        <v>0</v>
      </c>
      <c r="BB52" s="25" t="b">
        <v>0</v>
      </c>
      <c r="BC52" s="25" t="b">
        <v>0</v>
      </c>
      <c r="BD52" s="25" t="b">
        <v>0</v>
      </c>
      <c r="BE52" s="25" t="b">
        <v>0</v>
      </c>
      <c r="BF52" s="25" t="b">
        <v>0</v>
      </c>
      <c r="BG52" s="25" t="b">
        <v>0</v>
      </c>
      <c r="BH52" s="25" t="b">
        <v>0</v>
      </c>
      <c r="BI52" s="25" t="b">
        <v>0</v>
      </c>
      <c r="BJ52" s="25" t="b">
        <v>0</v>
      </c>
      <c r="BK52" s="25" t="b">
        <v>0</v>
      </c>
      <c r="BL52" s="25" t="b">
        <v>0</v>
      </c>
      <c r="BM52" s="25" t="b">
        <v>0</v>
      </c>
      <c r="BN52" s="25" t="b">
        <v>0</v>
      </c>
      <c r="BO52" s="25" t="b">
        <v>0</v>
      </c>
      <c r="BP52" s="25" t="b">
        <v>0</v>
      </c>
      <c r="BQ52" s="25" t="b">
        <v>0</v>
      </c>
      <c r="BR52" s="25" t="b">
        <v>0</v>
      </c>
      <c r="BS52" s="25" t="b">
        <v>0</v>
      </c>
      <c r="BT52" s="25" t="b">
        <v>0</v>
      </c>
      <c r="BU52" s="25" t="b">
        <v>0</v>
      </c>
      <c r="BV52" s="25" t="b">
        <v>0</v>
      </c>
      <c r="BW52" s="25" t="b">
        <v>0</v>
      </c>
      <c r="BX52" s="25" t="b">
        <v>0</v>
      </c>
      <c r="BY52" s="25" t="b">
        <v>0</v>
      </c>
      <c r="BZ52" s="25" t="b">
        <v>0</v>
      </c>
      <c r="CA52" s="25" t="b">
        <v>0</v>
      </c>
      <c r="CB52" s="25" t="b">
        <v>0</v>
      </c>
      <c r="CC52" s="25" t="b">
        <v>0</v>
      </c>
      <c r="CD52" s="25" t="b">
        <v>0</v>
      </c>
      <c r="CE52" s="25">
        <v>0</v>
      </c>
    </row>
    <row r="53" spans="1:84" x14ac:dyDescent="0.25">
      <c r="A53" s="16" t="s">
        <v>232</v>
      </c>
      <c r="B53" s="25">
        <v>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4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4" x14ac:dyDescent="0.25">
      <c r="A55" s="21" t="s">
        <v>235</v>
      </c>
      <c r="B55" s="16"/>
      <c r="C55" s="329">
        <v>6010</v>
      </c>
      <c r="D55" s="329">
        <v>6030</v>
      </c>
      <c r="E55" s="329">
        <v>6070</v>
      </c>
      <c r="F55" s="329">
        <v>6100</v>
      </c>
      <c r="G55" s="329">
        <v>6120</v>
      </c>
      <c r="H55" s="329">
        <v>6140</v>
      </c>
      <c r="I55" s="329">
        <v>6150</v>
      </c>
      <c r="J55" s="329">
        <v>6170</v>
      </c>
      <c r="K55" s="329">
        <v>6200</v>
      </c>
      <c r="L55" s="329">
        <v>6210</v>
      </c>
      <c r="M55" s="329">
        <v>6330</v>
      </c>
      <c r="N55" s="329">
        <v>6400</v>
      </c>
      <c r="O55" s="329">
        <v>7010</v>
      </c>
      <c r="P55" s="329">
        <v>7020</v>
      </c>
      <c r="Q55" s="329">
        <v>7030</v>
      </c>
      <c r="R55" s="329">
        <v>7040</v>
      </c>
      <c r="S55" s="329">
        <v>7050</v>
      </c>
      <c r="T55" s="329">
        <v>7060</v>
      </c>
      <c r="U55" s="329">
        <v>7070</v>
      </c>
      <c r="V55" s="329">
        <v>7110</v>
      </c>
      <c r="W55" s="329">
        <v>7120</v>
      </c>
      <c r="X55" s="329">
        <v>7130</v>
      </c>
      <c r="Y55" s="329">
        <v>7140</v>
      </c>
      <c r="Z55" s="329">
        <v>7150</v>
      </c>
      <c r="AA55" s="329">
        <v>7160</v>
      </c>
      <c r="AB55" s="329">
        <v>7170</v>
      </c>
      <c r="AC55" s="329">
        <v>7180</v>
      </c>
      <c r="AD55" s="329">
        <v>7190</v>
      </c>
      <c r="AE55" s="329">
        <v>7200</v>
      </c>
      <c r="AF55" s="329">
        <v>7220</v>
      </c>
      <c r="AG55" s="329">
        <v>7230</v>
      </c>
      <c r="AH55" s="329">
        <v>7240</v>
      </c>
      <c r="AI55" s="329">
        <v>7250</v>
      </c>
      <c r="AJ55" s="329">
        <v>7260</v>
      </c>
      <c r="AK55" s="329">
        <v>7310</v>
      </c>
      <c r="AL55" s="329">
        <v>7320</v>
      </c>
      <c r="AM55" s="329">
        <v>7330</v>
      </c>
      <c r="AN55" s="329">
        <v>7340</v>
      </c>
      <c r="AO55" s="329">
        <v>7350</v>
      </c>
      <c r="AP55" s="329">
        <v>7380</v>
      </c>
      <c r="AQ55" s="329">
        <v>7390</v>
      </c>
      <c r="AR55" s="329">
        <v>7400</v>
      </c>
      <c r="AS55" s="329">
        <v>7410</v>
      </c>
      <c r="AT55" s="329">
        <v>7420</v>
      </c>
      <c r="AU55" s="329">
        <v>7430</v>
      </c>
      <c r="AV55" s="329">
        <v>7490</v>
      </c>
      <c r="AW55" s="329">
        <v>8200</v>
      </c>
      <c r="AX55" s="329">
        <v>8310</v>
      </c>
      <c r="AY55" s="329">
        <v>8320</v>
      </c>
      <c r="AZ55" s="329">
        <v>8330</v>
      </c>
      <c r="BA55" s="329">
        <v>8350</v>
      </c>
      <c r="BB55" s="329">
        <v>8360</v>
      </c>
      <c r="BC55" s="329">
        <v>8370</v>
      </c>
      <c r="BD55" s="329">
        <v>8420</v>
      </c>
      <c r="BE55" s="329">
        <v>8430</v>
      </c>
      <c r="BF55" s="329">
        <v>8460</v>
      </c>
      <c r="BG55" s="329">
        <v>8470</v>
      </c>
      <c r="BH55" s="329">
        <v>8480</v>
      </c>
      <c r="BI55" s="329">
        <v>8490</v>
      </c>
      <c r="BJ55" s="329">
        <v>8510</v>
      </c>
      <c r="BK55" s="329">
        <v>8530</v>
      </c>
      <c r="BL55" s="329">
        <v>8560</v>
      </c>
      <c r="BM55" s="329">
        <v>8590</v>
      </c>
      <c r="BN55" s="329">
        <v>8610</v>
      </c>
      <c r="BO55" s="329">
        <v>8620</v>
      </c>
      <c r="BP55" s="329">
        <v>8630</v>
      </c>
      <c r="BQ55" s="329">
        <v>8640</v>
      </c>
      <c r="BR55" s="329">
        <v>8650</v>
      </c>
      <c r="BS55" s="329">
        <v>8660</v>
      </c>
      <c r="BT55" s="329">
        <v>8670</v>
      </c>
      <c r="BU55" s="329">
        <v>8680</v>
      </c>
      <c r="BV55" s="329">
        <v>8690</v>
      </c>
      <c r="BW55" s="329">
        <v>8700</v>
      </c>
      <c r="BX55" s="329">
        <v>8710</v>
      </c>
      <c r="BY55" s="329">
        <v>8720</v>
      </c>
      <c r="BZ55" s="329">
        <v>8730</v>
      </c>
      <c r="CA55" s="329">
        <v>8740</v>
      </c>
      <c r="CB55" s="329">
        <v>8770</v>
      </c>
      <c r="CC55" s="329">
        <v>8790</v>
      </c>
      <c r="CD55" s="18" t="s">
        <v>114</v>
      </c>
      <c r="CE55" s="329">
        <v>9999</v>
      </c>
    </row>
    <row r="56" spans="1:84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4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4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4" x14ac:dyDescent="0.25">
      <c r="A59" s="31" t="s">
        <v>260</v>
      </c>
      <c r="B59" s="25"/>
      <c r="C59" s="273">
        <v>54110</v>
      </c>
      <c r="D59" s="273">
        <v>8813</v>
      </c>
      <c r="E59" s="273">
        <v>40243</v>
      </c>
      <c r="F59" s="273">
        <v>4201</v>
      </c>
      <c r="G59" s="273">
        <v>0</v>
      </c>
      <c r="H59" s="273">
        <v>7959</v>
      </c>
      <c r="I59" s="273">
        <v>0</v>
      </c>
      <c r="J59" s="273">
        <v>4557</v>
      </c>
      <c r="K59" s="273">
        <v>0</v>
      </c>
      <c r="L59" s="273">
        <v>0</v>
      </c>
      <c r="M59" s="273">
        <v>0</v>
      </c>
      <c r="N59" s="273">
        <v>0</v>
      </c>
      <c r="O59" s="273">
        <v>0</v>
      </c>
      <c r="P59" s="273">
        <v>0</v>
      </c>
      <c r="Q59" s="273">
        <v>0</v>
      </c>
      <c r="R59" s="273">
        <v>0</v>
      </c>
      <c r="S59" s="331">
        <v>0</v>
      </c>
      <c r="T59" s="273">
        <v>0</v>
      </c>
      <c r="U59" s="273">
        <v>0</v>
      </c>
      <c r="V59" s="273">
        <v>0</v>
      </c>
      <c r="W59" s="273">
        <v>0</v>
      </c>
      <c r="X59" s="273">
        <v>0</v>
      </c>
      <c r="Y59" s="273">
        <v>0</v>
      </c>
      <c r="Z59" s="273">
        <v>0</v>
      </c>
      <c r="AA59" s="273">
        <v>0</v>
      </c>
      <c r="AB59" s="331">
        <v>0</v>
      </c>
      <c r="AC59" s="273">
        <v>0</v>
      </c>
      <c r="AD59" s="273">
        <v>0</v>
      </c>
      <c r="AE59" s="273">
        <v>0</v>
      </c>
      <c r="AF59" s="273">
        <v>0</v>
      </c>
      <c r="AG59" s="273">
        <v>0</v>
      </c>
      <c r="AH59" s="273">
        <v>0</v>
      </c>
      <c r="AI59" s="273">
        <v>0</v>
      </c>
      <c r="AJ59" s="273">
        <v>0</v>
      </c>
      <c r="AK59" s="273">
        <v>0</v>
      </c>
      <c r="AL59" s="273">
        <v>0</v>
      </c>
      <c r="AM59" s="273">
        <v>0</v>
      </c>
      <c r="AN59" s="273">
        <v>0</v>
      </c>
      <c r="AO59" s="273">
        <v>0</v>
      </c>
      <c r="AP59" s="273">
        <v>0</v>
      </c>
      <c r="AQ59" s="273">
        <v>0</v>
      </c>
      <c r="AR59" s="273">
        <v>0</v>
      </c>
      <c r="AS59" s="273">
        <v>0</v>
      </c>
      <c r="AT59" s="273">
        <v>0</v>
      </c>
      <c r="AU59" s="273">
        <v>0</v>
      </c>
      <c r="AV59" s="331">
        <v>0</v>
      </c>
      <c r="AW59" s="331">
        <v>0</v>
      </c>
      <c r="AX59" s="331">
        <v>0</v>
      </c>
      <c r="AY59" s="332">
        <v>388780</v>
      </c>
      <c r="AZ59" s="332">
        <v>0</v>
      </c>
      <c r="BA59" s="331">
        <v>0</v>
      </c>
      <c r="BB59" s="331">
        <v>0</v>
      </c>
      <c r="BC59" s="331">
        <v>0</v>
      </c>
      <c r="BD59" s="331">
        <v>0</v>
      </c>
      <c r="BE59" s="332">
        <v>552104.41499999992</v>
      </c>
      <c r="BF59" s="331">
        <v>0</v>
      </c>
      <c r="BG59" s="331">
        <v>0</v>
      </c>
      <c r="BH59" s="331">
        <v>0</v>
      </c>
      <c r="BI59" s="331">
        <v>0</v>
      </c>
      <c r="BJ59" s="331">
        <v>0</v>
      </c>
      <c r="BK59" s="331">
        <v>0</v>
      </c>
      <c r="BL59" s="331">
        <v>0</v>
      </c>
      <c r="BM59" s="331">
        <v>0</v>
      </c>
      <c r="BN59" s="331">
        <v>0</v>
      </c>
      <c r="BO59" s="331">
        <v>0</v>
      </c>
      <c r="BP59" s="331">
        <v>0</v>
      </c>
      <c r="BQ59" s="331">
        <v>0</v>
      </c>
      <c r="BR59" s="331">
        <v>0</v>
      </c>
      <c r="BS59" s="331">
        <v>0</v>
      </c>
      <c r="BT59" s="331">
        <v>0</v>
      </c>
      <c r="BU59" s="331">
        <v>0</v>
      </c>
      <c r="BV59" s="331">
        <v>0</v>
      </c>
      <c r="BW59" s="331">
        <v>0</v>
      </c>
      <c r="BX59" s="331">
        <v>0</v>
      </c>
      <c r="BY59" s="331">
        <v>0</v>
      </c>
      <c r="BZ59" s="331">
        <v>0</v>
      </c>
      <c r="CA59" s="331">
        <v>0</v>
      </c>
      <c r="CB59" s="331">
        <v>0</v>
      </c>
      <c r="CC59" s="331">
        <v>0</v>
      </c>
      <c r="CD59" s="224">
        <v>0</v>
      </c>
      <c r="CE59" s="25">
        <v>0</v>
      </c>
      <c r="CF59" s="11">
        <v>1060767.415</v>
      </c>
    </row>
    <row r="60" spans="1:84" s="201" customFormat="1" ht="15.75" customHeight="1" x14ac:dyDescent="0.25">
      <c r="A60" s="207" t="s">
        <v>261</v>
      </c>
      <c r="B60" s="208"/>
      <c r="C60" s="277">
        <v>6.5248582182842672</v>
      </c>
      <c r="D60" s="277">
        <v>403.34434378036377</v>
      </c>
      <c r="E60" s="277">
        <v>159.2273554576401</v>
      </c>
      <c r="F60" s="277">
        <v>249.73428215757068</v>
      </c>
      <c r="G60" s="277">
        <v>41.304947939547276</v>
      </c>
      <c r="H60" s="277">
        <v>55.118349992449538</v>
      </c>
      <c r="I60" s="277">
        <v>87.483554782536515</v>
      </c>
      <c r="J60" s="277">
        <v>240.97040681630546</v>
      </c>
      <c r="K60" s="277">
        <v>134.58941231033023</v>
      </c>
      <c r="L60" s="277">
        <v>54.667228759634639</v>
      </c>
      <c r="M60" s="277">
        <v>25.496263010205993</v>
      </c>
      <c r="N60" s="277">
        <v>236.88736914563185</v>
      </c>
      <c r="O60" s="277">
        <v>0</v>
      </c>
      <c r="P60" s="277">
        <v>22.480821229797147</v>
      </c>
      <c r="Q60" s="277">
        <v>25.172148626688749</v>
      </c>
      <c r="R60" s="277">
        <v>90.497956151986585</v>
      </c>
      <c r="S60" s="277">
        <v>23.080246572180791</v>
      </c>
      <c r="T60" s="277">
        <v>4.8826582185092251</v>
      </c>
      <c r="U60" s="277">
        <v>139.79480409043907</v>
      </c>
      <c r="V60" s="277">
        <v>58.250677389280732</v>
      </c>
      <c r="W60" s="277">
        <v>0</v>
      </c>
      <c r="X60" s="277">
        <v>28.29898629749329</v>
      </c>
      <c r="Y60" s="277">
        <v>222.87535887357873</v>
      </c>
      <c r="Z60" s="277">
        <v>24.824799996599346</v>
      </c>
      <c r="AA60" s="277">
        <v>298.92210269877785</v>
      </c>
      <c r="AB60" s="277">
        <v>0</v>
      </c>
      <c r="AC60" s="277">
        <v>7.0971705469729907</v>
      </c>
      <c r="AD60" s="277">
        <v>0</v>
      </c>
      <c r="AE60" s="277">
        <v>37.441820542816188</v>
      </c>
      <c r="AF60" s="277">
        <v>206.21055956079309</v>
      </c>
      <c r="AG60" s="277">
        <v>132.71936710510693</v>
      </c>
      <c r="AH60" s="277">
        <v>12.810210957149284</v>
      </c>
      <c r="AI60" s="277">
        <v>0</v>
      </c>
      <c r="AJ60" s="277">
        <v>26.985541777125267</v>
      </c>
      <c r="AK60" s="277">
        <v>16.111257532039556</v>
      </c>
      <c r="AL60" s="277">
        <v>9.4424821904873308</v>
      </c>
      <c r="AM60" s="277">
        <v>9.8551321904308047</v>
      </c>
      <c r="AN60" s="277">
        <v>22.916211640696407</v>
      </c>
      <c r="AO60" s="277">
        <v>0</v>
      </c>
      <c r="AP60" s="277">
        <v>4.4137397254227748</v>
      </c>
      <c r="AQ60" s="277">
        <v>19.11347123025843</v>
      </c>
      <c r="AR60" s="277">
        <v>30.821513009476508</v>
      </c>
      <c r="AS60" s="277">
        <v>15.098568491082387</v>
      </c>
      <c r="AT60" s="277">
        <v>21.468851366922078</v>
      </c>
      <c r="AU60" s="277">
        <v>0</v>
      </c>
      <c r="AV60" s="277">
        <v>18.564863011155499</v>
      </c>
      <c r="AW60" s="277">
        <v>0</v>
      </c>
      <c r="AX60" s="277">
        <v>0</v>
      </c>
      <c r="AY60" s="277">
        <v>0</v>
      </c>
      <c r="AZ60" s="277">
        <v>0</v>
      </c>
      <c r="BA60" s="277">
        <v>0</v>
      </c>
      <c r="BB60" s="277">
        <v>0</v>
      </c>
      <c r="BC60" s="277">
        <v>0</v>
      </c>
      <c r="BD60" s="277">
        <v>0</v>
      </c>
      <c r="BE60" s="277">
        <v>0</v>
      </c>
      <c r="BF60" s="277">
        <v>0</v>
      </c>
      <c r="BG60" s="277">
        <v>0</v>
      </c>
      <c r="BH60" s="277">
        <v>0</v>
      </c>
      <c r="BI60" s="277">
        <v>0</v>
      </c>
      <c r="BJ60" s="277">
        <v>0</v>
      </c>
      <c r="BK60" s="277">
        <v>0</v>
      </c>
      <c r="BL60" s="277">
        <v>0</v>
      </c>
      <c r="BM60" s="277">
        <v>0</v>
      </c>
      <c r="BN60" s="277">
        <v>0</v>
      </c>
      <c r="BO60" s="277">
        <v>0</v>
      </c>
      <c r="BP60" s="277">
        <v>0</v>
      </c>
      <c r="BQ60" s="277">
        <v>0</v>
      </c>
      <c r="BR60" s="277">
        <v>0</v>
      </c>
      <c r="BS60" s="277">
        <v>0</v>
      </c>
      <c r="BT60" s="277">
        <v>0</v>
      </c>
      <c r="BU60" s="277">
        <v>0</v>
      </c>
      <c r="BV60" s="277">
        <v>0</v>
      </c>
      <c r="BW60" s="277">
        <v>0</v>
      </c>
      <c r="BX60" s="277">
        <v>0</v>
      </c>
      <c r="BY60" s="277">
        <v>0</v>
      </c>
      <c r="BZ60" s="277">
        <v>0</v>
      </c>
      <c r="CA60" s="277">
        <v>0</v>
      </c>
      <c r="CB60" s="277">
        <v>0</v>
      </c>
      <c r="CC60" s="277">
        <v>0</v>
      </c>
      <c r="CD60" s="209" t="s">
        <v>247</v>
      </c>
      <c r="CE60" s="227">
        <v>3225.4996933937659</v>
      </c>
    </row>
    <row r="61" spans="1:84" x14ac:dyDescent="0.25">
      <c r="A61" s="31" t="s">
        <v>262</v>
      </c>
      <c r="B61" s="16"/>
      <c r="C61" s="273">
        <v>66624358.029999979</v>
      </c>
      <c r="D61" s="273">
        <v>6892682.8599999985</v>
      </c>
      <c r="E61" s="273">
        <v>31720387.140000001</v>
      </c>
      <c r="F61" s="273">
        <v>5182534.8800000008</v>
      </c>
      <c r="G61" s="273">
        <v>0</v>
      </c>
      <c r="H61" s="273">
        <v>6575222.6099999985</v>
      </c>
      <c r="I61" s="273">
        <v>0</v>
      </c>
      <c r="J61" s="273">
        <v>0</v>
      </c>
      <c r="K61" s="273">
        <v>0</v>
      </c>
      <c r="L61" s="273">
        <v>0</v>
      </c>
      <c r="M61" s="273">
        <v>0</v>
      </c>
      <c r="N61" s="273">
        <v>0</v>
      </c>
      <c r="O61" s="273">
        <v>14315715.310000002</v>
      </c>
      <c r="P61" s="273">
        <v>32498354.93999999</v>
      </c>
      <c r="Q61" s="273">
        <v>0</v>
      </c>
      <c r="R61" s="273">
        <v>21805752.370000005</v>
      </c>
      <c r="S61" s="273">
        <v>4181701.0900000003</v>
      </c>
      <c r="T61" s="273">
        <v>9790595.4499999993</v>
      </c>
      <c r="U61" s="273">
        <v>21508505.159999996</v>
      </c>
      <c r="V61" s="273">
        <v>0</v>
      </c>
      <c r="W61" s="273">
        <v>7954267.9400000013</v>
      </c>
      <c r="X61" s="273">
        <v>3274819.3100000005</v>
      </c>
      <c r="Y61" s="273">
        <v>7927185.0899999989</v>
      </c>
      <c r="Z61" s="273">
        <v>11299479.670000004</v>
      </c>
      <c r="AA61" s="273">
        <v>716688.61</v>
      </c>
      <c r="AB61" s="273">
        <v>18381871.760000005</v>
      </c>
      <c r="AC61" s="273">
        <v>6359283.7100000009</v>
      </c>
      <c r="AD61" s="273">
        <v>0</v>
      </c>
      <c r="AE61" s="273">
        <v>2934160.5200000005</v>
      </c>
      <c r="AF61" s="273">
        <v>0</v>
      </c>
      <c r="AG61" s="273">
        <v>30157200.120000005</v>
      </c>
      <c r="AH61" s="273">
        <v>0</v>
      </c>
      <c r="AI61" s="273">
        <v>3727496.3100000005</v>
      </c>
      <c r="AJ61" s="273">
        <v>27137198.339999992</v>
      </c>
      <c r="AK61" s="273">
        <v>0</v>
      </c>
      <c r="AL61" s="273">
        <v>926564.76</v>
      </c>
      <c r="AM61" s="273">
        <v>0</v>
      </c>
      <c r="AN61" s="273">
        <v>0</v>
      </c>
      <c r="AO61" s="273">
        <v>0</v>
      </c>
      <c r="AP61" s="273">
        <v>0</v>
      </c>
      <c r="AQ61" s="273">
        <v>0</v>
      </c>
      <c r="AR61" s="273">
        <v>0</v>
      </c>
      <c r="AS61" s="273">
        <v>0</v>
      </c>
      <c r="AT61" s="273">
        <v>0</v>
      </c>
      <c r="AU61" s="273">
        <v>0</v>
      </c>
      <c r="AV61" s="273">
        <v>33406299.419999998</v>
      </c>
      <c r="AW61" s="273">
        <v>16483000.769999998</v>
      </c>
      <c r="AX61" s="273">
        <v>0</v>
      </c>
      <c r="AY61" s="273">
        <v>1009535.16</v>
      </c>
      <c r="AZ61" s="273">
        <v>0</v>
      </c>
      <c r="BA61" s="273">
        <v>0</v>
      </c>
      <c r="BB61" s="273">
        <v>3026718.6199999992</v>
      </c>
      <c r="BC61" s="273">
        <v>1581727.2</v>
      </c>
      <c r="BD61" s="273">
        <v>564614.51</v>
      </c>
      <c r="BE61" s="273">
        <v>1090863.0499999998</v>
      </c>
      <c r="BF61" s="273">
        <v>1211588.1799999997</v>
      </c>
      <c r="BG61" s="273">
        <v>0</v>
      </c>
      <c r="BH61" s="273">
        <v>0</v>
      </c>
      <c r="BI61" s="273">
        <v>0</v>
      </c>
      <c r="BJ61" s="273">
        <v>0</v>
      </c>
      <c r="BK61" s="273">
        <v>0</v>
      </c>
      <c r="BL61" s="273">
        <v>1806423.17</v>
      </c>
      <c r="BM61" s="273">
        <v>0</v>
      </c>
      <c r="BN61" s="273">
        <v>6058719.2399999993</v>
      </c>
      <c r="BO61" s="273">
        <v>0</v>
      </c>
      <c r="BP61" s="273">
        <v>0</v>
      </c>
      <c r="BQ61" s="273">
        <v>0</v>
      </c>
      <c r="BR61" s="273">
        <v>0</v>
      </c>
      <c r="BS61" s="273">
        <v>0</v>
      </c>
      <c r="BT61" s="273">
        <v>0</v>
      </c>
      <c r="BU61" s="273">
        <v>0</v>
      </c>
      <c r="BV61" s="273">
        <v>0</v>
      </c>
      <c r="BW61" s="273">
        <v>0</v>
      </c>
      <c r="BX61" s="273">
        <v>4227358.0199999996</v>
      </c>
      <c r="BY61" s="273">
        <v>2947985.0599999987</v>
      </c>
      <c r="BZ61" s="273">
        <v>3838808.6200000006</v>
      </c>
      <c r="CA61" s="273">
        <v>0</v>
      </c>
      <c r="CB61" s="273">
        <v>0</v>
      </c>
      <c r="CC61" s="273">
        <v>2697526.3600000008</v>
      </c>
      <c r="CD61" s="24" t="s">
        <v>247</v>
      </c>
      <c r="CE61" s="25">
        <v>421843193.35999995</v>
      </c>
      <c r="CF61" s="11">
        <v>421843193.3599999</v>
      </c>
    </row>
    <row r="62" spans="1:84" x14ac:dyDescent="0.25">
      <c r="A62" s="31" t="s">
        <v>10</v>
      </c>
      <c r="B62" s="16"/>
      <c r="C62" s="25">
        <v>13060774</v>
      </c>
      <c r="D62" s="25">
        <v>1235484</v>
      </c>
      <c r="E62" s="25">
        <v>5500682</v>
      </c>
      <c r="F62" s="25">
        <v>1128643</v>
      </c>
      <c r="G62" s="25">
        <v>0</v>
      </c>
      <c r="H62" s="25">
        <v>1401393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1973728</v>
      </c>
      <c r="P62" s="25">
        <v>6584960</v>
      </c>
      <c r="Q62" s="25">
        <v>0</v>
      </c>
      <c r="R62" s="25">
        <v>3508519</v>
      </c>
      <c r="S62" s="25">
        <v>1177540</v>
      </c>
      <c r="T62" s="25">
        <v>1663709</v>
      </c>
      <c r="U62" s="25">
        <v>6965130</v>
      </c>
      <c r="V62" s="25">
        <v>0</v>
      </c>
      <c r="W62" s="25">
        <v>1521812</v>
      </c>
      <c r="X62" s="25">
        <v>674680</v>
      </c>
      <c r="Y62" s="25">
        <v>1630820</v>
      </c>
      <c r="Z62" s="25">
        <v>1679686</v>
      </c>
      <c r="AA62" s="25">
        <v>140345</v>
      </c>
      <c r="AB62" s="25">
        <v>4075326</v>
      </c>
      <c r="AC62" s="25">
        <v>1491031</v>
      </c>
      <c r="AD62" s="25">
        <v>0</v>
      </c>
      <c r="AE62" s="25">
        <v>721696</v>
      </c>
      <c r="AF62" s="25">
        <v>0</v>
      </c>
      <c r="AG62" s="25">
        <v>5201912</v>
      </c>
      <c r="AH62" s="25">
        <v>0</v>
      </c>
      <c r="AI62" s="25">
        <v>690254</v>
      </c>
      <c r="AJ62" s="25">
        <v>4522899</v>
      </c>
      <c r="AK62" s="25">
        <v>0</v>
      </c>
      <c r="AL62" s="25">
        <v>196628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4858313</v>
      </c>
      <c r="AW62" s="25">
        <v>3421066</v>
      </c>
      <c r="AX62" s="25">
        <v>0</v>
      </c>
      <c r="AY62" s="25">
        <v>319997</v>
      </c>
      <c r="AZ62" s="25">
        <v>0</v>
      </c>
      <c r="BA62" s="25">
        <v>0</v>
      </c>
      <c r="BB62" s="25">
        <v>661427</v>
      </c>
      <c r="BC62" s="25">
        <v>397175</v>
      </c>
      <c r="BD62" s="25">
        <v>213426</v>
      </c>
      <c r="BE62" s="25">
        <v>262833</v>
      </c>
      <c r="BF62" s="25">
        <v>473812</v>
      </c>
      <c r="BG62" s="25">
        <v>0</v>
      </c>
      <c r="BH62" s="25">
        <v>0</v>
      </c>
      <c r="BI62" s="25">
        <v>0</v>
      </c>
      <c r="BJ62" s="25">
        <v>0</v>
      </c>
      <c r="BK62" s="25">
        <v>0</v>
      </c>
      <c r="BL62" s="25">
        <v>511986</v>
      </c>
      <c r="BM62" s="25">
        <v>0</v>
      </c>
      <c r="BN62" s="25">
        <v>365282</v>
      </c>
      <c r="BO62" s="25">
        <v>0</v>
      </c>
      <c r="BP62" s="25">
        <v>0</v>
      </c>
      <c r="BQ62" s="25">
        <v>0</v>
      </c>
      <c r="BR62" s="25">
        <v>0</v>
      </c>
      <c r="BS62" s="25">
        <v>0</v>
      </c>
      <c r="BT62" s="25">
        <v>0</v>
      </c>
      <c r="BU62" s="25">
        <v>0</v>
      </c>
      <c r="BV62" s="25">
        <v>0</v>
      </c>
      <c r="BW62" s="25">
        <v>0</v>
      </c>
      <c r="BX62" s="25">
        <v>797629</v>
      </c>
      <c r="BY62" s="25">
        <v>472512</v>
      </c>
      <c r="BZ62" s="25">
        <v>545816</v>
      </c>
      <c r="CA62" s="25">
        <v>0</v>
      </c>
      <c r="CB62" s="25">
        <v>0</v>
      </c>
      <c r="CC62" s="25">
        <v>411818</v>
      </c>
      <c r="CD62" s="24" t="s">
        <v>247</v>
      </c>
      <c r="CE62" s="25">
        <v>80460743</v>
      </c>
      <c r="CF62" s="11">
        <v>80460743.289999917</v>
      </c>
    </row>
    <row r="63" spans="1:84" x14ac:dyDescent="0.25">
      <c r="A63" s="31" t="s">
        <v>263</v>
      </c>
      <c r="B63" s="16"/>
      <c r="C63" s="273">
        <v>125225.31</v>
      </c>
      <c r="D63" s="273">
        <v>0</v>
      </c>
      <c r="E63" s="273">
        <v>0</v>
      </c>
      <c r="F63" s="273">
        <v>285624.95999999996</v>
      </c>
      <c r="G63" s="273">
        <v>0</v>
      </c>
      <c r="H63" s="273">
        <v>1137426.96</v>
      </c>
      <c r="I63" s="273">
        <v>0</v>
      </c>
      <c r="J63" s="273">
        <v>0</v>
      </c>
      <c r="K63" s="273">
        <v>0</v>
      </c>
      <c r="L63" s="273">
        <v>0</v>
      </c>
      <c r="M63" s="273">
        <v>0</v>
      </c>
      <c r="N63" s="273">
        <v>0</v>
      </c>
      <c r="O63" s="273">
        <v>1148514.95</v>
      </c>
      <c r="P63" s="273">
        <v>17426682.609999999</v>
      </c>
      <c r="Q63" s="273">
        <v>0</v>
      </c>
      <c r="R63" s="273">
        <v>0</v>
      </c>
      <c r="S63" s="273">
        <v>7060</v>
      </c>
      <c r="T63" s="273">
        <v>129.13</v>
      </c>
      <c r="U63" s="273">
        <v>35626</v>
      </c>
      <c r="V63" s="273">
        <v>60</v>
      </c>
      <c r="W63" s="273">
        <v>0</v>
      </c>
      <c r="X63" s="273">
        <v>0</v>
      </c>
      <c r="Y63" s="273">
        <v>321215.59000000003</v>
      </c>
      <c r="Z63" s="273">
        <v>31782.74</v>
      </c>
      <c r="AA63" s="273">
        <v>0</v>
      </c>
      <c r="AB63" s="273">
        <v>0</v>
      </c>
      <c r="AC63" s="273">
        <v>0</v>
      </c>
      <c r="AD63" s="273">
        <v>0</v>
      </c>
      <c r="AE63" s="273">
        <v>0</v>
      </c>
      <c r="AF63" s="273">
        <v>0</v>
      </c>
      <c r="AG63" s="273">
        <v>6092672.080000001</v>
      </c>
      <c r="AH63" s="273">
        <v>0</v>
      </c>
      <c r="AI63" s="273">
        <v>0</v>
      </c>
      <c r="AJ63" s="273">
        <v>129.13</v>
      </c>
      <c r="AK63" s="273">
        <v>0</v>
      </c>
      <c r="AL63" s="273">
        <v>0</v>
      </c>
      <c r="AM63" s="273">
        <v>0</v>
      </c>
      <c r="AN63" s="273">
        <v>0</v>
      </c>
      <c r="AO63" s="273">
        <v>0</v>
      </c>
      <c r="AP63" s="273">
        <v>0</v>
      </c>
      <c r="AQ63" s="273">
        <v>0</v>
      </c>
      <c r="AR63" s="273">
        <v>0</v>
      </c>
      <c r="AS63" s="273">
        <v>0</v>
      </c>
      <c r="AT63" s="273">
        <v>0</v>
      </c>
      <c r="AU63" s="273">
        <v>0</v>
      </c>
      <c r="AV63" s="273">
        <v>2509005.1399999997</v>
      </c>
      <c r="AW63" s="273">
        <v>7904.9299999999994</v>
      </c>
      <c r="AX63" s="273">
        <v>0</v>
      </c>
      <c r="AY63" s="273">
        <v>0</v>
      </c>
      <c r="AZ63" s="273">
        <v>0</v>
      </c>
      <c r="BA63" s="273">
        <v>0</v>
      </c>
      <c r="BB63" s="273">
        <v>2440</v>
      </c>
      <c r="BC63" s="273">
        <v>0</v>
      </c>
      <c r="BD63" s="273">
        <v>0</v>
      </c>
      <c r="BE63" s="273">
        <v>9355</v>
      </c>
      <c r="BF63" s="273">
        <v>0</v>
      </c>
      <c r="BG63" s="273">
        <v>0</v>
      </c>
      <c r="BH63" s="273">
        <v>0</v>
      </c>
      <c r="BI63" s="273">
        <v>0</v>
      </c>
      <c r="BJ63" s="273">
        <v>0</v>
      </c>
      <c r="BK63" s="273">
        <v>0</v>
      </c>
      <c r="BL63" s="273">
        <v>0</v>
      </c>
      <c r="BM63" s="273">
        <v>0</v>
      </c>
      <c r="BN63" s="273">
        <v>35384.520000000004</v>
      </c>
      <c r="BO63" s="273">
        <v>0</v>
      </c>
      <c r="BP63" s="273">
        <v>0</v>
      </c>
      <c r="BQ63" s="273">
        <v>0</v>
      </c>
      <c r="BR63" s="273">
        <v>0</v>
      </c>
      <c r="BS63" s="273">
        <v>0</v>
      </c>
      <c r="BT63" s="273">
        <v>0</v>
      </c>
      <c r="BU63" s="273">
        <v>0</v>
      </c>
      <c r="BV63" s="273">
        <v>0</v>
      </c>
      <c r="BW63" s="273">
        <v>0</v>
      </c>
      <c r="BX63" s="273">
        <v>0</v>
      </c>
      <c r="BY63" s="273">
        <v>-12000</v>
      </c>
      <c r="BZ63" s="273">
        <v>0</v>
      </c>
      <c r="CA63" s="273">
        <v>0</v>
      </c>
      <c r="CB63" s="273">
        <v>0</v>
      </c>
      <c r="CC63" s="273">
        <v>12246349.909999998</v>
      </c>
      <c r="CD63" s="24" t="s">
        <v>247</v>
      </c>
      <c r="CE63" s="25">
        <v>41410588.959999993</v>
      </c>
      <c r="CF63" s="11">
        <v>41410588.960000001</v>
      </c>
    </row>
    <row r="64" spans="1:84" x14ac:dyDescent="0.25">
      <c r="A64" s="31" t="s">
        <v>264</v>
      </c>
      <c r="B64" s="16"/>
      <c r="C64" s="273">
        <v>7911709.3900000025</v>
      </c>
      <c r="D64" s="273">
        <v>453358.52999999991</v>
      </c>
      <c r="E64" s="273">
        <v>2451321.23</v>
      </c>
      <c r="F64" s="273">
        <v>341121.59</v>
      </c>
      <c r="G64" s="273">
        <v>0</v>
      </c>
      <c r="H64" s="273">
        <v>165377.93</v>
      </c>
      <c r="I64" s="273">
        <v>0</v>
      </c>
      <c r="J64" s="273">
        <v>0</v>
      </c>
      <c r="K64" s="273">
        <v>0</v>
      </c>
      <c r="L64" s="273">
        <v>0</v>
      </c>
      <c r="M64" s="273">
        <v>0</v>
      </c>
      <c r="N64" s="273">
        <v>0</v>
      </c>
      <c r="O64" s="273">
        <v>1997584.5999999999</v>
      </c>
      <c r="P64" s="273">
        <v>79231469.590000018</v>
      </c>
      <c r="Q64" s="273">
        <v>0</v>
      </c>
      <c r="R64" s="273">
        <v>1090598.7099999993</v>
      </c>
      <c r="S64" s="273">
        <v>1703452.4099999997</v>
      </c>
      <c r="T64" s="273">
        <v>20125383.759999998</v>
      </c>
      <c r="U64" s="273">
        <v>24798255.52</v>
      </c>
      <c r="V64" s="273">
        <v>101.29</v>
      </c>
      <c r="W64" s="273">
        <v>1252453.6099999999</v>
      </c>
      <c r="X64" s="273">
        <v>965496.86</v>
      </c>
      <c r="Y64" s="273">
        <v>26095785.790000007</v>
      </c>
      <c r="Z64" s="273">
        <v>7433331.6500000004</v>
      </c>
      <c r="AA64" s="273">
        <v>614771.27</v>
      </c>
      <c r="AB64" s="273">
        <v>115500378.41999997</v>
      </c>
      <c r="AC64" s="273">
        <v>1776355.94</v>
      </c>
      <c r="AD64" s="273">
        <v>25197.63</v>
      </c>
      <c r="AE64" s="273">
        <v>7506.7899999999991</v>
      </c>
      <c r="AF64" s="273">
        <v>0</v>
      </c>
      <c r="AG64" s="273">
        <v>4364522.3500000006</v>
      </c>
      <c r="AH64" s="273">
        <v>0</v>
      </c>
      <c r="AI64" s="273">
        <v>416647.43000000011</v>
      </c>
      <c r="AJ64" s="273">
        <v>1839209.74</v>
      </c>
      <c r="AK64" s="273">
        <v>3.92</v>
      </c>
      <c r="AL64" s="273">
        <v>15897.310000000003</v>
      </c>
      <c r="AM64" s="273">
        <v>0</v>
      </c>
      <c r="AN64" s="273">
        <v>0</v>
      </c>
      <c r="AO64" s="273">
        <v>0</v>
      </c>
      <c r="AP64" s="273">
        <v>0</v>
      </c>
      <c r="AQ64" s="273">
        <v>0</v>
      </c>
      <c r="AR64" s="273">
        <v>0</v>
      </c>
      <c r="AS64" s="273">
        <v>0</v>
      </c>
      <c r="AT64" s="273">
        <v>0</v>
      </c>
      <c r="AU64" s="273">
        <v>0</v>
      </c>
      <c r="AV64" s="273">
        <v>3495426.2699999977</v>
      </c>
      <c r="AW64" s="273">
        <v>20410.18</v>
      </c>
      <c r="AX64" s="273">
        <v>0</v>
      </c>
      <c r="AY64" s="273">
        <v>443268.17</v>
      </c>
      <c r="AZ64" s="273">
        <v>0</v>
      </c>
      <c r="BA64" s="273">
        <v>0</v>
      </c>
      <c r="BB64" s="273">
        <v>6717.2500000000009</v>
      </c>
      <c r="BC64" s="273">
        <v>14539.220000000001</v>
      </c>
      <c r="BD64" s="273">
        <v>72192.95</v>
      </c>
      <c r="BE64" s="273">
        <v>16128.619999999999</v>
      </c>
      <c r="BF64" s="273">
        <v>117254.57</v>
      </c>
      <c r="BG64" s="273">
        <v>0</v>
      </c>
      <c r="BH64" s="273">
        <v>0</v>
      </c>
      <c r="BI64" s="273">
        <v>0</v>
      </c>
      <c r="BJ64" s="273">
        <v>0</v>
      </c>
      <c r="BK64" s="273">
        <v>0</v>
      </c>
      <c r="BL64" s="273">
        <v>33198.230000000003</v>
      </c>
      <c r="BM64" s="273">
        <v>0</v>
      </c>
      <c r="BN64" s="273">
        <v>181050.61</v>
      </c>
      <c r="BO64" s="273">
        <v>0</v>
      </c>
      <c r="BP64" s="273">
        <v>0</v>
      </c>
      <c r="BQ64" s="273">
        <v>0</v>
      </c>
      <c r="BR64" s="273">
        <v>0</v>
      </c>
      <c r="BS64" s="273">
        <v>0</v>
      </c>
      <c r="BT64" s="273">
        <v>0</v>
      </c>
      <c r="BU64" s="273">
        <v>0</v>
      </c>
      <c r="BV64" s="273">
        <v>0</v>
      </c>
      <c r="BW64" s="273">
        <v>0</v>
      </c>
      <c r="BX64" s="273">
        <v>6917.5700000000006</v>
      </c>
      <c r="BY64" s="273">
        <v>62207.33</v>
      </c>
      <c r="BZ64" s="273">
        <v>3435.37</v>
      </c>
      <c r="CA64" s="273">
        <v>0</v>
      </c>
      <c r="CB64" s="273">
        <v>0</v>
      </c>
      <c r="CC64" s="273">
        <v>245112.41</v>
      </c>
      <c r="CD64" s="24" t="s">
        <v>247</v>
      </c>
      <c r="CE64" s="25">
        <v>305295152.01000017</v>
      </c>
      <c r="CF64" s="11">
        <v>305295152.01000041</v>
      </c>
    </row>
    <row r="65" spans="1:84" x14ac:dyDescent="0.25">
      <c r="A65" s="31" t="s">
        <v>265</v>
      </c>
      <c r="B65" s="16"/>
      <c r="C65" s="273">
        <v>0</v>
      </c>
      <c r="D65" s="273">
        <v>0</v>
      </c>
      <c r="E65" s="273">
        <v>0</v>
      </c>
      <c r="F65" s="273">
        <v>0</v>
      </c>
      <c r="G65" s="273">
        <v>0</v>
      </c>
      <c r="H65" s="273">
        <v>0</v>
      </c>
      <c r="I65" s="273">
        <v>0</v>
      </c>
      <c r="J65" s="273">
        <v>0</v>
      </c>
      <c r="K65" s="273">
        <v>0</v>
      </c>
      <c r="L65" s="273">
        <v>0</v>
      </c>
      <c r="M65" s="273">
        <v>0</v>
      </c>
      <c r="N65" s="273">
        <v>0</v>
      </c>
      <c r="O65" s="273">
        <v>0</v>
      </c>
      <c r="P65" s="273">
        <v>0</v>
      </c>
      <c r="Q65" s="273">
        <v>0</v>
      </c>
      <c r="R65" s="273">
        <v>0</v>
      </c>
      <c r="S65" s="273">
        <v>0</v>
      </c>
      <c r="T65" s="273">
        <v>0</v>
      </c>
      <c r="U65" s="273">
        <v>0</v>
      </c>
      <c r="V65" s="273">
        <v>0</v>
      </c>
      <c r="W65" s="273">
        <v>0</v>
      </c>
      <c r="X65" s="273">
        <v>0</v>
      </c>
      <c r="Y65" s="273">
        <v>0</v>
      </c>
      <c r="Z65" s="273">
        <v>0</v>
      </c>
      <c r="AA65" s="273">
        <v>0</v>
      </c>
      <c r="AB65" s="273">
        <v>0</v>
      </c>
      <c r="AC65" s="273">
        <v>0</v>
      </c>
      <c r="AD65" s="273">
        <v>0</v>
      </c>
      <c r="AE65" s="273">
        <v>0</v>
      </c>
      <c r="AF65" s="273">
        <v>0</v>
      </c>
      <c r="AG65" s="273">
        <v>0</v>
      </c>
      <c r="AH65" s="273">
        <v>0</v>
      </c>
      <c r="AI65" s="273">
        <v>0</v>
      </c>
      <c r="AJ65" s="273">
        <v>0</v>
      </c>
      <c r="AK65" s="273">
        <v>0</v>
      </c>
      <c r="AL65" s="273">
        <v>0</v>
      </c>
      <c r="AM65" s="273">
        <v>0</v>
      </c>
      <c r="AN65" s="273">
        <v>0</v>
      </c>
      <c r="AO65" s="273">
        <v>0</v>
      </c>
      <c r="AP65" s="273">
        <v>0</v>
      </c>
      <c r="AQ65" s="273">
        <v>0</v>
      </c>
      <c r="AR65" s="273">
        <v>0</v>
      </c>
      <c r="AS65" s="273">
        <v>0</v>
      </c>
      <c r="AT65" s="273">
        <v>0</v>
      </c>
      <c r="AU65" s="273">
        <v>0</v>
      </c>
      <c r="AV65" s="273">
        <v>0</v>
      </c>
      <c r="AW65" s="273">
        <v>0</v>
      </c>
      <c r="AX65" s="273">
        <v>0</v>
      </c>
      <c r="AY65" s="273">
        <v>0</v>
      </c>
      <c r="AZ65" s="273">
        <v>0</v>
      </c>
      <c r="BA65" s="273">
        <v>0</v>
      </c>
      <c r="BB65" s="273">
        <v>0</v>
      </c>
      <c r="BC65" s="273">
        <v>0</v>
      </c>
      <c r="BD65" s="273">
        <v>0</v>
      </c>
      <c r="BE65" s="273">
        <v>0</v>
      </c>
      <c r="BF65" s="273">
        <v>0</v>
      </c>
      <c r="BG65" s="273">
        <v>0</v>
      </c>
      <c r="BH65" s="273">
        <v>0</v>
      </c>
      <c r="BI65" s="273">
        <v>0</v>
      </c>
      <c r="BJ65" s="273">
        <v>0</v>
      </c>
      <c r="BK65" s="273">
        <v>0</v>
      </c>
      <c r="BL65" s="273">
        <v>0</v>
      </c>
      <c r="BM65" s="273">
        <v>0</v>
      </c>
      <c r="BN65" s="273">
        <v>0</v>
      </c>
      <c r="BO65" s="273">
        <v>0</v>
      </c>
      <c r="BP65" s="273">
        <v>0</v>
      </c>
      <c r="BQ65" s="273">
        <v>0</v>
      </c>
      <c r="BR65" s="273">
        <v>0</v>
      </c>
      <c r="BS65" s="273">
        <v>0</v>
      </c>
      <c r="BT65" s="273">
        <v>0</v>
      </c>
      <c r="BU65" s="273">
        <v>0</v>
      </c>
      <c r="BV65" s="273">
        <v>0</v>
      </c>
      <c r="BW65" s="273">
        <v>0</v>
      </c>
      <c r="BX65" s="273">
        <v>0</v>
      </c>
      <c r="BY65" s="273">
        <v>0</v>
      </c>
      <c r="BZ65" s="273">
        <v>0</v>
      </c>
      <c r="CA65" s="273">
        <v>0</v>
      </c>
      <c r="CB65" s="273">
        <v>0</v>
      </c>
      <c r="CC65" s="273">
        <v>0</v>
      </c>
      <c r="CD65" s="24" t="s">
        <v>247</v>
      </c>
      <c r="CE65" s="25">
        <v>0</v>
      </c>
      <c r="CF65" s="11">
        <v>0</v>
      </c>
    </row>
    <row r="66" spans="1:84" x14ac:dyDescent="0.25">
      <c r="A66" s="31" t="s">
        <v>266</v>
      </c>
      <c r="B66" s="16"/>
      <c r="C66" s="273">
        <v>1616483.4300000004</v>
      </c>
      <c r="D66" s="273">
        <v>248829.06</v>
      </c>
      <c r="E66" s="273">
        <v>422768.38000000006</v>
      </c>
      <c r="F66" s="273">
        <v>518565.75999999995</v>
      </c>
      <c r="G66" s="273">
        <v>0</v>
      </c>
      <c r="H66" s="273">
        <v>1895407.75</v>
      </c>
      <c r="I66" s="273">
        <v>0</v>
      </c>
      <c r="J66" s="273">
        <v>0</v>
      </c>
      <c r="K66" s="273">
        <v>0</v>
      </c>
      <c r="L66" s="273">
        <v>0</v>
      </c>
      <c r="M66" s="273">
        <v>0</v>
      </c>
      <c r="N66" s="273">
        <v>0</v>
      </c>
      <c r="O66" s="273">
        <v>204502.36</v>
      </c>
      <c r="P66" s="273">
        <v>-19253643.709999997</v>
      </c>
      <c r="Q66" s="273">
        <v>0</v>
      </c>
      <c r="R66" s="273">
        <v>-760014.68999999983</v>
      </c>
      <c r="S66" s="273">
        <v>1748280.5</v>
      </c>
      <c r="T66" s="273">
        <v>1242982.1599999999</v>
      </c>
      <c r="U66" s="273">
        <v>97372725.230000019</v>
      </c>
      <c r="V66" s="273">
        <v>0</v>
      </c>
      <c r="W66" s="273">
        <v>-471207.10999999993</v>
      </c>
      <c r="X66" s="273">
        <v>-345282.24000000005</v>
      </c>
      <c r="Y66" s="273">
        <v>-579764.81000000075</v>
      </c>
      <c r="Z66" s="273">
        <v>8112631.3299999982</v>
      </c>
      <c r="AA66" s="273">
        <v>-138870.60999999999</v>
      </c>
      <c r="AB66" s="273">
        <v>11299346.739999995</v>
      </c>
      <c r="AC66" s="273">
        <v>44408.029999999992</v>
      </c>
      <c r="AD66" s="273">
        <v>2509545.12</v>
      </c>
      <c r="AE66" s="273">
        <v>-572.80999999999995</v>
      </c>
      <c r="AF66" s="273">
        <v>0</v>
      </c>
      <c r="AG66" s="273">
        <v>11181656.970000001</v>
      </c>
      <c r="AH66" s="273">
        <v>0</v>
      </c>
      <c r="AI66" s="273">
        <v>118104.53</v>
      </c>
      <c r="AJ66" s="273">
        <v>-2881164.7400000026</v>
      </c>
      <c r="AK66" s="273">
        <v>56988.020000000004</v>
      </c>
      <c r="AL66" s="273">
        <v>0</v>
      </c>
      <c r="AM66" s="273">
        <v>0</v>
      </c>
      <c r="AN66" s="273">
        <v>0</v>
      </c>
      <c r="AO66" s="273">
        <v>0</v>
      </c>
      <c r="AP66" s="273">
        <v>0</v>
      </c>
      <c r="AQ66" s="273">
        <v>0</v>
      </c>
      <c r="AR66" s="273">
        <v>0</v>
      </c>
      <c r="AS66" s="273">
        <v>0</v>
      </c>
      <c r="AT66" s="273">
        <v>0</v>
      </c>
      <c r="AU66" s="273">
        <v>0</v>
      </c>
      <c r="AV66" s="273">
        <v>2217464.56</v>
      </c>
      <c r="AW66" s="273">
        <v>-3968478.5</v>
      </c>
      <c r="AX66" s="273">
        <v>0</v>
      </c>
      <c r="AY66" s="273">
        <v>14475.150000000001</v>
      </c>
      <c r="AZ66" s="273">
        <v>0</v>
      </c>
      <c r="BA66" s="273">
        <v>0</v>
      </c>
      <c r="BB66" s="273">
        <v>3612.24</v>
      </c>
      <c r="BC66" s="273">
        <v>718.49</v>
      </c>
      <c r="BD66" s="273">
        <v>49146.62</v>
      </c>
      <c r="BE66" s="273">
        <v>1245496.0800000003</v>
      </c>
      <c r="BF66" s="273">
        <v>22982.32</v>
      </c>
      <c r="BG66" s="273">
        <v>0</v>
      </c>
      <c r="BH66" s="273">
        <v>0</v>
      </c>
      <c r="BI66" s="273">
        <v>0</v>
      </c>
      <c r="BJ66" s="273">
        <v>0</v>
      </c>
      <c r="BK66" s="273">
        <v>0</v>
      </c>
      <c r="BL66" s="273">
        <v>153.5</v>
      </c>
      <c r="BM66" s="273">
        <v>0</v>
      </c>
      <c r="BN66" s="273">
        <v>91172128.139999986</v>
      </c>
      <c r="BO66" s="273">
        <v>0</v>
      </c>
      <c r="BP66" s="273">
        <v>0</v>
      </c>
      <c r="BQ66" s="273">
        <v>0</v>
      </c>
      <c r="BR66" s="273">
        <v>0</v>
      </c>
      <c r="BS66" s="273">
        <v>0</v>
      </c>
      <c r="BT66" s="273">
        <v>0</v>
      </c>
      <c r="BU66" s="273">
        <v>0</v>
      </c>
      <c r="BV66" s="273">
        <v>0</v>
      </c>
      <c r="BW66" s="273">
        <v>0</v>
      </c>
      <c r="BX66" s="273">
        <v>30486.799999999999</v>
      </c>
      <c r="BY66" s="273">
        <v>771946.99999999988</v>
      </c>
      <c r="BZ66" s="273">
        <v>1836.3</v>
      </c>
      <c r="CA66" s="273">
        <v>0</v>
      </c>
      <c r="CB66" s="273">
        <v>0</v>
      </c>
      <c r="CC66" s="273">
        <v>130457249.27999997</v>
      </c>
      <c r="CD66" s="24" t="s">
        <v>247</v>
      </c>
      <c r="CE66" s="25">
        <v>336181922.63</v>
      </c>
      <c r="CF66" s="11">
        <v>336181922.62999952</v>
      </c>
    </row>
    <row r="67" spans="1:84" x14ac:dyDescent="0.25">
      <c r="A67" s="31" t="s">
        <v>15</v>
      </c>
      <c r="B67" s="16"/>
      <c r="C67" s="25">
        <v>2134372</v>
      </c>
      <c r="D67" s="25">
        <v>289030</v>
      </c>
      <c r="E67" s="25">
        <v>667640</v>
      </c>
      <c r="F67" s="25">
        <v>822</v>
      </c>
      <c r="G67" s="25">
        <v>0</v>
      </c>
      <c r="H67" s="25">
        <v>239828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837913</v>
      </c>
      <c r="P67" s="25">
        <v>3659608</v>
      </c>
      <c r="Q67" s="25">
        <v>0</v>
      </c>
      <c r="R67" s="25">
        <v>446210</v>
      </c>
      <c r="S67" s="25">
        <v>501105</v>
      </c>
      <c r="T67" s="25">
        <v>232372</v>
      </c>
      <c r="U67" s="25">
        <v>753795</v>
      </c>
      <c r="V67" s="25">
        <v>0</v>
      </c>
      <c r="W67" s="25">
        <v>878695</v>
      </c>
      <c r="X67" s="25">
        <v>305800</v>
      </c>
      <c r="Y67" s="25">
        <v>1065488</v>
      </c>
      <c r="Z67" s="25">
        <v>1114063</v>
      </c>
      <c r="AA67" s="25">
        <v>24147</v>
      </c>
      <c r="AB67" s="25">
        <v>630195</v>
      </c>
      <c r="AC67" s="25">
        <v>228318</v>
      </c>
      <c r="AD67" s="25">
        <v>4316</v>
      </c>
      <c r="AE67" s="25">
        <v>31714</v>
      </c>
      <c r="AF67" s="25">
        <v>0</v>
      </c>
      <c r="AG67" s="25">
        <v>1809809</v>
      </c>
      <c r="AH67" s="25">
        <v>0</v>
      </c>
      <c r="AI67" s="25">
        <v>162031</v>
      </c>
      <c r="AJ67" s="25">
        <v>1419162</v>
      </c>
      <c r="AK67" s="25">
        <v>52465</v>
      </c>
      <c r="AL67" s="25">
        <v>2000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927128</v>
      </c>
      <c r="AW67" s="25">
        <v>54023</v>
      </c>
      <c r="AX67" s="25">
        <v>0</v>
      </c>
      <c r="AY67" s="25">
        <v>152347</v>
      </c>
      <c r="AZ67" s="25">
        <v>0</v>
      </c>
      <c r="BA67" s="25">
        <v>0</v>
      </c>
      <c r="BB67" s="25">
        <v>10811</v>
      </c>
      <c r="BC67" s="25">
        <v>3209</v>
      </c>
      <c r="BD67" s="25">
        <v>30493</v>
      </c>
      <c r="BE67" s="25">
        <v>343462</v>
      </c>
      <c r="BF67" s="25">
        <v>32775</v>
      </c>
      <c r="BG67" s="25">
        <v>0</v>
      </c>
      <c r="BH67" s="25">
        <v>0</v>
      </c>
      <c r="BI67" s="25">
        <v>0</v>
      </c>
      <c r="BJ67" s="25">
        <v>0</v>
      </c>
      <c r="BK67" s="25">
        <v>0</v>
      </c>
      <c r="BL67" s="25">
        <v>21319</v>
      </c>
      <c r="BM67" s="25">
        <v>0</v>
      </c>
      <c r="BN67" s="25">
        <v>605793</v>
      </c>
      <c r="BO67" s="25">
        <v>0</v>
      </c>
      <c r="BP67" s="25">
        <v>0</v>
      </c>
      <c r="BQ67" s="25">
        <v>0</v>
      </c>
      <c r="BR67" s="25">
        <v>0</v>
      </c>
      <c r="BS67" s="25">
        <v>0</v>
      </c>
      <c r="BT67" s="25">
        <v>0</v>
      </c>
      <c r="BU67" s="25">
        <v>0</v>
      </c>
      <c r="BV67" s="25">
        <v>0</v>
      </c>
      <c r="BW67" s="25">
        <v>0</v>
      </c>
      <c r="BX67" s="25">
        <v>33431</v>
      </c>
      <c r="BY67" s="25">
        <v>54614</v>
      </c>
      <c r="BZ67" s="25">
        <v>21582</v>
      </c>
      <c r="CA67" s="25">
        <v>0</v>
      </c>
      <c r="CB67" s="25">
        <v>0</v>
      </c>
      <c r="CC67" s="25">
        <v>50109</v>
      </c>
      <c r="CD67" s="24" t="s">
        <v>247</v>
      </c>
      <c r="CE67" s="25">
        <v>19831994</v>
      </c>
      <c r="CF67" s="11">
        <v>19831991.549999993</v>
      </c>
    </row>
    <row r="68" spans="1:84" x14ac:dyDescent="0.25">
      <c r="A68" s="31" t="s">
        <v>267</v>
      </c>
      <c r="B68" s="25"/>
      <c r="C68" s="273">
        <v>249569.89999999997</v>
      </c>
      <c r="D68" s="273">
        <v>36976.6</v>
      </c>
      <c r="E68" s="273">
        <v>343267.33</v>
      </c>
      <c r="F68" s="273">
        <v>0</v>
      </c>
      <c r="G68" s="273">
        <v>0</v>
      </c>
      <c r="H68" s="273">
        <v>48634.15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37745.340000000004</v>
      </c>
      <c r="P68" s="273">
        <v>2541207.59</v>
      </c>
      <c r="Q68" s="273">
        <v>0</v>
      </c>
      <c r="R68" s="273">
        <v>13225.26</v>
      </c>
      <c r="S68" s="273">
        <v>0</v>
      </c>
      <c r="T68" s="273">
        <v>7331.49</v>
      </c>
      <c r="U68" s="273">
        <v>502226.49</v>
      </c>
      <c r="V68" s="273">
        <v>0</v>
      </c>
      <c r="W68" s="273">
        <v>161.44</v>
      </c>
      <c r="X68" s="273">
        <v>0</v>
      </c>
      <c r="Y68" s="273">
        <v>521869.82</v>
      </c>
      <c r="Z68" s="273">
        <v>359100.47</v>
      </c>
      <c r="AA68" s="273">
        <v>0</v>
      </c>
      <c r="AB68" s="273">
        <v>76149.540000000008</v>
      </c>
      <c r="AC68" s="273">
        <v>35340.06</v>
      </c>
      <c r="AD68" s="273">
        <v>0</v>
      </c>
      <c r="AE68" s="273">
        <v>0</v>
      </c>
      <c r="AF68" s="273">
        <v>0</v>
      </c>
      <c r="AG68" s="273">
        <v>1007726.8200000001</v>
      </c>
      <c r="AH68" s="273">
        <v>0</v>
      </c>
      <c r="AI68" s="273">
        <v>12690.79</v>
      </c>
      <c r="AJ68" s="273">
        <v>1123680.98</v>
      </c>
      <c r="AK68" s="273">
        <v>0</v>
      </c>
      <c r="AL68" s="273">
        <v>0</v>
      </c>
      <c r="AM68" s="273">
        <v>0</v>
      </c>
      <c r="AN68" s="273">
        <v>0</v>
      </c>
      <c r="AO68" s="273">
        <v>0</v>
      </c>
      <c r="AP68" s="273">
        <v>0</v>
      </c>
      <c r="AQ68" s="273">
        <v>0</v>
      </c>
      <c r="AR68" s="273">
        <v>0</v>
      </c>
      <c r="AS68" s="273">
        <v>0</v>
      </c>
      <c r="AT68" s="273">
        <v>0</v>
      </c>
      <c r="AU68" s="273">
        <v>0</v>
      </c>
      <c r="AV68" s="273">
        <v>195741.81</v>
      </c>
      <c r="AW68" s="273">
        <v>14280</v>
      </c>
      <c r="AX68" s="273">
        <v>0</v>
      </c>
      <c r="AY68" s="273">
        <v>0</v>
      </c>
      <c r="AZ68" s="273">
        <v>0</v>
      </c>
      <c r="BA68" s="273">
        <v>0</v>
      </c>
      <c r="BB68" s="273">
        <v>0</v>
      </c>
      <c r="BC68" s="273">
        <v>0</v>
      </c>
      <c r="BD68" s="273">
        <v>5354.73</v>
      </c>
      <c r="BE68" s="273">
        <v>0</v>
      </c>
      <c r="BF68" s="273">
        <v>0</v>
      </c>
      <c r="BG68" s="273">
        <v>0</v>
      </c>
      <c r="BH68" s="273">
        <v>0</v>
      </c>
      <c r="BI68" s="273">
        <v>0</v>
      </c>
      <c r="BJ68" s="273">
        <v>0</v>
      </c>
      <c r="BK68" s="273">
        <v>0</v>
      </c>
      <c r="BL68" s="273">
        <v>0</v>
      </c>
      <c r="BM68" s="273">
        <v>0</v>
      </c>
      <c r="BN68" s="273">
        <v>681138.83000000007</v>
      </c>
      <c r="BO68" s="273">
        <v>0</v>
      </c>
      <c r="BP68" s="273">
        <v>0</v>
      </c>
      <c r="BQ68" s="273">
        <v>0</v>
      </c>
      <c r="BR68" s="273">
        <v>0</v>
      </c>
      <c r="BS68" s="273">
        <v>0</v>
      </c>
      <c r="BT68" s="273">
        <v>0</v>
      </c>
      <c r="BU68" s="273">
        <v>0</v>
      </c>
      <c r="BV68" s="273">
        <v>0</v>
      </c>
      <c r="BW68" s="273">
        <v>0</v>
      </c>
      <c r="BX68" s="273">
        <v>0</v>
      </c>
      <c r="BY68" s="273">
        <v>-10496.25</v>
      </c>
      <c r="BZ68" s="273">
        <v>0</v>
      </c>
      <c r="CA68" s="273">
        <v>0</v>
      </c>
      <c r="CB68" s="273">
        <v>0</v>
      </c>
      <c r="CC68" s="273">
        <v>4874.04</v>
      </c>
      <c r="CD68" s="24" t="s">
        <v>247</v>
      </c>
      <c r="CE68" s="25">
        <v>7807797.2299999986</v>
      </c>
      <c r="CF68" s="11">
        <v>7807797.2300000032</v>
      </c>
    </row>
    <row r="69" spans="1:84" x14ac:dyDescent="0.25">
      <c r="A69" s="31" t="s">
        <v>268</v>
      </c>
      <c r="B69" s="16"/>
      <c r="C69" s="25">
        <v>2198692.9399999995</v>
      </c>
      <c r="D69" s="25">
        <v>183958.66</v>
      </c>
      <c r="E69" s="25">
        <v>897716.02</v>
      </c>
      <c r="F69" s="25">
        <v>116170.01</v>
      </c>
      <c r="G69" s="25">
        <v>0</v>
      </c>
      <c r="H69" s="25">
        <v>227863.59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550828.02</v>
      </c>
      <c r="P69" s="25">
        <v>2427431.8599999994</v>
      </c>
      <c r="Q69" s="25">
        <v>0</v>
      </c>
      <c r="R69" s="25">
        <v>550128.93999999994</v>
      </c>
      <c r="S69" s="25">
        <v>189243.36999999997</v>
      </c>
      <c r="T69" s="25">
        <v>561146.4</v>
      </c>
      <c r="U69" s="25">
        <v>1262981.0299999998</v>
      </c>
      <c r="V69" s="25">
        <v>-8.91</v>
      </c>
      <c r="W69" s="25">
        <v>319452.78999999998</v>
      </c>
      <c r="X69" s="25">
        <v>102566.80999999998</v>
      </c>
      <c r="Y69" s="25">
        <v>717667.7</v>
      </c>
      <c r="Z69" s="25">
        <v>606278.34000000008</v>
      </c>
      <c r="AA69" s="25">
        <v>32943.15</v>
      </c>
      <c r="AB69" s="25">
        <v>2279918.3699999996</v>
      </c>
      <c r="AC69" s="25">
        <v>195088.37</v>
      </c>
      <c r="AD69" s="25">
        <v>48637.850000000006</v>
      </c>
      <c r="AE69" s="25">
        <v>75303.459999999992</v>
      </c>
      <c r="AF69" s="25">
        <v>0</v>
      </c>
      <c r="AG69" s="25">
        <v>1918865</v>
      </c>
      <c r="AH69" s="25">
        <v>0</v>
      </c>
      <c r="AI69" s="25">
        <v>140847.77000000002</v>
      </c>
      <c r="AJ69" s="25">
        <v>751333.52999999991</v>
      </c>
      <c r="AK69" s="25">
        <v>13498.279999999999</v>
      </c>
      <c r="AL69" s="25">
        <v>19972.009999999998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1087352.51</v>
      </c>
      <c r="AW69" s="25">
        <v>422506.53</v>
      </c>
      <c r="AX69" s="25">
        <v>0</v>
      </c>
      <c r="AY69" s="25">
        <v>79351.78</v>
      </c>
      <c r="AZ69" s="25">
        <v>0</v>
      </c>
      <c r="BA69" s="25">
        <v>0</v>
      </c>
      <c r="BB69" s="25">
        <v>107694.31999999999</v>
      </c>
      <c r="BC69" s="25">
        <v>45366.79</v>
      </c>
      <c r="BD69" s="25">
        <v>27310.400000000001</v>
      </c>
      <c r="BE69" s="25">
        <v>211539.43</v>
      </c>
      <c r="BF69" s="25">
        <v>360898.38</v>
      </c>
      <c r="BG69" s="25">
        <v>0</v>
      </c>
      <c r="BH69" s="25">
        <v>0</v>
      </c>
      <c r="BI69" s="25">
        <v>0</v>
      </c>
      <c r="BJ69" s="25">
        <v>0</v>
      </c>
      <c r="BK69" s="25">
        <v>0</v>
      </c>
      <c r="BL69" s="25">
        <v>48351.170000000006</v>
      </c>
      <c r="BM69" s="25">
        <v>0</v>
      </c>
      <c r="BN69" s="25">
        <v>593602.59000000008</v>
      </c>
      <c r="BO69" s="25">
        <v>0</v>
      </c>
      <c r="BP69" s="25">
        <v>0</v>
      </c>
      <c r="BQ69" s="25">
        <v>0</v>
      </c>
      <c r="BR69" s="25">
        <v>0</v>
      </c>
      <c r="BS69" s="25">
        <v>0</v>
      </c>
      <c r="BT69" s="25">
        <v>0</v>
      </c>
      <c r="BU69" s="25">
        <v>0</v>
      </c>
      <c r="BV69" s="25">
        <v>0</v>
      </c>
      <c r="BW69" s="25">
        <v>0</v>
      </c>
      <c r="BX69" s="25">
        <v>215914.21</v>
      </c>
      <c r="BY69" s="25">
        <v>180662.07</v>
      </c>
      <c r="BZ69" s="25">
        <v>79155.26999999999</v>
      </c>
      <c r="CA69" s="25">
        <v>0</v>
      </c>
      <c r="CB69" s="25">
        <v>0</v>
      </c>
      <c r="CC69" s="25">
        <v>29980030.819999993</v>
      </c>
      <c r="CD69" s="25">
        <v>0</v>
      </c>
      <c r="CE69" s="25">
        <v>49828261.629999995</v>
      </c>
    </row>
    <row r="70" spans="1:84" x14ac:dyDescent="0.25">
      <c r="A70" s="26" t="s">
        <v>269</v>
      </c>
      <c r="B70" s="333"/>
      <c r="C70" s="282">
        <v>0</v>
      </c>
      <c r="D70" s="282">
        <v>0</v>
      </c>
      <c r="E70" s="282">
        <v>0</v>
      </c>
      <c r="F70" s="282">
        <v>0</v>
      </c>
      <c r="G70" s="282">
        <v>0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0</v>
      </c>
      <c r="P70" s="282">
        <v>0</v>
      </c>
      <c r="Q70" s="282">
        <v>0</v>
      </c>
      <c r="R70" s="282">
        <v>0</v>
      </c>
      <c r="S70" s="282">
        <v>0</v>
      </c>
      <c r="T70" s="282">
        <v>0</v>
      </c>
      <c r="U70" s="282">
        <v>0</v>
      </c>
      <c r="V70" s="282">
        <v>0</v>
      </c>
      <c r="W70" s="282">
        <v>0</v>
      </c>
      <c r="X70" s="282">
        <v>0</v>
      </c>
      <c r="Y70" s="282">
        <v>0</v>
      </c>
      <c r="Z70" s="282">
        <v>0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0</v>
      </c>
      <c r="AH70" s="282">
        <v>0</v>
      </c>
      <c r="AI70" s="282">
        <v>0</v>
      </c>
      <c r="AJ70" s="282">
        <v>0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v>0</v>
      </c>
    </row>
    <row r="71" spans="1:84" x14ac:dyDescent="0.25">
      <c r="A71" s="26" t="s">
        <v>270</v>
      </c>
      <c r="B71" s="333"/>
      <c r="C71" s="282">
        <v>0</v>
      </c>
      <c r="D71" s="282">
        <v>0</v>
      </c>
      <c r="E71" s="282">
        <v>0</v>
      </c>
      <c r="F71" s="282">
        <v>0</v>
      </c>
      <c r="G71" s="282">
        <v>0</v>
      </c>
      <c r="H71" s="282">
        <v>0</v>
      </c>
      <c r="I71" s="282">
        <v>0</v>
      </c>
      <c r="J71" s="282">
        <v>0</v>
      </c>
      <c r="K71" s="282">
        <v>0</v>
      </c>
      <c r="L71" s="282">
        <v>0</v>
      </c>
      <c r="M71" s="282">
        <v>0</v>
      </c>
      <c r="N71" s="282">
        <v>0</v>
      </c>
      <c r="O71" s="282">
        <v>0</v>
      </c>
      <c r="P71" s="282">
        <v>0</v>
      </c>
      <c r="Q71" s="282">
        <v>0</v>
      </c>
      <c r="R71" s="282">
        <v>0</v>
      </c>
      <c r="S71" s="282">
        <v>0</v>
      </c>
      <c r="T71" s="282">
        <v>0</v>
      </c>
      <c r="U71" s="282">
        <v>0</v>
      </c>
      <c r="V71" s="282">
        <v>0</v>
      </c>
      <c r="W71" s="282">
        <v>0</v>
      </c>
      <c r="X71" s="282">
        <v>0</v>
      </c>
      <c r="Y71" s="282">
        <v>0</v>
      </c>
      <c r="Z71" s="282">
        <v>0</v>
      </c>
      <c r="AA71" s="282">
        <v>0</v>
      </c>
      <c r="AB71" s="282">
        <v>0</v>
      </c>
      <c r="AC71" s="282">
        <v>0</v>
      </c>
      <c r="AD71" s="282">
        <v>0</v>
      </c>
      <c r="AE71" s="282">
        <v>0</v>
      </c>
      <c r="AF71" s="282">
        <v>0</v>
      </c>
      <c r="AG71" s="282">
        <v>0</v>
      </c>
      <c r="AH71" s="282">
        <v>0</v>
      </c>
      <c r="AI71" s="282">
        <v>0</v>
      </c>
      <c r="AJ71" s="282">
        <v>0</v>
      </c>
      <c r="AK71" s="282">
        <v>0</v>
      </c>
      <c r="AL71" s="282">
        <v>0</v>
      </c>
      <c r="AM71" s="282">
        <v>0</v>
      </c>
      <c r="AN71" s="282">
        <v>0</v>
      </c>
      <c r="AO71" s="282">
        <v>0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0</v>
      </c>
      <c r="AW71" s="282">
        <v>0</v>
      </c>
      <c r="AX71" s="282">
        <v>0</v>
      </c>
      <c r="AY71" s="282">
        <v>0</v>
      </c>
      <c r="AZ71" s="282">
        <v>0</v>
      </c>
      <c r="BA71" s="282">
        <v>0</v>
      </c>
      <c r="BB71" s="282">
        <v>0</v>
      </c>
      <c r="BC71" s="282">
        <v>0</v>
      </c>
      <c r="BD71" s="282">
        <v>0</v>
      </c>
      <c r="BE71" s="282">
        <v>0</v>
      </c>
      <c r="BF71" s="282">
        <v>0</v>
      </c>
      <c r="BG71" s="282">
        <v>0</v>
      </c>
      <c r="BH71" s="282">
        <v>0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0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0</v>
      </c>
      <c r="BZ71" s="282">
        <v>0</v>
      </c>
      <c r="CA71" s="282">
        <v>0</v>
      </c>
      <c r="CB71" s="282">
        <v>0</v>
      </c>
      <c r="CC71" s="282">
        <v>0</v>
      </c>
      <c r="CD71" s="282">
        <v>0</v>
      </c>
      <c r="CE71" s="25">
        <v>0</v>
      </c>
    </row>
    <row r="72" spans="1:84" x14ac:dyDescent="0.25">
      <c r="A72" s="26" t="s">
        <v>271</v>
      </c>
      <c r="B72" s="333"/>
      <c r="C72" s="282">
        <v>205</v>
      </c>
      <c r="D72" s="282">
        <v>0</v>
      </c>
      <c r="E72" s="282">
        <v>87.5</v>
      </c>
      <c r="F72" s="282">
        <v>0</v>
      </c>
      <c r="G72" s="282">
        <v>0</v>
      </c>
      <c r="H72" s="282">
        <v>4013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5039.5</v>
      </c>
      <c r="P72" s="282">
        <v>821</v>
      </c>
      <c r="Q72" s="282">
        <v>0</v>
      </c>
      <c r="R72" s="282">
        <v>190</v>
      </c>
      <c r="S72" s="282">
        <v>0</v>
      </c>
      <c r="T72" s="282">
        <v>5468</v>
      </c>
      <c r="U72" s="282">
        <v>150</v>
      </c>
      <c r="V72" s="282">
        <v>0</v>
      </c>
      <c r="W72" s="282">
        <v>2830.29</v>
      </c>
      <c r="X72" s="282">
        <v>0</v>
      </c>
      <c r="Y72" s="282">
        <v>1890</v>
      </c>
      <c r="Z72" s="282">
        <v>14233.5</v>
      </c>
      <c r="AA72" s="282">
        <v>0</v>
      </c>
      <c r="AB72" s="282">
        <v>10155.75</v>
      </c>
      <c r="AC72" s="282">
        <v>0</v>
      </c>
      <c r="AD72" s="282">
        <v>0</v>
      </c>
      <c r="AE72" s="282">
        <v>0</v>
      </c>
      <c r="AF72" s="282">
        <v>0</v>
      </c>
      <c r="AG72" s="282">
        <v>0</v>
      </c>
      <c r="AH72" s="282">
        <v>0</v>
      </c>
      <c r="AI72" s="282">
        <v>128</v>
      </c>
      <c r="AJ72" s="282">
        <v>21910</v>
      </c>
      <c r="AK72" s="282">
        <v>0</v>
      </c>
      <c r="AL72" s="282">
        <v>0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16274</v>
      </c>
      <c r="AW72" s="282">
        <v>40009.699999999997</v>
      </c>
      <c r="AX72" s="282">
        <v>0</v>
      </c>
      <c r="AY72" s="282">
        <v>262</v>
      </c>
      <c r="AZ72" s="282">
        <v>0</v>
      </c>
      <c r="BA72" s="282">
        <v>0</v>
      </c>
      <c r="BB72" s="282">
        <v>0</v>
      </c>
      <c r="BC72" s="282">
        <v>0</v>
      </c>
      <c r="BD72" s="282">
        <v>0</v>
      </c>
      <c r="BE72" s="282">
        <v>3208.77</v>
      </c>
      <c r="BF72" s="282">
        <v>0</v>
      </c>
      <c r="BG72" s="282">
        <v>0</v>
      </c>
      <c r="BH72" s="282">
        <v>0</v>
      </c>
      <c r="BI72" s="282">
        <v>0</v>
      </c>
      <c r="BJ72" s="282">
        <v>0</v>
      </c>
      <c r="BK72" s="282">
        <v>0</v>
      </c>
      <c r="BL72" s="282">
        <v>0</v>
      </c>
      <c r="BM72" s="282">
        <v>0</v>
      </c>
      <c r="BN72" s="282">
        <v>11888</v>
      </c>
      <c r="BO72" s="282">
        <v>0</v>
      </c>
      <c r="BP72" s="282">
        <v>0</v>
      </c>
      <c r="BQ72" s="282">
        <v>0</v>
      </c>
      <c r="BR72" s="282">
        <v>0</v>
      </c>
      <c r="BS72" s="282">
        <v>0</v>
      </c>
      <c r="BT72" s="282">
        <v>0</v>
      </c>
      <c r="BU72" s="282">
        <v>0</v>
      </c>
      <c r="BV72" s="282">
        <v>0</v>
      </c>
      <c r="BW72" s="282">
        <v>0</v>
      </c>
      <c r="BX72" s="282">
        <v>349</v>
      </c>
      <c r="BY72" s="282">
        <v>305.07</v>
      </c>
      <c r="BZ72" s="282">
        <v>0</v>
      </c>
      <c r="CA72" s="282">
        <v>0</v>
      </c>
      <c r="CB72" s="282">
        <v>0</v>
      </c>
      <c r="CC72" s="282">
        <v>470.1</v>
      </c>
      <c r="CD72" s="282">
        <v>0</v>
      </c>
      <c r="CE72" s="25">
        <v>139888.18000000002</v>
      </c>
    </row>
    <row r="73" spans="1:84" x14ac:dyDescent="0.25">
      <c r="A73" s="26" t="s">
        <v>272</v>
      </c>
      <c r="B73" s="333"/>
      <c r="C73" s="282">
        <v>1709170.0199999998</v>
      </c>
      <c r="D73" s="282">
        <v>113501.28</v>
      </c>
      <c r="E73" s="282">
        <v>718829.27999999991</v>
      </c>
      <c r="F73" s="282">
        <v>112410.36</v>
      </c>
      <c r="G73" s="282">
        <v>0</v>
      </c>
      <c r="H73" s="282">
        <v>117624.24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348879.35999999999</v>
      </c>
      <c r="P73" s="282">
        <v>1883199.3599999999</v>
      </c>
      <c r="Q73" s="282">
        <v>0</v>
      </c>
      <c r="R73" s="282">
        <v>397571.27999999997</v>
      </c>
      <c r="S73" s="282">
        <v>126197.75999999999</v>
      </c>
      <c r="T73" s="282">
        <v>378619.68000000005</v>
      </c>
      <c r="U73" s="282">
        <v>999165.84</v>
      </c>
      <c r="V73" s="282">
        <v>0</v>
      </c>
      <c r="W73" s="282">
        <v>190988.04</v>
      </c>
      <c r="X73" s="282">
        <v>79902</v>
      </c>
      <c r="Y73" s="282">
        <v>636949.55999999994</v>
      </c>
      <c r="Z73" s="282">
        <v>427026.83999999997</v>
      </c>
      <c r="AA73" s="282">
        <v>25372.68</v>
      </c>
      <c r="AB73" s="282">
        <v>2093696.4</v>
      </c>
      <c r="AC73" s="282">
        <v>186146.88</v>
      </c>
      <c r="AD73" s="282">
        <v>47384.4</v>
      </c>
      <c r="AE73" s="282">
        <v>65013.119999999995</v>
      </c>
      <c r="AF73" s="282">
        <v>0</v>
      </c>
      <c r="AG73" s="282">
        <v>1537181.92</v>
      </c>
      <c r="AH73" s="282">
        <v>0</v>
      </c>
      <c r="AI73" s="282">
        <v>90873.24</v>
      </c>
      <c r="AJ73" s="282">
        <v>506884.79999999993</v>
      </c>
      <c r="AK73" s="282">
        <v>2261.04</v>
      </c>
      <c r="AL73" s="282">
        <v>18692.16</v>
      </c>
      <c r="AM73" s="282">
        <v>0</v>
      </c>
      <c r="AN73" s="282">
        <v>0</v>
      </c>
      <c r="AO73" s="282">
        <v>0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675220.2</v>
      </c>
      <c r="AW73" s="282">
        <v>197379.24000000002</v>
      </c>
      <c r="AX73" s="282">
        <v>0</v>
      </c>
      <c r="AY73" s="282">
        <v>25493.040000000001</v>
      </c>
      <c r="AZ73" s="282">
        <v>0</v>
      </c>
      <c r="BA73" s="282">
        <v>0</v>
      </c>
      <c r="BB73" s="282">
        <v>62206.799999999996</v>
      </c>
      <c r="BC73" s="282">
        <v>41130</v>
      </c>
      <c r="BD73" s="282">
        <v>11785.080000000002</v>
      </c>
      <c r="BE73" s="282">
        <v>31923.72</v>
      </c>
      <c r="BF73" s="282">
        <v>25398.959999999999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38147.040000000001</v>
      </c>
      <c r="BM73" s="282">
        <v>0</v>
      </c>
      <c r="BN73" s="282">
        <v>139285.20000000001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97590.48000000001</v>
      </c>
      <c r="BY73" s="282">
        <v>69400.92</v>
      </c>
      <c r="BZ73" s="282">
        <v>67804.56</v>
      </c>
      <c r="CA73" s="282">
        <v>0</v>
      </c>
      <c r="CB73" s="282">
        <v>0</v>
      </c>
      <c r="CC73" s="282">
        <v>893516.28</v>
      </c>
      <c r="CD73" s="282">
        <v>0</v>
      </c>
      <c r="CE73" s="25">
        <v>15189823.059999999</v>
      </c>
    </row>
    <row r="74" spans="1:84" x14ac:dyDescent="0.25">
      <c r="A74" s="26" t="s">
        <v>273</v>
      </c>
      <c r="B74" s="333"/>
      <c r="C74" s="282">
        <v>0</v>
      </c>
      <c r="D74" s="282">
        <v>0</v>
      </c>
      <c r="E74" s="282">
        <v>0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2">
        <v>0</v>
      </c>
      <c r="Q74" s="282">
        <v>0</v>
      </c>
      <c r="R74" s="282">
        <v>0</v>
      </c>
      <c r="S74" s="282">
        <v>0</v>
      </c>
      <c r="T74" s="282">
        <v>0</v>
      </c>
      <c r="U74" s="282">
        <v>0</v>
      </c>
      <c r="V74" s="282">
        <v>0</v>
      </c>
      <c r="W74" s="282">
        <v>0</v>
      </c>
      <c r="X74" s="282">
        <v>0</v>
      </c>
      <c r="Y74" s="282">
        <v>0</v>
      </c>
      <c r="Z74" s="282">
        <v>0</v>
      </c>
      <c r="AA74" s="282">
        <v>0</v>
      </c>
      <c r="AB74" s="282">
        <v>0</v>
      </c>
      <c r="AC74" s="282">
        <v>0</v>
      </c>
      <c r="AD74" s="282">
        <v>0</v>
      </c>
      <c r="AE74" s="282">
        <v>0</v>
      </c>
      <c r="AF74" s="282">
        <v>0</v>
      </c>
      <c r="AG74" s="282">
        <v>0</v>
      </c>
      <c r="AH74" s="282">
        <v>0</v>
      </c>
      <c r="AI74" s="282">
        <v>0</v>
      </c>
      <c r="AJ74" s="282">
        <v>0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0</v>
      </c>
      <c r="AZ74" s="282">
        <v>0</v>
      </c>
      <c r="BA74" s="282">
        <v>0</v>
      </c>
      <c r="BB74" s="282">
        <v>0</v>
      </c>
      <c r="BC74" s="282">
        <v>0</v>
      </c>
      <c r="BD74" s="282">
        <v>0</v>
      </c>
      <c r="BE74" s="282">
        <v>0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0</v>
      </c>
      <c r="CD74" s="282">
        <v>0</v>
      </c>
      <c r="CE74" s="25">
        <v>0</v>
      </c>
    </row>
    <row r="75" spans="1:84" x14ac:dyDescent="0.25">
      <c r="A75" s="26" t="s">
        <v>274</v>
      </c>
      <c r="B75" s="333"/>
      <c r="C75" s="282">
        <v>0</v>
      </c>
      <c r="D75" s="282">
        <v>0</v>
      </c>
      <c r="E75" s="282">
        <v>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29944.62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31419.439999999999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114.5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91270.720000000001</v>
      </c>
      <c r="BY75" s="282">
        <v>0</v>
      </c>
      <c r="BZ75" s="282">
        <v>0</v>
      </c>
      <c r="CA75" s="282">
        <v>0</v>
      </c>
      <c r="CB75" s="282">
        <v>0</v>
      </c>
      <c r="CC75" s="282">
        <v>0</v>
      </c>
      <c r="CD75" s="282">
        <v>0</v>
      </c>
      <c r="CE75" s="25">
        <v>152749.28</v>
      </c>
    </row>
    <row r="76" spans="1:84" x14ac:dyDescent="0.25">
      <c r="A76" s="26" t="s">
        <v>275</v>
      </c>
      <c r="B76" s="334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v>0</v>
      </c>
    </row>
    <row r="77" spans="1:84" x14ac:dyDescent="0.25">
      <c r="A77" s="26" t="s">
        <v>276</v>
      </c>
      <c r="B77" s="333"/>
      <c r="C77" s="282">
        <v>0</v>
      </c>
      <c r="D77" s="282">
        <v>0</v>
      </c>
      <c r="E77" s="282">
        <v>0</v>
      </c>
      <c r="F77" s="282">
        <v>0</v>
      </c>
      <c r="G77" s="282">
        <v>0</v>
      </c>
      <c r="H77" s="282">
        <v>0</v>
      </c>
      <c r="I77" s="282">
        <v>0</v>
      </c>
      <c r="J77" s="282">
        <v>0</v>
      </c>
      <c r="K77" s="282">
        <v>0</v>
      </c>
      <c r="L77" s="282">
        <v>0</v>
      </c>
      <c r="M77" s="282">
        <v>0</v>
      </c>
      <c r="N77" s="282">
        <v>0</v>
      </c>
      <c r="O77" s="282">
        <v>0</v>
      </c>
      <c r="P77" s="282">
        <v>0</v>
      </c>
      <c r="Q77" s="282">
        <v>0</v>
      </c>
      <c r="R77" s="282">
        <v>0</v>
      </c>
      <c r="S77" s="282">
        <v>0</v>
      </c>
      <c r="T77" s="282">
        <v>0</v>
      </c>
      <c r="U77" s="282">
        <v>0</v>
      </c>
      <c r="V77" s="282">
        <v>0</v>
      </c>
      <c r="W77" s="282">
        <v>0</v>
      </c>
      <c r="X77" s="282">
        <v>0</v>
      </c>
      <c r="Y77" s="282">
        <v>0</v>
      </c>
      <c r="Z77" s="282">
        <v>0</v>
      </c>
      <c r="AA77" s="282">
        <v>0</v>
      </c>
      <c r="AB77" s="282">
        <v>0</v>
      </c>
      <c r="AC77" s="282">
        <v>0</v>
      </c>
      <c r="AD77" s="282">
        <v>0</v>
      </c>
      <c r="AE77" s="282">
        <v>0</v>
      </c>
      <c r="AF77" s="282">
        <v>0</v>
      </c>
      <c r="AG77" s="282">
        <v>0</v>
      </c>
      <c r="AH77" s="282">
        <v>0</v>
      </c>
      <c r="AI77" s="282">
        <v>0</v>
      </c>
      <c r="AJ77" s="282">
        <v>0</v>
      </c>
      <c r="AK77" s="282">
        <v>0</v>
      </c>
      <c r="AL77" s="282">
        <v>0</v>
      </c>
      <c r="AM77" s="282">
        <v>0</v>
      </c>
      <c r="AN77" s="282">
        <v>0</v>
      </c>
      <c r="AO77" s="282">
        <v>0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0</v>
      </c>
      <c r="AW77" s="282">
        <v>0</v>
      </c>
      <c r="AX77" s="282">
        <v>0</v>
      </c>
      <c r="AY77" s="282">
        <v>0</v>
      </c>
      <c r="AZ77" s="282">
        <v>0</v>
      </c>
      <c r="BA77" s="282">
        <v>0</v>
      </c>
      <c r="BB77" s="282">
        <v>0</v>
      </c>
      <c r="BC77" s="282">
        <v>0</v>
      </c>
      <c r="BD77" s="282">
        <v>0</v>
      </c>
      <c r="BE77" s="282">
        <v>0</v>
      </c>
      <c r="BF77" s="282">
        <v>0</v>
      </c>
      <c r="BG77" s="282">
        <v>0</v>
      </c>
      <c r="BH77" s="282">
        <v>0</v>
      </c>
      <c r="BI77" s="282">
        <v>0</v>
      </c>
      <c r="BJ77" s="282">
        <v>0</v>
      </c>
      <c r="BK77" s="282">
        <v>0</v>
      </c>
      <c r="BL77" s="282">
        <v>0</v>
      </c>
      <c r="BM77" s="282">
        <v>0</v>
      </c>
      <c r="BN77" s="282">
        <v>0</v>
      </c>
      <c r="BO77" s="282">
        <v>0</v>
      </c>
      <c r="BP77" s="282">
        <v>0</v>
      </c>
      <c r="BQ77" s="282">
        <v>0</v>
      </c>
      <c r="BR77" s="282">
        <v>0</v>
      </c>
      <c r="BS77" s="282">
        <v>0</v>
      </c>
      <c r="BT77" s="282">
        <v>0</v>
      </c>
      <c r="BU77" s="282">
        <v>0</v>
      </c>
      <c r="BV77" s="282">
        <v>0</v>
      </c>
      <c r="BW77" s="282">
        <v>0</v>
      </c>
      <c r="BX77" s="282">
        <v>0</v>
      </c>
      <c r="BY77" s="282">
        <v>0</v>
      </c>
      <c r="BZ77" s="282">
        <v>0</v>
      </c>
      <c r="CA77" s="282">
        <v>0</v>
      </c>
      <c r="CB77" s="282">
        <v>0</v>
      </c>
      <c r="CC77" s="282">
        <v>0</v>
      </c>
      <c r="CD77" s="282">
        <v>0</v>
      </c>
      <c r="CE77" s="25">
        <v>0</v>
      </c>
    </row>
    <row r="78" spans="1:84" x14ac:dyDescent="0.25">
      <c r="A78" s="26" t="s">
        <v>277</v>
      </c>
      <c r="B78" s="16"/>
      <c r="C78" s="282">
        <v>0</v>
      </c>
      <c r="D78" s="282">
        <v>0</v>
      </c>
      <c r="E78" s="282">
        <v>0</v>
      </c>
      <c r="F78" s="282">
        <v>0</v>
      </c>
      <c r="G78" s="282">
        <v>0</v>
      </c>
      <c r="H78" s="282">
        <v>0</v>
      </c>
      <c r="I78" s="282">
        <v>0</v>
      </c>
      <c r="J78" s="282">
        <v>0</v>
      </c>
      <c r="K78" s="282">
        <v>0</v>
      </c>
      <c r="L78" s="282">
        <v>0</v>
      </c>
      <c r="M78" s="282">
        <v>0</v>
      </c>
      <c r="N78" s="282">
        <v>0</v>
      </c>
      <c r="O78" s="282">
        <v>0</v>
      </c>
      <c r="P78" s="282">
        <v>0</v>
      </c>
      <c r="Q78" s="282">
        <v>0</v>
      </c>
      <c r="R78" s="282">
        <v>0</v>
      </c>
      <c r="S78" s="282">
        <v>0</v>
      </c>
      <c r="T78" s="282">
        <v>0</v>
      </c>
      <c r="U78" s="282">
        <v>0</v>
      </c>
      <c r="V78" s="282">
        <v>0</v>
      </c>
      <c r="W78" s="282">
        <v>0</v>
      </c>
      <c r="X78" s="282">
        <v>0</v>
      </c>
      <c r="Y78" s="282">
        <v>0</v>
      </c>
      <c r="Z78" s="282">
        <v>0</v>
      </c>
      <c r="AA78" s="282">
        <v>0</v>
      </c>
      <c r="AB78" s="282">
        <v>0</v>
      </c>
      <c r="AC78" s="282">
        <v>0</v>
      </c>
      <c r="AD78" s="282">
        <v>0</v>
      </c>
      <c r="AE78" s="282">
        <v>0</v>
      </c>
      <c r="AF78" s="282">
        <v>0</v>
      </c>
      <c r="AG78" s="282">
        <v>0</v>
      </c>
      <c r="AH78" s="282">
        <v>0</v>
      </c>
      <c r="AI78" s="282">
        <v>0</v>
      </c>
      <c r="AJ78" s="282">
        <v>0</v>
      </c>
      <c r="AK78" s="282">
        <v>0</v>
      </c>
      <c r="AL78" s="282">
        <v>0</v>
      </c>
      <c r="AM78" s="282">
        <v>0</v>
      </c>
      <c r="AN78" s="282">
        <v>0</v>
      </c>
      <c r="AO78" s="282">
        <v>0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0</v>
      </c>
      <c r="AW78" s="282">
        <v>0</v>
      </c>
      <c r="AX78" s="282">
        <v>0</v>
      </c>
      <c r="AY78" s="282">
        <v>0</v>
      </c>
      <c r="AZ78" s="282">
        <v>0</v>
      </c>
      <c r="BA78" s="282">
        <v>0</v>
      </c>
      <c r="BB78" s="282">
        <v>0</v>
      </c>
      <c r="BC78" s="282">
        <v>0</v>
      </c>
      <c r="BD78" s="282">
        <v>0</v>
      </c>
      <c r="BE78" s="282">
        <v>0</v>
      </c>
      <c r="BF78" s="282">
        <v>0</v>
      </c>
      <c r="BG78" s="282">
        <v>0</v>
      </c>
      <c r="BH78" s="282">
        <v>0</v>
      </c>
      <c r="BI78" s="282">
        <v>0</v>
      </c>
      <c r="BJ78" s="282">
        <v>0</v>
      </c>
      <c r="BK78" s="282">
        <v>0</v>
      </c>
      <c r="BL78" s="282">
        <v>0</v>
      </c>
      <c r="BM78" s="282">
        <v>0</v>
      </c>
      <c r="BN78" s="282">
        <v>0</v>
      </c>
      <c r="BO78" s="282">
        <v>0</v>
      </c>
      <c r="BP78" s="282">
        <v>0</v>
      </c>
      <c r="BQ78" s="282">
        <v>0</v>
      </c>
      <c r="BR78" s="282">
        <v>0</v>
      </c>
      <c r="BS78" s="282">
        <v>0</v>
      </c>
      <c r="BT78" s="282">
        <v>0</v>
      </c>
      <c r="BU78" s="282">
        <v>0</v>
      </c>
      <c r="BV78" s="282">
        <v>0</v>
      </c>
      <c r="BW78" s="282">
        <v>0</v>
      </c>
      <c r="BX78" s="282">
        <v>0</v>
      </c>
      <c r="BY78" s="282">
        <v>0</v>
      </c>
      <c r="BZ78" s="282">
        <v>0</v>
      </c>
      <c r="CA78" s="282">
        <v>0</v>
      </c>
      <c r="CB78" s="282">
        <v>0</v>
      </c>
      <c r="CC78" s="282">
        <v>0</v>
      </c>
      <c r="CD78" s="282">
        <v>0</v>
      </c>
      <c r="CE78" s="25">
        <v>0</v>
      </c>
    </row>
    <row r="79" spans="1:84" x14ac:dyDescent="0.25">
      <c r="A79" s="26" t="s">
        <v>278</v>
      </c>
      <c r="B79" s="16"/>
      <c r="C79" s="282">
        <v>0</v>
      </c>
      <c r="D79" s="282">
        <v>0</v>
      </c>
      <c r="E79" s="282">
        <v>5000</v>
      </c>
      <c r="F79" s="282">
        <v>0</v>
      </c>
      <c r="G79" s="282">
        <v>0</v>
      </c>
      <c r="H79" s="282">
        <v>16566.43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0</v>
      </c>
      <c r="P79" s="282">
        <v>11771.39</v>
      </c>
      <c r="Q79" s="282">
        <v>0</v>
      </c>
      <c r="R79" s="282">
        <v>293.8</v>
      </c>
      <c r="S79" s="282">
        <v>0</v>
      </c>
      <c r="T79" s="282">
        <v>0</v>
      </c>
      <c r="U79" s="282">
        <v>0</v>
      </c>
      <c r="V79" s="282">
        <v>0</v>
      </c>
      <c r="W79" s="282">
        <v>0</v>
      </c>
      <c r="X79" s="282">
        <v>0</v>
      </c>
      <c r="Y79" s="282">
        <v>0</v>
      </c>
      <c r="Z79" s="282">
        <v>512.58000000000004</v>
      </c>
      <c r="AA79" s="282">
        <v>0</v>
      </c>
      <c r="AB79" s="282">
        <v>0</v>
      </c>
      <c r="AC79" s="282">
        <v>0</v>
      </c>
      <c r="AD79" s="282">
        <v>0</v>
      </c>
      <c r="AE79" s="282">
        <v>0</v>
      </c>
      <c r="AF79" s="282">
        <v>0</v>
      </c>
      <c r="AG79" s="282">
        <v>5000</v>
      </c>
      <c r="AH79" s="282">
        <v>0</v>
      </c>
      <c r="AI79" s="282">
        <v>0</v>
      </c>
      <c r="AJ79" s="282">
        <v>12.84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1758.06</v>
      </c>
      <c r="AW79" s="282">
        <v>4669.75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-168196.11</v>
      </c>
      <c r="BO79" s="282">
        <v>0</v>
      </c>
      <c r="BP79" s="282">
        <v>0</v>
      </c>
      <c r="BQ79" s="282">
        <v>0</v>
      </c>
      <c r="BR79" s="282">
        <v>0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0</v>
      </c>
      <c r="BZ79" s="282">
        <v>0</v>
      </c>
      <c r="CA79" s="282">
        <v>0</v>
      </c>
      <c r="CB79" s="282">
        <v>0</v>
      </c>
      <c r="CC79" s="282">
        <v>10938.529999999999</v>
      </c>
      <c r="CD79" s="282">
        <v>0</v>
      </c>
      <c r="CE79" s="25">
        <v>-111672.72999999998</v>
      </c>
    </row>
    <row r="80" spans="1:84" x14ac:dyDescent="0.25">
      <c r="A80" s="26" t="s">
        <v>279</v>
      </c>
      <c r="B80" s="16"/>
      <c r="C80" s="282">
        <v>57499.719999999994</v>
      </c>
      <c r="D80" s="282">
        <v>2776.14</v>
      </c>
      <c r="E80" s="282">
        <v>12516.26</v>
      </c>
      <c r="F80" s="282">
        <v>3692.51</v>
      </c>
      <c r="G80" s="282">
        <v>0</v>
      </c>
      <c r="H80" s="282">
        <v>14993.3</v>
      </c>
      <c r="I80" s="282">
        <v>0</v>
      </c>
      <c r="J80" s="282">
        <v>0</v>
      </c>
      <c r="K80" s="282">
        <v>0</v>
      </c>
      <c r="L80" s="282">
        <v>0</v>
      </c>
      <c r="M80" s="282">
        <v>0</v>
      </c>
      <c r="N80" s="282">
        <v>0</v>
      </c>
      <c r="O80" s="282">
        <v>8453.94</v>
      </c>
      <c r="P80" s="282">
        <v>13504.76</v>
      </c>
      <c r="Q80" s="282">
        <v>0</v>
      </c>
      <c r="R80" s="282">
        <v>8810.6500000000015</v>
      </c>
      <c r="S80" s="282">
        <v>9.68</v>
      </c>
      <c r="T80" s="282">
        <v>4334.29</v>
      </c>
      <c r="U80" s="282">
        <v>1037.0899999999999</v>
      </c>
      <c r="V80" s="282">
        <v>0</v>
      </c>
      <c r="W80" s="282">
        <v>2938.76</v>
      </c>
      <c r="X80" s="282">
        <v>1681.65</v>
      </c>
      <c r="Y80" s="282">
        <v>7282.21</v>
      </c>
      <c r="Z80" s="282">
        <v>2690.29</v>
      </c>
      <c r="AA80" s="282">
        <v>302.44</v>
      </c>
      <c r="AB80" s="282">
        <v>10344.67</v>
      </c>
      <c r="AC80" s="282">
        <v>8956.84</v>
      </c>
      <c r="AD80" s="282">
        <v>0</v>
      </c>
      <c r="AE80" s="282">
        <v>1743.64</v>
      </c>
      <c r="AF80" s="282">
        <v>0</v>
      </c>
      <c r="AG80" s="282">
        <v>30784.27</v>
      </c>
      <c r="AH80" s="282">
        <v>0</v>
      </c>
      <c r="AI80" s="282">
        <v>2678.45</v>
      </c>
      <c r="AJ80" s="282">
        <v>26591.06</v>
      </c>
      <c r="AK80" s="282">
        <v>0</v>
      </c>
      <c r="AL80" s="282">
        <v>401.37</v>
      </c>
      <c r="AM80" s="282">
        <v>0</v>
      </c>
      <c r="AN80" s="282">
        <v>0</v>
      </c>
      <c r="AO80" s="282">
        <v>0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10567.800000000001</v>
      </c>
      <c r="AW80" s="282">
        <v>24322.720000000001</v>
      </c>
      <c r="AX80" s="282">
        <v>0</v>
      </c>
      <c r="AY80" s="282">
        <v>437</v>
      </c>
      <c r="AZ80" s="282">
        <v>0</v>
      </c>
      <c r="BA80" s="282">
        <v>0</v>
      </c>
      <c r="BB80" s="282">
        <v>0</v>
      </c>
      <c r="BC80" s="282">
        <v>1311.67</v>
      </c>
      <c r="BD80" s="282">
        <v>0</v>
      </c>
      <c r="BE80" s="282">
        <v>2134.15</v>
      </c>
      <c r="BF80" s="282">
        <v>0</v>
      </c>
      <c r="BG80" s="282">
        <v>0</v>
      </c>
      <c r="BH80" s="282">
        <v>0</v>
      </c>
      <c r="BI80" s="282">
        <v>0</v>
      </c>
      <c r="BJ80" s="282">
        <v>0</v>
      </c>
      <c r="BK80" s="282">
        <v>0</v>
      </c>
      <c r="BL80" s="282">
        <v>0</v>
      </c>
      <c r="BM80" s="282">
        <v>0</v>
      </c>
      <c r="BN80" s="282">
        <v>124690.04000000001</v>
      </c>
      <c r="BO80" s="282">
        <v>0</v>
      </c>
      <c r="BP80" s="282">
        <v>0</v>
      </c>
      <c r="BQ80" s="282">
        <v>0</v>
      </c>
      <c r="BR80" s="282">
        <v>0</v>
      </c>
      <c r="BS80" s="282">
        <v>0</v>
      </c>
      <c r="BT80" s="282">
        <v>0</v>
      </c>
      <c r="BU80" s="282">
        <v>0</v>
      </c>
      <c r="BV80" s="282">
        <v>0</v>
      </c>
      <c r="BW80" s="282">
        <v>0</v>
      </c>
      <c r="BX80" s="282">
        <v>23.36</v>
      </c>
      <c r="BY80" s="282">
        <v>31224.06</v>
      </c>
      <c r="BZ80" s="282">
        <v>4487.54</v>
      </c>
      <c r="CA80" s="282">
        <v>0</v>
      </c>
      <c r="CB80" s="282">
        <v>0</v>
      </c>
      <c r="CC80" s="282">
        <v>0</v>
      </c>
      <c r="CD80" s="282">
        <v>0</v>
      </c>
      <c r="CE80" s="25">
        <v>423222.32999999996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0</v>
      </c>
      <c r="Q81" s="282">
        <v>0</v>
      </c>
      <c r="R81" s="282">
        <v>0</v>
      </c>
      <c r="S81" s="282">
        <v>0</v>
      </c>
      <c r="T81" s="282">
        <v>0</v>
      </c>
      <c r="U81" s="282">
        <v>1517.44</v>
      </c>
      <c r="V81" s="282">
        <v>0</v>
      </c>
      <c r="W81" s="282">
        <v>0</v>
      </c>
      <c r="X81" s="282">
        <v>0</v>
      </c>
      <c r="Y81" s="282">
        <v>686.15</v>
      </c>
      <c r="Z81" s="282">
        <v>0</v>
      </c>
      <c r="AA81" s="282">
        <v>0</v>
      </c>
      <c r="AB81" s="282">
        <v>0</v>
      </c>
      <c r="AC81" s="282">
        <v>0</v>
      </c>
      <c r="AD81" s="282">
        <v>0</v>
      </c>
      <c r="AE81" s="282">
        <v>0</v>
      </c>
      <c r="AF81" s="282">
        <v>0</v>
      </c>
      <c r="AG81" s="282">
        <v>7857.15</v>
      </c>
      <c r="AH81" s="282">
        <v>0</v>
      </c>
      <c r="AI81" s="282">
        <v>0</v>
      </c>
      <c r="AJ81" s="282">
        <v>12435.62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0</v>
      </c>
      <c r="BF81" s="282">
        <v>0</v>
      </c>
      <c r="BG81" s="282">
        <v>0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0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0</v>
      </c>
      <c r="BZ81" s="282">
        <v>0</v>
      </c>
      <c r="CA81" s="282">
        <v>0</v>
      </c>
      <c r="CB81" s="282">
        <v>0</v>
      </c>
      <c r="CC81" s="282">
        <v>8637078.6000000015</v>
      </c>
      <c r="CD81" s="282">
        <v>0</v>
      </c>
      <c r="CE81" s="25">
        <v>8659574.9600000009</v>
      </c>
    </row>
    <row r="82" spans="1:84" x14ac:dyDescent="0.25">
      <c r="A82" s="26" t="s">
        <v>281</v>
      </c>
      <c r="B82" s="16"/>
      <c r="C82" s="282">
        <v>306734.18</v>
      </c>
      <c r="D82" s="282">
        <v>52021.29</v>
      </c>
      <c r="E82" s="282">
        <v>120754.43000000001</v>
      </c>
      <c r="F82" s="282">
        <v>0</v>
      </c>
      <c r="G82" s="282">
        <v>0</v>
      </c>
      <c r="H82" s="282">
        <v>43637.84</v>
      </c>
      <c r="I82" s="282">
        <v>0</v>
      </c>
      <c r="J82" s="282">
        <v>0</v>
      </c>
      <c r="K82" s="282">
        <v>0</v>
      </c>
      <c r="L82" s="282">
        <v>0</v>
      </c>
      <c r="M82" s="282">
        <v>0</v>
      </c>
      <c r="N82" s="282">
        <v>0</v>
      </c>
      <c r="O82" s="282">
        <v>114042.72</v>
      </c>
      <c r="P82" s="282">
        <v>323289.57</v>
      </c>
      <c r="Q82" s="282">
        <v>0</v>
      </c>
      <c r="R82" s="282">
        <v>115996.18000000001</v>
      </c>
      <c r="S82" s="282">
        <v>50803.959999999992</v>
      </c>
      <c r="T82" s="282">
        <v>128377.87</v>
      </c>
      <c r="U82" s="282">
        <v>105582.91</v>
      </c>
      <c r="V82" s="282">
        <v>-8.91</v>
      </c>
      <c r="W82" s="282">
        <v>91019.16</v>
      </c>
      <c r="X82" s="282">
        <v>16174.18</v>
      </c>
      <c r="Y82" s="282">
        <v>52157.8</v>
      </c>
      <c r="Z82" s="282">
        <v>108672.06</v>
      </c>
      <c r="AA82" s="282">
        <v>5614.17</v>
      </c>
      <c r="AB82" s="282">
        <v>52912.34</v>
      </c>
      <c r="AC82" s="282">
        <v>7611.05</v>
      </c>
      <c r="AD82" s="282">
        <v>958.12</v>
      </c>
      <c r="AE82" s="282">
        <v>4238.8899999999994</v>
      </c>
      <c r="AF82" s="282">
        <v>0</v>
      </c>
      <c r="AG82" s="282">
        <v>202762.71</v>
      </c>
      <c r="AH82" s="282">
        <v>0</v>
      </c>
      <c r="AI82" s="282">
        <v>37348.300000000003</v>
      </c>
      <c r="AJ82" s="282">
        <v>63757.11</v>
      </c>
      <c r="AK82" s="282">
        <v>10187.92</v>
      </c>
      <c r="AL82" s="282">
        <v>0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0</v>
      </c>
      <c r="AV82" s="282">
        <v>121986.98999999999</v>
      </c>
      <c r="AW82" s="282">
        <v>21282.74</v>
      </c>
      <c r="AX82" s="282">
        <v>0</v>
      </c>
      <c r="AY82" s="282">
        <v>40831.550000000003</v>
      </c>
      <c r="AZ82" s="282">
        <v>0</v>
      </c>
      <c r="BA82" s="282">
        <v>0</v>
      </c>
      <c r="BB82" s="282">
        <v>2962.5599999999995</v>
      </c>
      <c r="BC82" s="282">
        <v>1153.9399999999998</v>
      </c>
      <c r="BD82" s="282">
        <v>11260.71</v>
      </c>
      <c r="BE82" s="282">
        <v>140511.67999999999</v>
      </c>
      <c r="BF82" s="282">
        <v>10719.51</v>
      </c>
      <c r="BG82" s="282">
        <v>0</v>
      </c>
      <c r="BH82" s="282">
        <v>0</v>
      </c>
      <c r="BI82" s="282">
        <v>0</v>
      </c>
      <c r="BJ82" s="282">
        <v>0</v>
      </c>
      <c r="BK82" s="282">
        <v>0</v>
      </c>
      <c r="BL82" s="282">
        <v>7542.6200000000008</v>
      </c>
      <c r="BM82" s="282">
        <v>0</v>
      </c>
      <c r="BN82" s="282">
        <v>53263.209999999992</v>
      </c>
      <c r="BO82" s="282">
        <v>0</v>
      </c>
      <c r="BP82" s="282">
        <v>0</v>
      </c>
      <c r="BQ82" s="282">
        <v>0</v>
      </c>
      <c r="BR82" s="282">
        <v>0</v>
      </c>
      <c r="BS82" s="282">
        <v>0</v>
      </c>
      <c r="BT82" s="282">
        <v>0</v>
      </c>
      <c r="BU82" s="282">
        <v>0</v>
      </c>
      <c r="BV82" s="282">
        <v>0</v>
      </c>
      <c r="BW82" s="282">
        <v>0</v>
      </c>
      <c r="BX82" s="282">
        <v>7443.97</v>
      </c>
      <c r="BY82" s="282">
        <v>1638.6800000000003</v>
      </c>
      <c r="BZ82" s="282">
        <v>1103.4499999999998</v>
      </c>
      <c r="CA82" s="282">
        <v>0</v>
      </c>
      <c r="CB82" s="282">
        <v>0</v>
      </c>
      <c r="CC82" s="282">
        <v>22822.26</v>
      </c>
      <c r="CD82" s="282">
        <v>0</v>
      </c>
      <c r="CE82" s="25">
        <v>2459169.7200000002</v>
      </c>
    </row>
    <row r="83" spans="1:84" x14ac:dyDescent="0.25">
      <c r="A83" s="26" t="s">
        <v>282</v>
      </c>
      <c r="B83" s="16"/>
      <c r="C83" s="273">
        <v>125084.01999999997</v>
      </c>
      <c r="D83" s="273">
        <v>15659.95</v>
      </c>
      <c r="E83" s="273">
        <v>40528.550000000003</v>
      </c>
      <c r="F83" s="273">
        <v>67.14</v>
      </c>
      <c r="G83" s="273">
        <v>0</v>
      </c>
      <c r="H83" s="273">
        <v>31028.78</v>
      </c>
      <c r="I83" s="273">
        <v>0</v>
      </c>
      <c r="J83" s="273">
        <v>0</v>
      </c>
      <c r="K83" s="273">
        <v>0</v>
      </c>
      <c r="L83" s="273">
        <v>0</v>
      </c>
      <c r="M83" s="273">
        <v>0</v>
      </c>
      <c r="N83" s="273">
        <v>0</v>
      </c>
      <c r="O83" s="273">
        <v>74412.500000000015</v>
      </c>
      <c r="P83" s="273">
        <v>194845.77999999997</v>
      </c>
      <c r="Q83" s="273">
        <v>0</v>
      </c>
      <c r="R83" s="273">
        <v>27267.03</v>
      </c>
      <c r="S83" s="273">
        <v>12231.970000000001</v>
      </c>
      <c r="T83" s="273">
        <v>44346.559999999998</v>
      </c>
      <c r="U83" s="273">
        <v>155527.75000000003</v>
      </c>
      <c r="V83" s="273">
        <v>0</v>
      </c>
      <c r="W83" s="273">
        <v>31676.54</v>
      </c>
      <c r="X83" s="273">
        <v>4808.9799999999996</v>
      </c>
      <c r="Y83" s="273">
        <v>18701.980000000003</v>
      </c>
      <c r="Z83" s="273">
        <v>53143.070000000007</v>
      </c>
      <c r="AA83" s="273">
        <v>1653.8600000000001</v>
      </c>
      <c r="AB83" s="273">
        <v>112809.20999999999</v>
      </c>
      <c r="AC83" s="273">
        <v>-7626.3999999999942</v>
      </c>
      <c r="AD83" s="273">
        <v>295.33</v>
      </c>
      <c r="AE83" s="273">
        <v>4307.8099999999995</v>
      </c>
      <c r="AF83" s="273">
        <v>0</v>
      </c>
      <c r="AG83" s="273">
        <v>105334.32999999997</v>
      </c>
      <c r="AH83" s="273">
        <v>0</v>
      </c>
      <c r="AI83" s="273">
        <v>9819.7800000000007</v>
      </c>
      <c r="AJ83" s="273">
        <v>119742.10000000002</v>
      </c>
      <c r="AK83" s="273">
        <v>1049.32</v>
      </c>
      <c r="AL83" s="273">
        <v>878.48</v>
      </c>
      <c r="AM83" s="273">
        <v>0</v>
      </c>
      <c r="AN83" s="273">
        <v>0</v>
      </c>
      <c r="AO83" s="273">
        <v>0</v>
      </c>
      <c r="AP83" s="273">
        <v>0</v>
      </c>
      <c r="AQ83" s="273">
        <v>0</v>
      </c>
      <c r="AR83" s="273">
        <v>0</v>
      </c>
      <c r="AS83" s="273">
        <v>0</v>
      </c>
      <c r="AT83" s="273">
        <v>0</v>
      </c>
      <c r="AU83" s="273">
        <v>0</v>
      </c>
      <c r="AV83" s="273">
        <v>261545.46</v>
      </c>
      <c r="AW83" s="273">
        <v>134842.37999999998</v>
      </c>
      <c r="AX83" s="273">
        <v>0</v>
      </c>
      <c r="AY83" s="273">
        <v>12328.19</v>
      </c>
      <c r="AZ83" s="273">
        <v>0</v>
      </c>
      <c r="BA83" s="273">
        <v>0</v>
      </c>
      <c r="BB83" s="273">
        <v>11105.52</v>
      </c>
      <c r="BC83" s="273">
        <v>1771.1799999999998</v>
      </c>
      <c r="BD83" s="273">
        <v>4264.6099999999997</v>
      </c>
      <c r="BE83" s="273">
        <v>33761.11</v>
      </c>
      <c r="BF83" s="273">
        <v>324779.90999999997</v>
      </c>
      <c r="BG83" s="273">
        <v>0</v>
      </c>
      <c r="BH83" s="273">
        <v>0</v>
      </c>
      <c r="BI83" s="273">
        <v>0</v>
      </c>
      <c r="BJ83" s="273">
        <v>0</v>
      </c>
      <c r="BK83" s="273">
        <v>0</v>
      </c>
      <c r="BL83" s="273">
        <v>2661.51</v>
      </c>
      <c r="BM83" s="273">
        <v>0</v>
      </c>
      <c r="BN83" s="273">
        <v>432557.75</v>
      </c>
      <c r="BO83" s="273">
        <v>0</v>
      </c>
      <c r="BP83" s="273">
        <v>0</v>
      </c>
      <c r="BQ83" s="273">
        <v>0</v>
      </c>
      <c r="BR83" s="273">
        <v>0</v>
      </c>
      <c r="BS83" s="273">
        <v>0</v>
      </c>
      <c r="BT83" s="273">
        <v>0</v>
      </c>
      <c r="BU83" s="273">
        <v>0</v>
      </c>
      <c r="BV83" s="273">
        <v>0</v>
      </c>
      <c r="BW83" s="273">
        <v>0</v>
      </c>
      <c r="BX83" s="273">
        <v>19236.68</v>
      </c>
      <c r="BY83" s="273">
        <v>78093.340000000011</v>
      </c>
      <c r="BZ83" s="273">
        <v>5759.7199999999993</v>
      </c>
      <c r="CA83" s="273">
        <v>0</v>
      </c>
      <c r="CB83" s="273">
        <v>0</v>
      </c>
      <c r="CC83" s="273">
        <v>20415205.049999993</v>
      </c>
      <c r="CD83" s="282">
        <v>0</v>
      </c>
      <c r="CE83" s="25">
        <v>22915506.829999994</v>
      </c>
    </row>
    <row r="84" spans="1:84" x14ac:dyDescent="0.25">
      <c r="A84" s="31" t="s">
        <v>283</v>
      </c>
      <c r="B84" s="16"/>
      <c r="C84" s="273">
        <v>55037.74</v>
      </c>
      <c r="D84" s="273">
        <v>0</v>
      </c>
      <c r="E84" s="273">
        <v>86058.82</v>
      </c>
      <c r="F84" s="273">
        <v>13333.33</v>
      </c>
      <c r="G84" s="273">
        <v>0</v>
      </c>
      <c r="H84" s="273">
        <v>429721.66000000003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23472.91</v>
      </c>
      <c r="P84" s="273">
        <v>0</v>
      </c>
      <c r="Q84" s="273">
        <v>0</v>
      </c>
      <c r="R84" s="273">
        <v>0</v>
      </c>
      <c r="S84" s="273">
        <v>0</v>
      </c>
      <c r="T84" s="273">
        <v>0</v>
      </c>
      <c r="U84" s="273">
        <v>77975287.960000008</v>
      </c>
      <c r="V84" s="273">
        <v>0</v>
      </c>
      <c r="W84" s="273">
        <v>30</v>
      </c>
      <c r="X84" s="273">
        <v>0</v>
      </c>
      <c r="Y84" s="273">
        <v>0</v>
      </c>
      <c r="Z84" s="273">
        <v>373393.98</v>
      </c>
      <c r="AA84" s="273">
        <v>0</v>
      </c>
      <c r="AB84" s="273">
        <v>69701.67</v>
      </c>
      <c r="AC84" s="273">
        <v>0</v>
      </c>
      <c r="AD84" s="273">
        <v>0</v>
      </c>
      <c r="AE84" s="273">
        <v>-850.7299999999999</v>
      </c>
      <c r="AF84" s="273">
        <v>0</v>
      </c>
      <c r="AG84" s="273">
        <v>103299.17000000001</v>
      </c>
      <c r="AH84" s="273">
        <v>0</v>
      </c>
      <c r="AI84" s="273">
        <v>0</v>
      </c>
      <c r="AJ84" s="273">
        <v>401456.39</v>
      </c>
      <c r="AK84" s="273">
        <v>0</v>
      </c>
      <c r="AL84" s="273">
        <v>246.16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144670.9</v>
      </c>
      <c r="AW84" s="273">
        <v>1675693.27</v>
      </c>
      <c r="AX84" s="273">
        <v>0</v>
      </c>
      <c r="AY84" s="273">
        <v>768016.75</v>
      </c>
      <c r="AZ84" s="273">
        <v>0</v>
      </c>
      <c r="BA84" s="273">
        <v>0</v>
      </c>
      <c r="BB84" s="273">
        <v>8807.1299999999992</v>
      </c>
      <c r="BC84" s="273">
        <v>0</v>
      </c>
      <c r="BD84" s="273">
        <v>0</v>
      </c>
      <c r="BE84" s="273">
        <v>0</v>
      </c>
      <c r="BF84" s="273">
        <v>0</v>
      </c>
      <c r="BG84" s="273">
        <v>0</v>
      </c>
      <c r="BH84" s="273">
        <v>0</v>
      </c>
      <c r="BI84" s="273">
        <v>0</v>
      </c>
      <c r="BJ84" s="273">
        <v>0</v>
      </c>
      <c r="BK84" s="273">
        <v>0</v>
      </c>
      <c r="BL84" s="273">
        <v>0</v>
      </c>
      <c r="BM84" s="273">
        <v>0</v>
      </c>
      <c r="BN84" s="273">
        <v>95692.72</v>
      </c>
      <c r="BO84" s="273">
        <v>0</v>
      </c>
      <c r="BP84" s="273">
        <v>0</v>
      </c>
      <c r="BQ84" s="273">
        <v>0</v>
      </c>
      <c r="BR84" s="273">
        <v>0</v>
      </c>
      <c r="BS84" s="273">
        <v>0</v>
      </c>
      <c r="BT84" s="273">
        <v>0</v>
      </c>
      <c r="BU84" s="273">
        <v>0</v>
      </c>
      <c r="BV84" s="273">
        <v>0</v>
      </c>
      <c r="BW84" s="273">
        <v>0</v>
      </c>
      <c r="BX84" s="273">
        <v>0</v>
      </c>
      <c r="BY84" s="273">
        <v>85425.38</v>
      </c>
      <c r="BZ84" s="273">
        <v>0</v>
      </c>
      <c r="CA84" s="273">
        <v>0</v>
      </c>
      <c r="CB84" s="273">
        <v>0</v>
      </c>
      <c r="CC84" s="273">
        <v>1047059.1099999999</v>
      </c>
      <c r="CD84" s="273">
        <v>0</v>
      </c>
      <c r="CE84" s="25">
        <v>83355554.319999993</v>
      </c>
    </row>
    <row r="85" spans="1:84" x14ac:dyDescent="0.25">
      <c r="A85" s="31" t="s">
        <v>284</v>
      </c>
      <c r="B85" s="25"/>
      <c r="C85" s="25">
        <v>93866147.25999999</v>
      </c>
      <c r="D85" s="25">
        <v>9340319.709999999</v>
      </c>
      <c r="E85" s="25">
        <v>41917723.280000001</v>
      </c>
      <c r="F85" s="25">
        <v>7560148.8700000001</v>
      </c>
      <c r="G85" s="25">
        <v>0</v>
      </c>
      <c r="H85" s="25">
        <v>11261432.329999998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21043058.670000002</v>
      </c>
      <c r="P85" s="25">
        <v>125116070.88000003</v>
      </c>
      <c r="Q85" s="25">
        <v>0</v>
      </c>
      <c r="R85" s="25">
        <v>26654419.590000007</v>
      </c>
      <c r="S85" s="25">
        <v>9508382.3699999992</v>
      </c>
      <c r="T85" s="25">
        <v>33623649.389999993</v>
      </c>
      <c r="U85" s="25">
        <v>75223956.470000029</v>
      </c>
      <c r="V85" s="25">
        <v>152.38000000000002</v>
      </c>
      <c r="W85" s="25">
        <v>11455605.67</v>
      </c>
      <c r="X85" s="25">
        <v>4978080.74</v>
      </c>
      <c r="Y85" s="25">
        <v>37700267.180000007</v>
      </c>
      <c r="Z85" s="25">
        <v>30262959.219999999</v>
      </c>
      <c r="AA85" s="25">
        <v>1390024.42</v>
      </c>
      <c r="AB85" s="25">
        <v>152173484.15999997</v>
      </c>
      <c r="AC85" s="25">
        <v>10129825.109999999</v>
      </c>
      <c r="AD85" s="25">
        <v>2587696.6</v>
      </c>
      <c r="AE85" s="25">
        <v>3770658.6900000004</v>
      </c>
      <c r="AF85" s="25">
        <v>0</v>
      </c>
      <c r="AG85" s="25">
        <v>61631065.170000002</v>
      </c>
      <c r="AH85" s="25">
        <v>0</v>
      </c>
      <c r="AI85" s="25">
        <v>5268071.83</v>
      </c>
      <c r="AJ85" s="25">
        <v>33510991.589999989</v>
      </c>
      <c r="AK85" s="25">
        <v>122955.22</v>
      </c>
      <c r="AL85" s="25">
        <v>1160815.9200000002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48552059.810000002</v>
      </c>
      <c r="AW85" s="25">
        <v>14779019.639999995</v>
      </c>
      <c r="AX85" s="25">
        <v>0</v>
      </c>
      <c r="AY85" s="25">
        <v>1250957.51</v>
      </c>
      <c r="AZ85" s="25">
        <v>0</v>
      </c>
      <c r="BA85" s="25">
        <v>0</v>
      </c>
      <c r="BB85" s="25">
        <v>3810613.2999999993</v>
      </c>
      <c r="BC85" s="25">
        <v>2042735.7</v>
      </c>
      <c r="BD85" s="25">
        <v>962538.21</v>
      </c>
      <c r="BE85" s="25">
        <v>3179677.18</v>
      </c>
      <c r="BF85" s="25">
        <v>2219310.4499999997</v>
      </c>
      <c r="BG85" s="25">
        <v>0</v>
      </c>
      <c r="BH85" s="25">
        <v>0</v>
      </c>
      <c r="BI85" s="25">
        <v>0</v>
      </c>
      <c r="BJ85" s="25">
        <v>0</v>
      </c>
      <c r="BK85" s="25">
        <v>0</v>
      </c>
      <c r="BL85" s="25">
        <v>2421431.0699999998</v>
      </c>
      <c r="BM85" s="25">
        <v>0</v>
      </c>
      <c r="BN85" s="25">
        <v>99597406.209999993</v>
      </c>
      <c r="BO85" s="25">
        <v>0</v>
      </c>
      <c r="BP85" s="25">
        <v>0</v>
      </c>
      <c r="BQ85" s="25">
        <v>0</v>
      </c>
      <c r="BR85" s="25">
        <v>0</v>
      </c>
      <c r="BS85" s="25">
        <v>0</v>
      </c>
      <c r="BT85" s="25">
        <v>0</v>
      </c>
      <c r="BU85" s="25">
        <v>0</v>
      </c>
      <c r="BV85" s="25">
        <v>0</v>
      </c>
      <c r="BW85" s="25">
        <v>0</v>
      </c>
      <c r="BX85" s="25">
        <v>5311736.5999999996</v>
      </c>
      <c r="BY85" s="25">
        <v>4382005.8299999991</v>
      </c>
      <c r="BZ85" s="25">
        <v>4490633.5600000005</v>
      </c>
      <c r="CA85" s="25">
        <v>0</v>
      </c>
      <c r="CB85" s="25">
        <v>0</v>
      </c>
      <c r="CC85" s="25">
        <v>175046010.70999995</v>
      </c>
      <c r="CD85" s="25">
        <v>0</v>
      </c>
      <c r="CE85" s="25">
        <v>1179304098.5000002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335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>
        <v>0</v>
      </c>
    </row>
    <row r="87" spans="1:84" x14ac:dyDescent="0.25">
      <c r="A87" s="21" t="s">
        <v>286</v>
      </c>
      <c r="B87" s="16"/>
      <c r="C87" s="273">
        <v>328990517.08999997</v>
      </c>
      <c r="D87" s="273">
        <v>30656863</v>
      </c>
      <c r="E87" s="273">
        <v>116184133.09</v>
      </c>
      <c r="F87" s="273">
        <v>21030438</v>
      </c>
      <c r="G87" s="273">
        <v>0</v>
      </c>
      <c r="H87" s="273">
        <v>45425797</v>
      </c>
      <c r="I87" s="273">
        <v>0</v>
      </c>
      <c r="J87" s="273">
        <v>0</v>
      </c>
      <c r="K87" s="273">
        <v>0</v>
      </c>
      <c r="L87" s="273">
        <v>0</v>
      </c>
      <c r="M87" s="273">
        <v>0</v>
      </c>
      <c r="N87" s="273">
        <v>0</v>
      </c>
      <c r="O87" s="282">
        <v>46299342.299999997</v>
      </c>
      <c r="P87" s="273">
        <v>502169885.47999996</v>
      </c>
      <c r="Q87" s="273">
        <v>0</v>
      </c>
      <c r="R87" s="273">
        <v>62832852</v>
      </c>
      <c r="S87" s="273">
        <v>0</v>
      </c>
      <c r="T87" s="273">
        <v>13467151.779999999</v>
      </c>
      <c r="U87" s="273">
        <v>71209902.299999997</v>
      </c>
      <c r="V87" s="273">
        <v>5136649</v>
      </c>
      <c r="W87" s="273">
        <v>45663523.079999998</v>
      </c>
      <c r="X87" s="273">
        <v>95331100.670000002</v>
      </c>
      <c r="Y87" s="273">
        <v>124040112.8</v>
      </c>
      <c r="Z87" s="273">
        <v>5061175.6399999997</v>
      </c>
      <c r="AA87" s="273">
        <v>3549150.5700000003</v>
      </c>
      <c r="AB87" s="273">
        <v>134110173.39000002</v>
      </c>
      <c r="AC87" s="273">
        <v>92183189</v>
      </c>
      <c r="AD87" s="273">
        <v>4593886</v>
      </c>
      <c r="AE87" s="273">
        <v>9768836</v>
      </c>
      <c r="AF87" s="273">
        <v>0</v>
      </c>
      <c r="AG87" s="273">
        <v>128286015.5</v>
      </c>
      <c r="AH87" s="273">
        <v>0</v>
      </c>
      <c r="AI87" s="273">
        <v>11418621</v>
      </c>
      <c r="AJ87" s="273">
        <v>7362852</v>
      </c>
      <c r="AK87" s="273">
        <v>0</v>
      </c>
      <c r="AL87" s="273">
        <v>2755547</v>
      </c>
      <c r="AM87" s="273">
        <v>0</v>
      </c>
      <c r="AN87" s="273">
        <v>0</v>
      </c>
      <c r="AO87" s="273">
        <v>0</v>
      </c>
      <c r="AP87" s="273">
        <v>0</v>
      </c>
      <c r="AQ87" s="273">
        <v>0</v>
      </c>
      <c r="AR87" s="273">
        <v>0</v>
      </c>
      <c r="AS87" s="273">
        <v>0</v>
      </c>
      <c r="AT87" s="273">
        <v>0</v>
      </c>
      <c r="AU87" s="273">
        <v>0</v>
      </c>
      <c r="AV87" s="273">
        <v>55476357.219999999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73">
        <v>0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73">
        <v>0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v>1963004070.9099998</v>
      </c>
      <c r="CF87" s="11">
        <v>1963004070.9100003</v>
      </c>
    </row>
    <row r="88" spans="1:84" x14ac:dyDescent="0.25">
      <c r="A88" s="21" t="s">
        <v>287</v>
      </c>
      <c r="B88" s="16"/>
      <c r="C88" s="273">
        <v>1577151</v>
      </c>
      <c r="D88" s="273">
        <v>1410896</v>
      </c>
      <c r="E88" s="273">
        <v>4584260</v>
      </c>
      <c r="F88" s="273">
        <v>8922</v>
      </c>
      <c r="G88" s="273">
        <v>0</v>
      </c>
      <c r="H88" s="273">
        <v>2256589.9700000002</v>
      </c>
      <c r="I88" s="273">
        <v>0</v>
      </c>
      <c r="J88" s="273">
        <v>0</v>
      </c>
      <c r="K88" s="273">
        <v>0</v>
      </c>
      <c r="L88" s="273">
        <v>0</v>
      </c>
      <c r="M88" s="273">
        <v>0</v>
      </c>
      <c r="N88" s="273">
        <v>0</v>
      </c>
      <c r="O88" s="282">
        <v>11845512.130000001</v>
      </c>
      <c r="P88" s="273">
        <v>462397013</v>
      </c>
      <c r="Q88" s="273">
        <v>0</v>
      </c>
      <c r="R88" s="273">
        <v>78041861.010000005</v>
      </c>
      <c r="S88" s="273">
        <v>0</v>
      </c>
      <c r="T88" s="273">
        <v>185156278.72999999</v>
      </c>
      <c r="U88" s="273">
        <v>200189996.36000001</v>
      </c>
      <c r="V88" s="273">
        <v>8692610</v>
      </c>
      <c r="W88" s="273">
        <v>130101776.77</v>
      </c>
      <c r="X88" s="273">
        <v>160211849.88</v>
      </c>
      <c r="Y88" s="273">
        <v>213615248.41</v>
      </c>
      <c r="Z88" s="273">
        <v>181660318.31999999</v>
      </c>
      <c r="AA88" s="273">
        <v>6106604.5499999998</v>
      </c>
      <c r="AB88" s="273">
        <v>646360400.26999998</v>
      </c>
      <c r="AC88" s="273">
        <v>1593927</v>
      </c>
      <c r="AD88" s="273">
        <v>95278</v>
      </c>
      <c r="AE88" s="273">
        <v>991206</v>
      </c>
      <c r="AF88" s="273">
        <v>0</v>
      </c>
      <c r="AG88" s="273">
        <v>409301496.13999999</v>
      </c>
      <c r="AH88" s="273">
        <v>0</v>
      </c>
      <c r="AI88" s="273">
        <v>440308</v>
      </c>
      <c r="AJ88" s="273">
        <v>84104511.270000011</v>
      </c>
      <c r="AK88" s="273">
        <v>0</v>
      </c>
      <c r="AL88" s="273">
        <v>800238</v>
      </c>
      <c r="AM88" s="273">
        <v>0</v>
      </c>
      <c r="AN88" s="273">
        <v>0</v>
      </c>
      <c r="AO88" s="273">
        <v>0</v>
      </c>
      <c r="AP88" s="273">
        <v>0</v>
      </c>
      <c r="AQ88" s="273">
        <v>0</v>
      </c>
      <c r="AR88" s="273">
        <v>0</v>
      </c>
      <c r="AS88" s="273">
        <v>0</v>
      </c>
      <c r="AT88" s="273">
        <v>0</v>
      </c>
      <c r="AU88" s="273">
        <v>0</v>
      </c>
      <c r="AV88" s="273">
        <v>123812713.7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73">
        <v>0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v>2915356966.5099993</v>
      </c>
      <c r="CF88" s="11">
        <v>2915356966.5100002</v>
      </c>
    </row>
    <row r="89" spans="1:84" x14ac:dyDescent="0.25">
      <c r="A89" s="21" t="s">
        <v>288</v>
      </c>
      <c r="B89" s="16"/>
      <c r="C89" s="25">
        <v>330567668.08999997</v>
      </c>
      <c r="D89" s="25">
        <v>32067759</v>
      </c>
      <c r="E89" s="25">
        <v>120768393.09</v>
      </c>
      <c r="F89" s="25">
        <v>21039360</v>
      </c>
      <c r="G89" s="25">
        <v>0</v>
      </c>
      <c r="H89" s="25">
        <v>47682386.969999999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58144854.43</v>
      </c>
      <c r="P89" s="25">
        <v>964566898.48000002</v>
      </c>
      <c r="Q89" s="25">
        <v>0</v>
      </c>
      <c r="R89" s="25">
        <v>140874713.00999999</v>
      </c>
      <c r="S89" s="25">
        <v>0</v>
      </c>
      <c r="T89" s="25">
        <v>198623430.50999999</v>
      </c>
      <c r="U89" s="25">
        <v>271399898.66000003</v>
      </c>
      <c r="V89" s="25">
        <v>13829259</v>
      </c>
      <c r="W89" s="25">
        <v>175765299.84999999</v>
      </c>
      <c r="X89" s="25">
        <v>255542950.55000001</v>
      </c>
      <c r="Y89" s="25">
        <v>337655361.20999998</v>
      </c>
      <c r="Z89" s="25">
        <v>186721493.95999998</v>
      </c>
      <c r="AA89" s="25">
        <v>9655755.120000001</v>
      </c>
      <c r="AB89" s="25">
        <v>780470573.65999997</v>
      </c>
      <c r="AC89" s="25">
        <v>93777116</v>
      </c>
      <c r="AD89" s="25">
        <v>4689164</v>
      </c>
      <c r="AE89" s="25">
        <v>10760042</v>
      </c>
      <c r="AF89" s="25">
        <v>0</v>
      </c>
      <c r="AG89" s="25">
        <v>537587511.63999999</v>
      </c>
      <c r="AH89" s="25">
        <v>0</v>
      </c>
      <c r="AI89" s="25">
        <v>11858929</v>
      </c>
      <c r="AJ89" s="25">
        <v>91467363.270000011</v>
      </c>
      <c r="AK89" s="25">
        <v>0</v>
      </c>
      <c r="AL89" s="25">
        <v>3555785</v>
      </c>
      <c r="AM89" s="25">
        <v>0</v>
      </c>
      <c r="AN89" s="25">
        <v>0</v>
      </c>
      <c r="AO89" s="25">
        <v>0</v>
      </c>
      <c r="AP89" s="25">
        <v>0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179289070.92000002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5" t="s">
        <v>1056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5">
        <v>0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 t="s">
        <v>1056</v>
      </c>
    </row>
    <row r="90" spans="1:84" x14ac:dyDescent="0.25">
      <c r="A90" s="31" t="s">
        <v>289</v>
      </c>
      <c r="B90" s="25"/>
      <c r="C90" s="273">
        <v>85968.229999999923</v>
      </c>
      <c r="D90" s="273">
        <v>31054.614999999983</v>
      </c>
      <c r="E90" s="273">
        <v>41580.60000000002</v>
      </c>
      <c r="F90" s="273">
        <v>0</v>
      </c>
      <c r="G90" s="273">
        <v>0</v>
      </c>
      <c r="H90" s="273">
        <v>15030.029999999999</v>
      </c>
      <c r="I90" s="273">
        <v>0</v>
      </c>
      <c r="J90" s="273">
        <v>0</v>
      </c>
      <c r="K90" s="273">
        <v>0</v>
      </c>
      <c r="L90" s="273">
        <v>0</v>
      </c>
      <c r="M90" s="273">
        <v>0</v>
      </c>
      <c r="N90" s="273">
        <v>0</v>
      </c>
      <c r="O90" s="273">
        <v>45474.760000000017</v>
      </c>
      <c r="P90" s="273">
        <v>56536.441999999995</v>
      </c>
      <c r="Q90" s="273">
        <v>0</v>
      </c>
      <c r="R90" s="273">
        <v>13487.496999999996</v>
      </c>
      <c r="S90" s="273">
        <v>10580.562</v>
      </c>
      <c r="T90" s="273">
        <v>863.81000000000006</v>
      </c>
      <c r="U90" s="273">
        <v>21447.360000000001</v>
      </c>
      <c r="V90" s="273">
        <v>0</v>
      </c>
      <c r="W90" s="273">
        <v>1783.4099999999999</v>
      </c>
      <c r="X90" s="273">
        <v>2797.855</v>
      </c>
      <c r="Y90" s="273">
        <v>25012.902000000002</v>
      </c>
      <c r="Z90" s="273">
        <v>20828.250000000011</v>
      </c>
      <c r="AA90" s="273">
        <v>1708.6399999999999</v>
      </c>
      <c r="AB90" s="273">
        <v>13425.914999999997</v>
      </c>
      <c r="AC90" s="273">
        <v>2306.83</v>
      </c>
      <c r="AD90" s="273">
        <v>326.70999999999998</v>
      </c>
      <c r="AE90" s="273">
        <v>1243.94</v>
      </c>
      <c r="AF90" s="273">
        <v>0</v>
      </c>
      <c r="AG90" s="273">
        <v>50968.28</v>
      </c>
      <c r="AH90" s="273">
        <v>0</v>
      </c>
      <c r="AI90" s="273">
        <v>7806.2720000000008</v>
      </c>
      <c r="AJ90" s="273">
        <v>14237.170000000004</v>
      </c>
      <c r="AK90" s="273">
        <v>0</v>
      </c>
      <c r="AL90" s="273">
        <v>0</v>
      </c>
      <c r="AM90" s="273">
        <v>0</v>
      </c>
      <c r="AN90" s="273">
        <v>0</v>
      </c>
      <c r="AO90" s="273">
        <v>0</v>
      </c>
      <c r="AP90" s="273">
        <v>0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32832.744999999995</v>
      </c>
      <c r="AW90" s="273">
        <v>854.28</v>
      </c>
      <c r="AX90" s="273">
        <v>0</v>
      </c>
      <c r="AY90" s="273">
        <v>7753.91</v>
      </c>
      <c r="AZ90" s="273">
        <v>0</v>
      </c>
      <c r="BA90" s="273">
        <v>0</v>
      </c>
      <c r="BB90" s="273">
        <v>772.52</v>
      </c>
      <c r="BC90" s="273">
        <v>0</v>
      </c>
      <c r="BD90" s="273">
        <v>2167</v>
      </c>
      <c r="BE90" s="273">
        <v>22807.849999999995</v>
      </c>
      <c r="BF90" s="273">
        <v>2006.92</v>
      </c>
      <c r="BG90" s="273">
        <v>0</v>
      </c>
      <c r="BH90" s="273">
        <v>0</v>
      </c>
      <c r="BI90" s="273">
        <v>0</v>
      </c>
      <c r="BJ90" s="273">
        <v>0</v>
      </c>
      <c r="BK90" s="273">
        <v>0</v>
      </c>
      <c r="BL90" s="273">
        <v>1432.76</v>
      </c>
      <c r="BM90" s="273">
        <v>0</v>
      </c>
      <c r="BN90" s="273">
        <v>10024.09</v>
      </c>
      <c r="BO90" s="273">
        <v>0</v>
      </c>
      <c r="BP90" s="273">
        <v>0</v>
      </c>
      <c r="BQ90" s="273">
        <v>0</v>
      </c>
      <c r="BR90" s="273">
        <v>0</v>
      </c>
      <c r="BS90" s="273">
        <v>0</v>
      </c>
      <c r="BT90" s="273">
        <v>0</v>
      </c>
      <c r="BU90" s="273">
        <v>0</v>
      </c>
      <c r="BV90" s="273">
        <v>0</v>
      </c>
      <c r="BW90" s="273">
        <v>0</v>
      </c>
      <c r="BX90" s="273">
        <v>2529.8799999999997</v>
      </c>
      <c r="BY90" s="273">
        <v>497.74</v>
      </c>
      <c r="BZ90" s="273">
        <v>380.67</v>
      </c>
      <c r="CA90" s="273">
        <v>0</v>
      </c>
      <c r="CB90" s="273">
        <v>0</v>
      </c>
      <c r="CC90" s="273">
        <v>3573.97</v>
      </c>
      <c r="CD90" s="224" t="s">
        <v>247</v>
      </c>
      <c r="CE90" s="25">
        <v>552104.41499999992</v>
      </c>
      <c r="CF90" s="25">
        <v>0</v>
      </c>
    </row>
    <row r="91" spans="1:84" x14ac:dyDescent="0.25">
      <c r="A91" s="21" t="s">
        <v>290</v>
      </c>
      <c r="B91" s="16"/>
      <c r="C91" s="273">
        <v>61986</v>
      </c>
      <c r="D91" s="273">
        <v>28028</v>
      </c>
      <c r="E91" s="273">
        <v>158005</v>
      </c>
      <c r="F91" s="273">
        <v>0</v>
      </c>
      <c r="G91" s="273">
        <v>0</v>
      </c>
      <c r="H91" s="273">
        <v>43902</v>
      </c>
      <c r="I91" s="273">
        <v>0</v>
      </c>
      <c r="J91" s="273">
        <v>0</v>
      </c>
      <c r="K91" s="273">
        <v>0</v>
      </c>
      <c r="L91" s="273">
        <v>0</v>
      </c>
      <c r="M91" s="273">
        <v>0</v>
      </c>
      <c r="N91" s="273">
        <v>0</v>
      </c>
      <c r="O91" s="273">
        <v>19819</v>
      </c>
      <c r="P91" s="273">
        <v>23921</v>
      </c>
      <c r="Q91" s="273">
        <v>0</v>
      </c>
      <c r="R91" s="273">
        <v>424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117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20120</v>
      </c>
      <c r="AH91" s="273">
        <v>0</v>
      </c>
      <c r="AI91" s="273">
        <v>9880</v>
      </c>
      <c r="AJ91" s="273">
        <v>16</v>
      </c>
      <c r="AK91" s="273">
        <v>0</v>
      </c>
      <c r="AL91" s="273">
        <v>131</v>
      </c>
      <c r="AM91" s="273">
        <v>0</v>
      </c>
      <c r="AN91" s="273">
        <v>0</v>
      </c>
      <c r="AO91" s="273">
        <v>0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22431</v>
      </c>
      <c r="AW91" s="273">
        <v>0</v>
      </c>
      <c r="AX91" s="264" t="s">
        <v>247</v>
      </c>
      <c r="AY91" s="264" t="s">
        <v>247</v>
      </c>
      <c r="AZ91" s="273">
        <v>0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v>388780</v>
      </c>
      <c r="CF91" s="25">
        <v>0</v>
      </c>
    </row>
    <row r="92" spans="1:84" x14ac:dyDescent="0.25">
      <c r="A92" s="21" t="s">
        <v>291</v>
      </c>
      <c r="B92" s="16"/>
      <c r="C92" s="273">
        <v>26167.062557497702</v>
      </c>
      <c r="D92" s="273">
        <v>1762.1099356025759</v>
      </c>
      <c r="E92" s="273">
        <v>23042.422263109474</v>
      </c>
      <c r="F92" s="273">
        <v>0</v>
      </c>
      <c r="G92" s="273">
        <v>0</v>
      </c>
      <c r="H92" s="273">
        <v>0</v>
      </c>
      <c r="I92" s="273">
        <v>0</v>
      </c>
      <c r="J92" s="273">
        <v>0</v>
      </c>
      <c r="K92" s="273">
        <v>0</v>
      </c>
      <c r="L92" s="273">
        <v>0</v>
      </c>
      <c r="M92" s="273">
        <v>0</v>
      </c>
      <c r="N92" s="273">
        <v>0</v>
      </c>
      <c r="O92" s="273">
        <v>19504.703081876727</v>
      </c>
      <c r="P92" s="273">
        <v>46508.72286108556</v>
      </c>
      <c r="Q92" s="273">
        <v>0</v>
      </c>
      <c r="R92" s="273">
        <v>0</v>
      </c>
      <c r="S92" s="273">
        <v>2183.2884084636617</v>
      </c>
      <c r="T92" s="273">
        <v>0</v>
      </c>
      <c r="U92" s="273">
        <v>839.6570837166513</v>
      </c>
      <c r="V92" s="273">
        <v>0</v>
      </c>
      <c r="W92" s="273">
        <v>4949.7470101195959</v>
      </c>
      <c r="X92" s="273">
        <v>0</v>
      </c>
      <c r="Y92" s="273">
        <v>7353.5241490340386</v>
      </c>
      <c r="Z92" s="273">
        <v>0</v>
      </c>
      <c r="AA92" s="273">
        <v>0</v>
      </c>
      <c r="AB92" s="273">
        <v>1493.9236430542778</v>
      </c>
      <c r="AC92" s="273">
        <v>0</v>
      </c>
      <c r="AD92" s="273">
        <v>0</v>
      </c>
      <c r="AE92" s="273">
        <v>0</v>
      </c>
      <c r="AF92" s="273">
        <v>0</v>
      </c>
      <c r="AG92" s="273">
        <v>19024.127644894204</v>
      </c>
      <c r="AH92" s="273">
        <v>0</v>
      </c>
      <c r="AI92" s="273">
        <v>0</v>
      </c>
      <c r="AJ92" s="273">
        <v>10957.839926402943</v>
      </c>
      <c r="AK92" s="273">
        <v>0</v>
      </c>
      <c r="AL92" s="273">
        <v>0</v>
      </c>
      <c r="AM92" s="273">
        <v>0</v>
      </c>
      <c r="AN92" s="273">
        <v>0</v>
      </c>
      <c r="AO92" s="273">
        <v>0</v>
      </c>
      <c r="AP92" s="273">
        <v>0</v>
      </c>
      <c r="AQ92" s="273">
        <v>0</v>
      </c>
      <c r="AR92" s="273">
        <v>0</v>
      </c>
      <c r="AS92" s="273">
        <v>0</v>
      </c>
      <c r="AT92" s="273">
        <v>0</v>
      </c>
      <c r="AU92" s="273">
        <v>0</v>
      </c>
      <c r="AV92" s="273">
        <v>23637.291858325669</v>
      </c>
      <c r="AW92" s="273">
        <v>0</v>
      </c>
      <c r="AX92" s="264" t="s">
        <v>247</v>
      </c>
      <c r="AY92" s="264" t="s">
        <v>247</v>
      </c>
      <c r="AZ92" s="24" t="s">
        <v>247</v>
      </c>
      <c r="BA92" s="273">
        <v>0</v>
      </c>
      <c r="BB92" s="273">
        <v>0</v>
      </c>
      <c r="BC92" s="273">
        <v>0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0</v>
      </c>
      <c r="BI92" s="273">
        <v>63007.579576816926</v>
      </c>
      <c r="BJ92" s="24" t="s">
        <v>247</v>
      </c>
      <c r="BK92" s="273">
        <v>0</v>
      </c>
      <c r="BL92" s="273">
        <v>0</v>
      </c>
      <c r="BM92" s="273">
        <v>0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>
        <v>0</v>
      </c>
      <c r="BT92" s="273">
        <v>0</v>
      </c>
      <c r="BU92" s="273">
        <v>0</v>
      </c>
      <c r="BV92" s="273">
        <v>0</v>
      </c>
      <c r="BW92" s="273">
        <v>0</v>
      </c>
      <c r="BX92" s="273">
        <v>0</v>
      </c>
      <c r="BY92" s="273">
        <v>0</v>
      </c>
      <c r="BZ92" s="273">
        <v>0</v>
      </c>
      <c r="CA92" s="273">
        <v>0</v>
      </c>
      <c r="CB92" s="273">
        <v>0</v>
      </c>
      <c r="CC92" s="24" t="s">
        <v>247</v>
      </c>
      <c r="CD92" s="24" t="s">
        <v>247</v>
      </c>
      <c r="CE92" s="25">
        <v>250432</v>
      </c>
      <c r="CF92" s="16"/>
    </row>
    <row r="93" spans="1:84" x14ac:dyDescent="0.25">
      <c r="A93" s="21" t="s">
        <v>292</v>
      </c>
      <c r="B93" s="16"/>
      <c r="C93" s="273">
        <v>579871.56999999995</v>
      </c>
      <c r="D93" s="273">
        <v>58440.34</v>
      </c>
      <c r="E93" s="273">
        <v>212642.28999999998</v>
      </c>
      <c r="F93" s="273">
        <v>77503.289999999994</v>
      </c>
      <c r="G93" s="273">
        <v>0</v>
      </c>
      <c r="H93" s="273">
        <v>33300.35</v>
      </c>
      <c r="I93" s="273">
        <v>0</v>
      </c>
      <c r="J93" s="273">
        <v>0</v>
      </c>
      <c r="K93" s="273">
        <v>0</v>
      </c>
      <c r="L93" s="273">
        <v>0</v>
      </c>
      <c r="M93" s="273">
        <v>0</v>
      </c>
      <c r="N93" s="273">
        <v>0</v>
      </c>
      <c r="O93" s="273">
        <v>191651.5</v>
      </c>
      <c r="P93" s="273">
        <v>391709.9</v>
      </c>
      <c r="Q93" s="273">
        <v>0</v>
      </c>
      <c r="R93" s="273">
        <v>115034.96</v>
      </c>
      <c r="S93" s="273">
        <v>559795.98</v>
      </c>
      <c r="T93" s="273">
        <v>30198.46</v>
      </c>
      <c r="U93" s="273">
        <v>3402.3999999999996</v>
      </c>
      <c r="V93" s="273">
        <v>0</v>
      </c>
      <c r="W93" s="273">
        <v>124546.26999999999</v>
      </c>
      <c r="X93" s="273">
        <v>167033.21</v>
      </c>
      <c r="Y93" s="273">
        <v>74120.88</v>
      </c>
      <c r="Z93" s="273">
        <v>70975.78</v>
      </c>
      <c r="AA93" s="273">
        <v>0</v>
      </c>
      <c r="AB93" s="273">
        <v>17636.759999999998</v>
      </c>
      <c r="AC93" s="273">
        <v>0</v>
      </c>
      <c r="AD93" s="273">
        <v>0</v>
      </c>
      <c r="AE93" s="273">
        <v>0</v>
      </c>
      <c r="AF93" s="273">
        <v>0</v>
      </c>
      <c r="AG93" s="273">
        <v>658110.52</v>
      </c>
      <c r="AH93" s="273">
        <v>0</v>
      </c>
      <c r="AI93" s="273">
        <v>73852.009999999995</v>
      </c>
      <c r="AJ93" s="273">
        <v>114390.34999999995</v>
      </c>
      <c r="AK93" s="273">
        <v>0</v>
      </c>
      <c r="AL93" s="273">
        <v>0</v>
      </c>
      <c r="AM93" s="273">
        <v>0</v>
      </c>
      <c r="AN93" s="273">
        <v>0</v>
      </c>
      <c r="AO93" s="273">
        <v>0</v>
      </c>
      <c r="AP93" s="273">
        <v>25509.61</v>
      </c>
      <c r="AQ93" s="273">
        <v>0</v>
      </c>
      <c r="AR93" s="273">
        <v>1588.35</v>
      </c>
      <c r="AS93" s="273">
        <v>0</v>
      </c>
      <c r="AT93" s="273">
        <v>0</v>
      </c>
      <c r="AU93" s="273">
        <v>0</v>
      </c>
      <c r="AV93" s="273">
        <v>61090.9</v>
      </c>
      <c r="AW93" s="273">
        <v>0</v>
      </c>
      <c r="AX93" s="264" t="s">
        <v>247</v>
      </c>
      <c r="AY93" s="273">
        <v>19666.349999999999</v>
      </c>
      <c r="AZ93" s="24" t="s">
        <v>247</v>
      </c>
      <c r="BA93" s="24" t="s">
        <v>247</v>
      </c>
      <c r="BB93" s="273">
        <v>0</v>
      </c>
      <c r="BC93" s="273">
        <v>0</v>
      </c>
      <c r="BD93" s="273">
        <v>45577.15</v>
      </c>
      <c r="BE93" s="24" t="s">
        <v>247</v>
      </c>
      <c r="BF93" s="273">
        <v>144.41</v>
      </c>
      <c r="BG93" s="24" t="s">
        <v>247</v>
      </c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247</v>
      </c>
      <c r="CD93" s="24" t="s">
        <v>247</v>
      </c>
      <c r="CE93" s="25">
        <v>3707793.5899999989</v>
      </c>
      <c r="CF93" s="25">
        <v>0</v>
      </c>
    </row>
    <row r="94" spans="1:84" x14ac:dyDescent="0.25">
      <c r="A94" s="21" t="s">
        <v>293</v>
      </c>
      <c r="B94" s="16"/>
      <c r="C94" s="273">
        <v>352.84886226732914</v>
      </c>
      <c r="D94" s="273">
        <v>28.051642954520556</v>
      </c>
      <c r="E94" s="273">
        <v>112.99402034890403</v>
      </c>
      <c r="F94" s="273">
        <v>25.840362992260275</v>
      </c>
      <c r="G94" s="273">
        <v>0</v>
      </c>
      <c r="H94" s="273">
        <v>18.314004186301371</v>
      </c>
      <c r="I94" s="273">
        <v>0</v>
      </c>
      <c r="J94" s="273">
        <v>0</v>
      </c>
      <c r="K94" s="273">
        <v>0</v>
      </c>
      <c r="L94" s="273">
        <v>0</v>
      </c>
      <c r="M94" s="273">
        <v>0</v>
      </c>
      <c r="N94" s="273">
        <v>0</v>
      </c>
      <c r="O94" s="273">
        <v>45.392574402191784</v>
      </c>
      <c r="P94" s="273">
        <v>116.09899243130135</v>
      </c>
      <c r="Q94" s="273">
        <v>0</v>
      </c>
      <c r="R94" s="273">
        <v>89.096363635616385</v>
      </c>
      <c r="S94" s="273">
        <v>2.2913013698630136E-2</v>
      </c>
      <c r="T94" s="273">
        <v>28.00931803082192</v>
      </c>
      <c r="U94" s="273">
        <v>9.5890410958904109E-6</v>
      </c>
      <c r="V94" s="273">
        <v>0</v>
      </c>
      <c r="W94" s="273">
        <v>0</v>
      </c>
      <c r="X94" s="273">
        <v>0</v>
      </c>
      <c r="Y94" s="273">
        <v>7.9867842465753434</v>
      </c>
      <c r="Z94" s="273">
        <v>15.206649948767124</v>
      </c>
      <c r="AA94" s="273">
        <v>0</v>
      </c>
      <c r="AB94" s="273">
        <v>0</v>
      </c>
      <c r="AC94" s="273">
        <v>0</v>
      </c>
      <c r="AD94" s="273">
        <v>0</v>
      </c>
      <c r="AE94" s="273">
        <v>0</v>
      </c>
      <c r="AF94" s="273">
        <v>0</v>
      </c>
      <c r="AG94" s="273">
        <v>95.767300226643826</v>
      </c>
      <c r="AH94" s="273">
        <v>0</v>
      </c>
      <c r="AI94" s="273">
        <v>20.74024221739726</v>
      </c>
      <c r="AJ94" s="273">
        <v>25.021370138972593</v>
      </c>
      <c r="AK94" s="273">
        <v>0</v>
      </c>
      <c r="AL94" s="273">
        <v>0</v>
      </c>
      <c r="AM94" s="273">
        <v>0</v>
      </c>
      <c r="AN94" s="273">
        <v>0</v>
      </c>
      <c r="AO94" s="273">
        <v>0</v>
      </c>
      <c r="AP94" s="273">
        <v>0</v>
      </c>
      <c r="AQ94" s="273">
        <v>0</v>
      </c>
      <c r="AR94" s="273">
        <v>0</v>
      </c>
      <c r="AS94" s="273">
        <v>0</v>
      </c>
      <c r="AT94" s="273">
        <v>0</v>
      </c>
      <c r="AU94" s="273">
        <v>0</v>
      </c>
      <c r="AV94" s="273">
        <v>40.01584138136986</v>
      </c>
      <c r="AW94" s="273">
        <v>63.380292604520548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73">
        <v>4.1738232430136977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73">
        <v>0.77098287671232868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4" t="s">
        <v>247</v>
      </c>
      <c r="BV94" s="24" t="s">
        <v>247</v>
      </c>
      <c r="BW94" s="24" t="s">
        <v>247</v>
      </c>
      <c r="BX94" s="273">
        <v>10.686211635342465</v>
      </c>
      <c r="BY94" s="273">
        <v>2.7343734758219176</v>
      </c>
      <c r="BZ94" s="282">
        <v>13.508865826917809</v>
      </c>
      <c r="CA94" s="24" t="s">
        <v>247</v>
      </c>
      <c r="CB94" s="24" t="s">
        <v>247</v>
      </c>
      <c r="CC94" s="24" t="s">
        <v>247</v>
      </c>
      <c r="CD94" s="24" t="s">
        <v>247</v>
      </c>
      <c r="CE94" s="226">
        <v>1116.6618016740413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1057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7"/>
      <c r="D99" s="284" t="s">
        <v>297</v>
      </c>
      <c r="E99" s="285" t="s">
        <v>297</v>
      </c>
      <c r="F99" s="12"/>
    </row>
    <row r="100" spans="1:6" x14ac:dyDescent="0.25">
      <c r="A100" s="25" t="s">
        <v>304</v>
      </c>
      <c r="B100" s="32" t="s">
        <v>299</v>
      </c>
      <c r="C100" s="287" t="s">
        <v>305</v>
      </c>
      <c r="D100" s="284" t="s">
        <v>297</v>
      </c>
      <c r="E100" s="285" t="s">
        <v>297</v>
      </c>
      <c r="F100" s="12"/>
    </row>
    <row r="101" spans="1:6" x14ac:dyDescent="0.25">
      <c r="A101" s="25" t="s">
        <v>306</v>
      </c>
      <c r="B101" s="32" t="s">
        <v>299</v>
      </c>
      <c r="C101" s="287" t="s">
        <v>307</v>
      </c>
      <c r="D101" s="284" t="s">
        <v>297</v>
      </c>
      <c r="E101" s="285" t="s">
        <v>297</v>
      </c>
      <c r="F101" s="12"/>
    </row>
    <row r="102" spans="1:6" x14ac:dyDescent="0.25">
      <c r="A102" s="25" t="s">
        <v>308</v>
      </c>
      <c r="B102" s="32" t="s">
        <v>299</v>
      </c>
      <c r="C102" s="289">
        <v>98405</v>
      </c>
      <c r="D102" s="284" t="s">
        <v>297</v>
      </c>
      <c r="E102" s="285" t="s">
        <v>297</v>
      </c>
      <c r="F102" s="12"/>
    </row>
    <row r="103" spans="1:6" x14ac:dyDescent="0.25">
      <c r="A103" s="25" t="s">
        <v>309</v>
      </c>
      <c r="B103" s="32" t="s">
        <v>299</v>
      </c>
      <c r="C103" s="287" t="s">
        <v>310</v>
      </c>
      <c r="D103" s="284" t="s">
        <v>297</v>
      </c>
      <c r="E103" s="285" t="s">
        <v>297</v>
      </c>
      <c r="F103" s="12"/>
    </row>
    <row r="104" spans="1:6" x14ac:dyDescent="0.25">
      <c r="A104" s="25" t="s">
        <v>311</v>
      </c>
      <c r="B104" s="32" t="s">
        <v>299</v>
      </c>
      <c r="C104" s="290" t="s">
        <v>297</v>
      </c>
      <c r="D104" s="284" t="s">
        <v>297</v>
      </c>
      <c r="E104" s="285" t="s">
        <v>297</v>
      </c>
      <c r="F104" s="12"/>
    </row>
    <row r="105" spans="1:6" x14ac:dyDescent="0.25">
      <c r="A105" s="25" t="s">
        <v>312</v>
      </c>
      <c r="B105" s="32" t="s">
        <v>299</v>
      </c>
      <c r="C105" s="290" t="s">
        <v>297</v>
      </c>
      <c r="D105" s="284" t="s">
        <v>297</v>
      </c>
      <c r="E105" s="285" t="s">
        <v>297</v>
      </c>
      <c r="F105" s="12"/>
    </row>
    <row r="106" spans="1:6" x14ac:dyDescent="0.25">
      <c r="A106" s="25" t="s">
        <v>313</v>
      </c>
      <c r="B106" s="32" t="s">
        <v>299</v>
      </c>
      <c r="C106" s="287" t="s">
        <v>297</v>
      </c>
      <c r="D106" s="284" t="s">
        <v>297</v>
      </c>
      <c r="E106" s="285" t="s">
        <v>297</v>
      </c>
      <c r="F106" s="12"/>
    </row>
    <row r="107" spans="1:6" x14ac:dyDescent="0.25">
      <c r="A107" s="25" t="s">
        <v>314</v>
      </c>
      <c r="B107" s="32" t="s">
        <v>299</v>
      </c>
      <c r="C107" s="291">
        <v>2534031000</v>
      </c>
      <c r="D107" s="284" t="s">
        <v>297</v>
      </c>
      <c r="E107" s="285" t="s">
        <v>297</v>
      </c>
      <c r="F107" s="12"/>
    </row>
    <row r="108" spans="1:6" x14ac:dyDescent="0.25">
      <c r="A108" s="25" t="s">
        <v>315</v>
      </c>
      <c r="B108" s="32" t="s">
        <v>299</v>
      </c>
      <c r="C108" s="291">
        <v>2434597859</v>
      </c>
      <c r="D108" s="284" t="s">
        <v>297</v>
      </c>
      <c r="E108" s="285" t="s">
        <v>297</v>
      </c>
      <c r="F108" s="12"/>
    </row>
    <row r="109" spans="1:6" x14ac:dyDescent="0.25">
      <c r="A109" s="33" t="s">
        <v>316</v>
      </c>
      <c r="B109" s="32" t="s">
        <v>299</v>
      </c>
      <c r="C109" s="336" t="s">
        <v>1058</v>
      </c>
      <c r="D109" s="284" t="s">
        <v>297</v>
      </c>
      <c r="E109" s="285" t="s">
        <v>297</v>
      </c>
      <c r="F109" s="12"/>
    </row>
    <row r="110" spans="1:6" x14ac:dyDescent="0.25">
      <c r="A110" s="33" t="s">
        <v>317</v>
      </c>
      <c r="B110" s="32" t="s">
        <v>299</v>
      </c>
      <c r="C110" s="228" t="s">
        <v>1059</v>
      </c>
      <c r="D110" s="284" t="s">
        <v>297</v>
      </c>
      <c r="E110" s="285" t="s">
        <v>297</v>
      </c>
      <c r="F110" s="12"/>
    </row>
    <row r="111" spans="1:6" x14ac:dyDescent="0.25">
      <c r="A111" s="30" t="s">
        <v>318</v>
      </c>
      <c r="B111" s="30"/>
      <c r="C111" s="30"/>
      <c r="D111" s="30"/>
      <c r="E111" s="30"/>
    </row>
    <row r="112" spans="1:6" x14ac:dyDescent="0.25">
      <c r="A112" s="34" t="s">
        <v>319</v>
      </c>
      <c r="B112" s="34"/>
      <c r="C112" s="34"/>
      <c r="D112" s="34"/>
      <c r="E112" s="34"/>
    </row>
    <row r="113" spans="1:5" x14ac:dyDescent="0.25">
      <c r="A113" s="16" t="s">
        <v>306</v>
      </c>
      <c r="B113" s="35" t="s">
        <v>299</v>
      </c>
      <c r="C113" s="292">
        <v>0</v>
      </c>
      <c r="D113" s="16"/>
      <c r="E113" s="16"/>
    </row>
    <row r="114" spans="1:5" x14ac:dyDescent="0.25">
      <c r="A114" s="16" t="s">
        <v>309</v>
      </c>
      <c r="B114" s="35" t="s">
        <v>299</v>
      </c>
      <c r="C114" s="292">
        <v>0</v>
      </c>
      <c r="D114" s="16"/>
      <c r="E114" s="16"/>
    </row>
    <row r="115" spans="1:5" x14ac:dyDescent="0.25">
      <c r="A115" s="16" t="s">
        <v>320</v>
      </c>
      <c r="B115" s="35" t="s">
        <v>299</v>
      </c>
      <c r="C115" s="292">
        <v>0</v>
      </c>
      <c r="D115" s="16"/>
      <c r="E115" s="16"/>
    </row>
    <row r="116" spans="1:5" x14ac:dyDescent="0.25">
      <c r="A116" s="34" t="s">
        <v>321</v>
      </c>
      <c r="B116" s="34"/>
      <c r="C116" s="34"/>
      <c r="D116" s="34"/>
      <c r="E116" s="34"/>
    </row>
    <row r="117" spans="1:5" x14ac:dyDescent="0.25">
      <c r="A117" s="16" t="s">
        <v>322</v>
      </c>
      <c r="B117" s="35" t="s">
        <v>299</v>
      </c>
      <c r="C117" s="292">
        <v>0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0</v>
      </c>
      <c r="D118" s="16"/>
      <c r="E118" s="16"/>
    </row>
    <row r="119" spans="1:5" x14ac:dyDescent="0.25">
      <c r="A119" s="34" t="s">
        <v>323</v>
      </c>
      <c r="B119" s="34"/>
      <c r="C119" s="34"/>
      <c r="D119" s="34"/>
      <c r="E119" s="34"/>
    </row>
    <row r="120" spans="1:5" x14ac:dyDescent="0.25">
      <c r="A120" s="16" t="s">
        <v>324</v>
      </c>
      <c r="B120" s="35" t="s">
        <v>299</v>
      </c>
      <c r="C120" s="292">
        <v>0</v>
      </c>
      <c r="D120" s="16"/>
      <c r="E120" s="16"/>
    </row>
    <row r="121" spans="1:5" x14ac:dyDescent="0.25">
      <c r="A121" s="16" t="s">
        <v>325</v>
      </c>
      <c r="B121" s="35" t="s">
        <v>299</v>
      </c>
      <c r="C121" s="292">
        <v>0</v>
      </c>
      <c r="D121" s="16"/>
      <c r="E121" s="16"/>
    </row>
    <row r="122" spans="1:5" x14ac:dyDescent="0.25">
      <c r="A122" s="16" t="s">
        <v>326</v>
      </c>
      <c r="B122" s="35" t="s">
        <v>299</v>
      </c>
      <c r="C122" s="292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327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328</v>
      </c>
      <c r="B126" s="16"/>
      <c r="C126" s="17" t="s">
        <v>329</v>
      </c>
      <c r="D126" s="18" t="s">
        <v>241</v>
      </c>
      <c r="E126" s="16"/>
    </row>
    <row r="127" spans="1:5" x14ac:dyDescent="0.25">
      <c r="A127" s="16" t="s">
        <v>330</v>
      </c>
      <c r="B127" s="35" t="s">
        <v>299</v>
      </c>
      <c r="C127" s="292">
        <v>24655</v>
      </c>
      <c r="D127" s="295">
        <v>140212</v>
      </c>
      <c r="E127" s="16"/>
    </row>
    <row r="128" spans="1:5" x14ac:dyDescent="0.25">
      <c r="A128" s="16" t="s">
        <v>331</v>
      </c>
      <c r="B128" s="35" t="s">
        <v>299</v>
      </c>
      <c r="C128" s="292">
        <v>0</v>
      </c>
      <c r="D128" s="295">
        <v>0</v>
      </c>
      <c r="E128" s="16"/>
    </row>
    <row r="129" spans="1:5" x14ac:dyDescent="0.25">
      <c r="A129" s="16" t="s">
        <v>332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333</v>
      </c>
      <c r="B130" s="35" t="s">
        <v>299</v>
      </c>
      <c r="C130" s="292">
        <v>3225</v>
      </c>
      <c r="D130" s="295">
        <v>4557</v>
      </c>
      <c r="E130" s="16"/>
    </row>
    <row r="131" spans="1:5" x14ac:dyDescent="0.25">
      <c r="A131" s="21" t="s">
        <v>334</v>
      </c>
      <c r="B131" s="16"/>
      <c r="C131" s="17" t="s">
        <v>193</v>
      </c>
      <c r="D131" s="16"/>
      <c r="E131" s="16"/>
    </row>
    <row r="132" spans="1:5" x14ac:dyDescent="0.25">
      <c r="A132" s="16" t="s">
        <v>335</v>
      </c>
      <c r="B132" s="35" t="s">
        <v>299</v>
      </c>
      <c r="C132" s="292">
        <v>136</v>
      </c>
      <c r="D132" s="16"/>
      <c r="E132" s="16"/>
    </row>
    <row r="133" spans="1:5" x14ac:dyDescent="0.25">
      <c r="A133" s="16" t="s">
        <v>336</v>
      </c>
      <c r="B133" s="35" t="s">
        <v>299</v>
      </c>
      <c r="C133" s="292">
        <v>65</v>
      </c>
      <c r="D133" s="16"/>
      <c r="E133" s="16"/>
    </row>
    <row r="134" spans="1:5" x14ac:dyDescent="0.25">
      <c r="A134" s="16" t="s">
        <v>337</v>
      </c>
      <c r="B134" s="35" t="s">
        <v>299</v>
      </c>
      <c r="C134" s="292">
        <v>96</v>
      </c>
      <c r="D134" s="16"/>
      <c r="E134" s="16"/>
    </row>
    <row r="135" spans="1:5" x14ac:dyDescent="0.25">
      <c r="A135" s="16" t="s">
        <v>338</v>
      </c>
      <c r="B135" s="35" t="s">
        <v>299</v>
      </c>
      <c r="C135" s="292">
        <v>0</v>
      </c>
      <c r="D135" s="16"/>
      <c r="E135" s="16"/>
    </row>
    <row r="136" spans="1:5" x14ac:dyDescent="0.25">
      <c r="A136" s="16" t="s">
        <v>339</v>
      </c>
      <c r="B136" s="35" t="s">
        <v>299</v>
      </c>
      <c r="C136" s="292">
        <v>62</v>
      </c>
      <c r="D136" s="16"/>
      <c r="E136" s="16"/>
    </row>
    <row r="137" spans="1:5" x14ac:dyDescent="0.25">
      <c r="A137" s="16" t="s">
        <v>340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27</v>
      </c>
      <c r="D138" s="16"/>
      <c r="E138" s="16"/>
    </row>
    <row r="139" spans="1:5" x14ac:dyDescent="0.25">
      <c r="A139" s="16" t="s">
        <v>341</v>
      </c>
      <c r="B139" s="35" t="s">
        <v>299</v>
      </c>
      <c r="C139" s="292">
        <v>0</v>
      </c>
      <c r="D139" s="16"/>
      <c r="E139" s="16"/>
    </row>
    <row r="140" spans="1:5" x14ac:dyDescent="0.25">
      <c r="A140" s="16" t="s">
        <v>342</v>
      </c>
      <c r="B140" s="35"/>
      <c r="C140" s="292">
        <v>0</v>
      </c>
      <c r="D140" s="16"/>
      <c r="E140" s="16"/>
    </row>
    <row r="141" spans="1:5" x14ac:dyDescent="0.25">
      <c r="A141" s="16" t="s">
        <v>332</v>
      </c>
      <c r="B141" s="35" t="s">
        <v>299</v>
      </c>
      <c r="C141" s="292">
        <v>0</v>
      </c>
      <c r="D141" s="16"/>
      <c r="E141" s="16"/>
    </row>
    <row r="142" spans="1:5" x14ac:dyDescent="0.25">
      <c r="A142" s="16" t="s">
        <v>343</v>
      </c>
      <c r="B142" s="35" t="s">
        <v>299</v>
      </c>
      <c r="C142" s="292">
        <v>63</v>
      </c>
      <c r="D142" s="16"/>
      <c r="E142" s="16"/>
    </row>
    <row r="143" spans="1:5" x14ac:dyDescent="0.25">
      <c r="A143" s="16" t="s">
        <v>344</v>
      </c>
      <c r="B143" s="16"/>
      <c r="C143" s="22"/>
      <c r="D143" s="16"/>
      <c r="E143" s="25">
        <v>449</v>
      </c>
    </row>
    <row r="144" spans="1:5" x14ac:dyDescent="0.25">
      <c r="A144" s="16" t="s">
        <v>345</v>
      </c>
      <c r="B144" s="35" t="s">
        <v>299</v>
      </c>
      <c r="C144" s="292">
        <v>581</v>
      </c>
      <c r="D144" s="16"/>
      <c r="E144" s="16"/>
    </row>
    <row r="145" spans="1:12" x14ac:dyDescent="0.25">
      <c r="A145" s="16" t="s">
        <v>346</v>
      </c>
      <c r="B145" s="35" t="s">
        <v>299</v>
      </c>
      <c r="C145" s="292">
        <v>0</v>
      </c>
      <c r="D145" s="16"/>
      <c r="E145" s="16"/>
    </row>
    <row r="146" spans="1:12" x14ac:dyDescent="0.25">
      <c r="A146" s="16"/>
      <c r="B146" s="16"/>
      <c r="C146" s="22"/>
      <c r="D146" s="16"/>
      <c r="E146" s="16"/>
    </row>
    <row r="147" spans="1:12" x14ac:dyDescent="0.25">
      <c r="A147" s="16" t="s">
        <v>347</v>
      </c>
      <c r="B147" s="35" t="s">
        <v>299</v>
      </c>
      <c r="C147" s="292">
        <v>0</v>
      </c>
      <c r="D147" s="16"/>
      <c r="E147" s="16"/>
    </row>
    <row r="148" spans="1:12" x14ac:dyDescent="0.25">
      <c r="A148" s="16"/>
      <c r="B148" s="16"/>
      <c r="C148" s="22"/>
      <c r="D148" s="16"/>
      <c r="E148" s="16"/>
    </row>
    <row r="149" spans="1:12" x14ac:dyDescent="0.25">
      <c r="A149" s="16"/>
      <c r="B149" s="16"/>
      <c r="C149" s="22"/>
      <c r="D149" s="16"/>
      <c r="E149" s="16"/>
    </row>
    <row r="150" spans="1:12" x14ac:dyDescent="0.25">
      <c r="A150" s="16"/>
      <c r="B150" s="16"/>
      <c r="C150" s="22"/>
      <c r="D150" s="16"/>
      <c r="E150" s="16"/>
    </row>
    <row r="151" spans="1:12" x14ac:dyDescent="0.25">
      <c r="A151" s="16"/>
      <c r="B151" s="16"/>
      <c r="C151" s="22"/>
      <c r="D151" s="16"/>
      <c r="E151" s="16"/>
    </row>
    <row r="152" spans="1:12" x14ac:dyDescent="0.25">
      <c r="A152" s="30" t="s">
        <v>348</v>
      </c>
      <c r="B152" s="37"/>
      <c r="C152" s="37"/>
      <c r="D152" s="37"/>
      <c r="E152" s="37"/>
    </row>
    <row r="153" spans="1:12" x14ac:dyDescent="0.25">
      <c r="A153" s="38" t="s">
        <v>349</v>
      </c>
      <c r="B153" s="39" t="s">
        <v>350</v>
      </c>
      <c r="C153" s="40" t="s">
        <v>351</v>
      </c>
      <c r="D153" s="39" t="s">
        <v>158</v>
      </c>
      <c r="E153" s="39" t="s">
        <v>229</v>
      </c>
    </row>
    <row r="154" spans="1:12" x14ac:dyDescent="0.25">
      <c r="A154" s="16" t="s">
        <v>329</v>
      </c>
      <c r="B154" s="295">
        <v>9487.4003497983012</v>
      </c>
      <c r="C154" s="295">
        <v>7123.3747073260183</v>
      </c>
      <c r="D154" s="295">
        <v>8044.2249428756795</v>
      </c>
      <c r="E154" s="25">
        <v>24655</v>
      </c>
    </row>
    <row r="155" spans="1:12" x14ac:dyDescent="0.25">
      <c r="A155" s="16" t="s">
        <v>241</v>
      </c>
      <c r="B155" s="295">
        <v>60055.964018663028</v>
      </c>
      <c r="C155" s="295">
        <v>42321.278580306025</v>
      </c>
      <c r="D155" s="295">
        <v>37834.757401030947</v>
      </c>
      <c r="E155" s="25">
        <v>140212</v>
      </c>
    </row>
    <row r="156" spans="1:12" x14ac:dyDescent="0.25">
      <c r="A156" s="16" t="s">
        <v>352</v>
      </c>
      <c r="B156" s="295">
        <v>239723</v>
      </c>
      <c r="C156" s="295">
        <v>170949</v>
      </c>
      <c r="D156" s="295">
        <v>349671</v>
      </c>
      <c r="E156" s="25">
        <v>760343</v>
      </c>
      <c r="G156" s="16" t="s">
        <v>352</v>
      </c>
      <c r="H156" s="337">
        <v>42857.63041815858</v>
      </c>
      <c r="I156" s="337">
        <v>25461.957800556302</v>
      </c>
      <c r="J156" s="337">
        <v>34969.411781285118</v>
      </c>
      <c r="K156" s="25">
        <v>103289</v>
      </c>
      <c r="L156" s="11">
        <v>657054</v>
      </c>
    </row>
    <row r="157" spans="1:12" x14ac:dyDescent="0.25">
      <c r="A157" s="16" t="s">
        <v>286</v>
      </c>
      <c r="B157" s="295">
        <v>832740158.79308069</v>
      </c>
      <c r="C157" s="295">
        <v>449280045.82590926</v>
      </c>
      <c r="D157" s="295">
        <v>680983866.29101026</v>
      </c>
      <c r="E157" s="25">
        <v>1963004070.9100003</v>
      </c>
      <c r="F157" s="14">
        <v>1963004070.9099998</v>
      </c>
      <c r="G157" s="11">
        <v>-4.76837158203125E-7</v>
      </c>
    </row>
    <row r="158" spans="1:12" x14ac:dyDescent="0.25">
      <c r="A158" s="16" t="s">
        <v>287</v>
      </c>
      <c r="B158" s="295">
        <v>1236744670.6845665</v>
      </c>
      <c r="C158" s="295">
        <v>667248596.63958848</v>
      </c>
      <c r="D158" s="295">
        <v>1011363699.1858453</v>
      </c>
      <c r="E158" s="25">
        <v>2915356966.5100002</v>
      </c>
      <c r="F158" s="14">
        <v>2915356966.5099993</v>
      </c>
      <c r="G158" s="11">
        <v>-9.5367431640625E-7</v>
      </c>
    </row>
    <row r="159" spans="1:12" x14ac:dyDescent="0.25">
      <c r="A159" s="38" t="s">
        <v>353</v>
      </c>
      <c r="B159" s="39" t="s">
        <v>350</v>
      </c>
      <c r="C159" s="40" t="s">
        <v>351</v>
      </c>
      <c r="D159" s="39" t="s">
        <v>158</v>
      </c>
      <c r="E159" s="39" t="s">
        <v>229</v>
      </c>
    </row>
    <row r="160" spans="1:12" x14ac:dyDescent="0.25">
      <c r="A160" s="16" t="s">
        <v>329</v>
      </c>
      <c r="B160" s="295">
        <v>0</v>
      </c>
      <c r="C160" s="295">
        <v>0</v>
      </c>
      <c r="D160" s="295">
        <v>0</v>
      </c>
      <c r="E160" s="25">
        <v>0</v>
      </c>
    </row>
    <row r="161" spans="1:5" x14ac:dyDescent="0.25">
      <c r="A161" s="16" t="s">
        <v>241</v>
      </c>
      <c r="B161" s="295">
        <v>0</v>
      </c>
      <c r="C161" s="295">
        <v>0</v>
      </c>
      <c r="D161" s="295">
        <v>0</v>
      </c>
      <c r="E161" s="25">
        <v>0</v>
      </c>
    </row>
    <row r="162" spans="1:5" x14ac:dyDescent="0.25">
      <c r="A162" s="16" t="s">
        <v>352</v>
      </c>
      <c r="B162" s="295">
        <v>0</v>
      </c>
      <c r="C162" s="295">
        <v>0</v>
      </c>
      <c r="D162" s="295">
        <v>0</v>
      </c>
      <c r="E162" s="25">
        <v>0</v>
      </c>
    </row>
    <row r="163" spans="1:5" x14ac:dyDescent="0.25">
      <c r="A163" s="16" t="s">
        <v>286</v>
      </c>
      <c r="B163" s="295">
        <v>0</v>
      </c>
      <c r="C163" s="295">
        <v>0</v>
      </c>
      <c r="D163" s="295">
        <v>0</v>
      </c>
      <c r="E163" s="25">
        <v>0</v>
      </c>
    </row>
    <row r="164" spans="1:5" x14ac:dyDescent="0.25">
      <c r="A164" s="16" t="s">
        <v>287</v>
      </c>
      <c r="B164" s="295">
        <v>0</v>
      </c>
      <c r="C164" s="295">
        <v>0</v>
      </c>
      <c r="D164" s="295">
        <v>0</v>
      </c>
      <c r="E164" s="25">
        <v>0</v>
      </c>
    </row>
    <row r="165" spans="1:5" x14ac:dyDescent="0.25">
      <c r="A165" s="38" t="s">
        <v>354</v>
      </c>
      <c r="B165" s="39" t="s">
        <v>350</v>
      </c>
      <c r="C165" s="40" t="s">
        <v>351</v>
      </c>
      <c r="D165" s="39" t="s">
        <v>158</v>
      </c>
      <c r="E165" s="39" t="s">
        <v>229</v>
      </c>
    </row>
    <row r="166" spans="1:5" x14ac:dyDescent="0.25">
      <c r="A166" s="16" t="s">
        <v>329</v>
      </c>
      <c r="B166" s="295">
        <v>0</v>
      </c>
      <c r="C166" s="295">
        <v>0</v>
      </c>
      <c r="D166" s="295">
        <v>0</v>
      </c>
      <c r="E166" s="25">
        <v>0</v>
      </c>
    </row>
    <row r="167" spans="1:5" x14ac:dyDescent="0.25">
      <c r="A167" s="16" t="s">
        <v>241</v>
      </c>
      <c r="B167" s="295">
        <v>0</v>
      </c>
      <c r="C167" s="295">
        <v>0</v>
      </c>
      <c r="D167" s="295">
        <v>0</v>
      </c>
      <c r="E167" s="25">
        <v>0</v>
      </c>
    </row>
    <row r="168" spans="1:5" x14ac:dyDescent="0.25">
      <c r="A168" s="16" t="s">
        <v>352</v>
      </c>
      <c r="B168" s="295">
        <v>0</v>
      </c>
      <c r="C168" s="295">
        <v>0</v>
      </c>
      <c r="D168" s="295">
        <v>0</v>
      </c>
      <c r="E168" s="25">
        <v>0</v>
      </c>
    </row>
    <row r="169" spans="1:5" x14ac:dyDescent="0.25">
      <c r="A169" s="16" t="s">
        <v>286</v>
      </c>
      <c r="B169" s="295">
        <v>0</v>
      </c>
      <c r="C169" s="295">
        <v>0</v>
      </c>
      <c r="D169" s="295">
        <v>0</v>
      </c>
      <c r="E169" s="25">
        <v>0</v>
      </c>
    </row>
    <row r="170" spans="1:5" x14ac:dyDescent="0.25">
      <c r="A170" s="16" t="s">
        <v>287</v>
      </c>
      <c r="B170" s="295">
        <v>0</v>
      </c>
      <c r="C170" s="295">
        <v>0</v>
      </c>
      <c r="D170" s="295">
        <v>0</v>
      </c>
      <c r="E170" s="25"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355</v>
      </c>
      <c r="B172" s="39" t="s">
        <v>356</v>
      </c>
      <c r="C172" s="40" t="s">
        <v>357</v>
      </c>
      <c r="D172" s="16"/>
      <c r="E172" s="16"/>
    </row>
    <row r="173" spans="1:5" x14ac:dyDescent="0.25">
      <c r="A173" s="20" t="s">
        <v>358</v>
      </c>
      <c r="B173" s="295">
        <v>0</v>
      </c>
      <c r="C173" s="295">
        <v>0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6" x14ac:dyDescent="0.25">
      <c r="A177" s="20"/>
      <c r="B177" s="20"/>
      <c r="C177" s="41"/>
      <c r="D177" s="42"/>
      <c r="E177" s="16"/>
    </row>
    <row r="178" spans="1:6" x14ac:dyDescent="0.25">
      <c r="A178" s="20"/>
      <c r="B178" s="20"/>
      <c r="C178" s="41"/>
      <c r="D178" s="42"/>
      <c r="E178" s="16"/>
    </row>
    <row r="179" spans="1:6" x14ac:dyDescent="0.25">
      <c r="A179" s="37" t="s">
        <v>359</v>
      </c>
      <c r="B179" s="30"/>
      <c r="C179" s="30"/>
      <c r="D179" s="30"/>
      <c r="E179" s="30"/>
    </row>
    <row r="180" spans="1:6" x14ac:dyDescent="0.25">
      <c r="A180" s="34" t="s">
        <v>360</v>
      </c>
      <c r="B180" s="34"/>
      <c r="C180" s="34"/>
      <c r="D180" s="34"/>
      <c r="E180" s="34"/>
    </row>
    <row r="181" spans="1:6" x14ac:dyDescent="0.25">
      <c r="A181" s="16" t="s">
        <v>361</v>
      </c>
      <c r="B181" s="35" t="s">
        <v>299</v>
      </c>
      <c r="C181" s="292">
        <v>25084568.43</v>
      </c>
      <c r="D181" s="16"/>
      <c r="E181" s="16"/>
    </row>
    <row r="182" spans="1:6" x14ac:dyDescent="0.25">
      <c r="A182" s="16" t="s">
        <v>362</v>
      </c>
      <c r="B182" s="35" t="s">
        <v>299</v>
      </c>
      <c r="C182" s="292">
        <v>0</v>
      </c>
      <c r="D182" s="16"/>
      <c r="E182" s="16"/>
    </row>
    <row r="183" spans="1:6" x14ac:dyDescent="0.25">
      <c r="A183" s="20" t="s">
        <v>363</v>
      </c>
      <c r="B183" s="35" t="s">
        <v>299</v>
      </c>
      <c r="C183" s="292">
        <v>0</v>
      </c>
      <c r="D183" s="16"/>
      <c r="E183" s="16"/>
    </row>
    <row r="184" spans="1:6" x14ac:dyDescent="0.25">
      <c r="A184" s="16" t="s">
        <v>364</v>
      </c>
      <c r="B184" s="35" t="s">
        <v>299</v>
      </c>
      <c r="C184" s="292">
        <v>38633691</v>
      </c>
      <c r="D184" s="16"/>
      <c r="E184" s="16"/>
    </row>
    <row r="185" spans="1:6" x14ac:dyDescent="0.25">
      <c r="A185" s="16" t="s">
        <v>365</v>
      </c>
      <c r="B185" s="35" t="s">
        <v>299</v>
      </c>
      <c r="C185" s="292">
        <v>0</v>
      </c>
      <c r="D185" s="16"/>
      <c r="E185" s="16"/>
    </row>
    <row r="186" spans="1:6" x14ac:dyDescent="0.25">
      <c r="A186" s="16" t="s">
        <v>366</v>
      </c>
      <c r="B186" s="35" t="s">
        <v>299</v>
      </c>
      <c r="C186" s="292">
        <v>0</v>
      </c>
      <c r="D186" s="16"/>
      <c r="E186" s="16"/>
    </row>
    <row r="187" spans="1:6" x14ac:dyDescent="0.25">
      <c r="A187" s="16" t="s">
        <v>367</v>
      </c>
      <c r="B187" s="35" t="s">
        <v>299</v>
      </c>
      <c r="C187" s="292">
        <v>16566053.25</v>
      </c>
      <c r="D187" s="16"/>
      <c r="E187" s="16"/>
    </row>
    <row r="188" spans="1:6" x14ac:dyDescent="0.25">
      <c r="A188" s="16" t="s">
        <v>367</v>
      </c>
      <c r="B188" s="35" t="s">
        <v>299</v>
      </c>
      <c r="C188" s="292">
        <v>176430.61</v>
      </c>
      <c r="D188" s="16"/>
      <c r="E188" s="16"/>
      <c r="F188" s="11" t="s">
        <v>1060</v>
      </c>
    </row>
    <row r="189" spans="1:6" x14ac:dyDescent="0.25">
      <c r="A189" s="16" t="s">
        <v>229</v>
      </c>
      <c r="B189" s="16"/>
      <c r="C189" s="22"/>
      <c r="D189" s="25">
        <v>80460743.290000007</v>
      </c>
      <c r="E189" s="16"/>
      <c r="F189" s="11">
        <v>0</v>
      </c>
    </row>
    <row r="190" spans="1:6" x14ac:dyDescent="0.25">
      <c r="A190" s="34" t="s">
        <v>368</v>
      </c>
      <c r="B190" s="34"/>
      <c r="C190" s="34"/>
      <c r="D190" s="34"/>
      <c r="E190" s="34"/>
    </row>
    <row r="191" spans="1:6" x14ac:dyDescent="0.25">
      <c r="A191" s="16" t="s">
        <v>369</v>
      </c>
      <c r="B191" s="35" t="s">
        <v>299</v>
      </c>
      <c r="C191" s="292">
        <v>3685254.1</v>
      </c>
      <c r="D191" s="16"/>
      <c r="E191" s="16"/>
    </row>
    <row r="192" spans="1:6" x14ac:dyDescent="0.25">
      <c r="A192" s="16" t="s">
        <v>370</v>
      </c>
      <c r="B192" s="35" t="s">
        <v>299</v>
      </c>
      <c r="C192" s="292">
        <v>4122543.1300000004</v>
      </c>
      <c r="D192" s="16"/>
      <c r="E192" s="16"/>
    </row>
    <row r="193" spans="1:6" x14ac:dyDescent="0.25">
      <c r="A193" s="16" t="s">
        <v>229</v>
      </c>
      <c r="B193" s="16"/>
      <c r="C193" s="22"/>
      <c r="D193" s="25">
        <v>7807797.2300000004</v>
      </c>
      <c r="E193" s="16"/>
      <c r="F193" s="11">
        <v>0</v>
      </c>
    </row>
    <row r="194" spans="1:6" x14ac:dyDescent="0.25">
      <c r="A194" s="34" t="s">
        <v>371</v>
      </c>
      <c r="B194" s="34"/>
      <c r="C194" s="34"/>
      <c r="D194" s="34"/>
      <c r="E194" s="34"/>
    </row>
    <row r="195" spans="1:6" x14ac:dyDescent="0.25">
      <c r="A195" s="16" t="s">
        <v>372</v>
      </c>
      <c r="B195" s="35" t="s">
        <v>299</v>
      </c>
      <c r="C195" s="292">
        <v>15189823.060000001</v>
      </c>
      <c r="D195" s="16"/>
      <c r="E195" s="16"/>
    </row>
    <row r="196" spans="1:6" x14ac:dyDescent="0.25">
      <c r="A196" s="16" t="s">
        <v>373</v>
      </c>
      <c r="B196" s="35" t="s">
        <v>299</v>
      </c>
      <c r="C196" s="292">
        <v>0</v>
      </c>
      <c r="D196" s="16"/>
      <c r="E196" s="16"/>
    </row>
    <row r="197" spans="1:6" x14ac:dyDescent="0.25">
      <c r="A197" s="16" t="s">
        <v>229</v>
      </c>
      <c r="B197" s="16"/>
      <c r="C197" s="22"/>
      <c r="D197" s="25">
        <v>15189823.060000001</v>
      </c>
      <c r="E197" s="16"/>
      <c r="F197" s="11">
        <v>0</v>
      </c>
    </row>
    <row r="198" spans="1:6" x14ac:dyDescent="0.25">
      <c r="A198" s="34" t="s">
        <v>374</v>
      </c>
      <c r="B198" s="34"/>
      <c r="C198" s="34"/>
      <c r="D198" s="34"/>
      <c r="E198" s="34"/>
    </row>
    <row r="199" spans="1:6" x14ac:dyDescent="0.25">
      <c r="A199" s="16" t="s">
        <v>375</v>
      </c>
      <c r="B199" s="35" t="s">
        <v>299</v>
      </c>
      <c r="C199" s="292">
        <v>139888.18</v>
      </c>
      <c r="D199" s="16"/>
      <c r="E199" s="16"/>
    </row>
    <row r="200" spans="1:6" x14ac:dyDescent="0.25">
      <c r="A200" s="16" t="s">
        <v>376</v>
      </c>
      <c r="B200" s="35" t="s">
        <v>299</v>
      </c>
      <c r="C200" s="292">
        <v>8659574.9600000009</v>
      </c>
      <c r="D200" s="16"/>
      <c r="E200" s="16"/>
    </row>
    <row r="201" spans="1:6" x14ac:dyDescent="0.25">
      <c r="A201" s="16" t="s">
        <v>158</v>
      </c>
      <c r="B201" s="35" t="s">
        <v>299</v>
      </c>
      <c r="C201" s="292">
        <v>0</v>
      </c>
      <c r="D201" s="16"/>
      <c r="E201" s="16"/>
    </row>
    <row r="202" spans="1:6" x14ac:dyDescent="0.25">
      <c r="A202" s="16" t="s">
        <v>229</v>
      </c>
      <c r="B202" s="16"/>
      <c r="C202" s="22"/>
      <c r="D202" s="25">
        <v>8799463.1400000006</v>
      </c>
      <c r="E202" s="16"/>
      <c r="F202" s="11">
        <v>0</v>
      </c>
    </row>
    <row r="203" spans="1:6" x14ac:dyDescent="0.25">
      <c r="A203" s="34" t="s">
        <v>377</v>
      </c>
      <c r="B203" s="34"/>
      <c r="C203" s="34"/>
      <c r="D203" s="34"/>
      <c r="E203" s="34"/>
    </row>
    <row r="204" spans="1:6" x14ac:dyDescent="0.25">
      <c r="A204" s="16" t="s">
        <v>378</v>
      </c>
      <c r="B204" s="35" t="s">
        <v>299</v>
      </c>
      <c r="C204" s="292">
        <v>0</v>
      </c>
      <c r="D204" s="16"/>
      <c r="E204" s="16"/>
    </row>
    <row r="205" spans="1:6" x14ac:dyDescent="0.25">
      <c r="A205" s="16" t="s">
        <v>379</v>
      </c>
      <c r="B205" s="35" t="s">
        <v>299</v>
      </c>
      <c r="C205" s="292">
        <v>15651385.67</v>
      </c>
      <c r="D205" s="16"/>
      <c r="E205" s="16"/>
    </row>
    <row r="206" spans="1:6" x14ac:dyDescent="0.25">
      <c r="A206" s="16" t="s">
        <v>229</v>
      </c>
      <c r="B206" s="16"/>
      <c r="C206" s="22"/>
      <c r="D206" s="25">
        <v>15651385.67</v>
      </c>
      <c r="E206" s="16"/>
      <c r="F206" s="11">
        <v>0</v>
      </c>
    </row>
    <row r="207" spans="1:6" x14ac:dyDescent="0.25">
      <c r="A207" s="16"/>
      <c r="B207" s="16"/>
      <c r="C207" s="22"/>
      <c r="D207" s="16"/>
      <c r="E207" s="16"/>
    </row>
    <row r="208" spans="1:6" x14ac:dyDescent="0.25">
      <c r="A208" s="30" t="s">
        <v>380</v>
      </c>
      <c r="B208" s="30"/>
      <c r="C208" s="30"/>
      <c r="D208" s="30"/>
      <c r="E208" s="30"/>
    </row>
    <row r="209" spans="1:5" x14ac:dyDescent="0.25">
      <c r="A209" s="37" t="s">
        <v>381</v>
      </c>
      <c r="B209" s="30"/>
      <c r="C209" s="30"/>
      <c r="D209" s="30"/>
      <c r="E209" s="30"/>
    </row>
    <row r="210" spans="1:5" x14ac:dyDescent="0.25">
      <c r="A210" s="21"/>
      <c r="B210" s="18" t="s">
        <v>382</v>
      </c>
      <c r="C210" s="17" t="s">
        <v>383</v>
      </c>
      <c r="D210" s="18" t="s">
        <v>384</v>
      </c>
      <c r="E210" s="18" t="s">
        <v>385</v>
      </c>
    </row>
    <row r="211" spans="1:5" x14ac:dyDescent="0.25">
      <c r="A211" s="16" t="s">
        <v>386</v>
      </c>
      <c r="B211" s="295">
        <v>5697062.54</v>
      </c>
      <c r="C211" s="292">
        <v>1889941.86</v>
      </c>
      <c r="D211" s="295">
        <v>5294.36</v>
      </c>
      <c r="E211" s="25">
        <v>7581710.04</v>
      </c>
    </row>
    <row r="212" spans="1:5" x14ac:dyDescent="0.25">
      <c r="A212" s="16" t="s">
        <v>387</v>
      </c>
      <c r="B212" s="295">
        <v>3324681.27</v>
      </c>
      <c r="C212" s="292">
        <v>0</v>
      </c>
      <c r="D212" s="295">
        <v>0</v>
      </c>
      <c r="E212" s="25">
        <v>3324681.27</v>
      </c>
    </row>
    <row r="213" spans="1:5" x14ac:dyDescent="0.25">
      <c r="A213" s="16" t="s">
        <v>388</v>
      </c>
      <c r="B213" s="295">
        <v>632569057.88999999</v>
      </c>
      <c r="C213" s="292">
        <v>9708398.9199999999</v>
      </c>
      <c r="D213" s="295">
        <v>261126.56</v>
      </c>
      <c r="E213" s="25">
        <v>642016330.25</v>
      </c>
    </row>
    <row r="214" spans="1:5" x14ac:dyDescent="0.25">
      <c r="A214" s="16" t="s">
        <v>390</v>
      </c>
      <c r="B214" s="295">
        <v>0</v>
      </c>
      <c r="C214" s="292">
        <v>0</v>
      </c>
      <c r="D214" s="295">
        <v>0</v>
      </c>
      <c r="E214" s="25">
        <v>0</v>
      </c>
    </row>
    <row r="215" spans="1:5" x14ac:dyDescent="0.25">
      <c r="A215" s="16" t="s">
        <v>391</v>
      </c>
      <c r="B215" s="295">
        <v>35305496.079999998</v>
      </c>
      <c r="C215" s="292">
        <v>72867.959999999977</v>
      </c>
      <c r="D215" s="295">
        <v>35736.060000000005</v>
      </c>
      <c r="E215" s="25">
        <v>35342627.979999997</v>
      </c>
    </row>
    <row r="216" spans="1:5" x14ac:dyDescent="0.25">
      <c r="A216" s="16" t="s">
        <v>392</v>
      </c>
      <c r="B216" s="295">
        <v>197141673.91999999</v>
      </c>
      <c r="C216" s="292">
        <v>9074603.9900000021</v>
      </c>
      <c r="D216" s="295">
        <v>6327832.7300000004</v>
      </c>
      <c r="E216" s="25">
        <v>199888445.18000001</v>
      </c>
    </row>
    <row r="217" spans="1:5" x14ac:dyDescent="0.25">
      <c r="A217" s="16" t="s">
        <v>393</v>
      </c>
      <c r="B217" s="295">
        <v>0</v>
      </c>
      <c r="C217" s="292">
        <v>0</v>
      </c>
      <c r="D217" s="295">
        <v>0</v>
      </c>
      <c r="E217" s="25">
        <v>0</v>
      </c>
    </row>
    <row r="218" spans="1:5" x14ac:dyDescent="0.25">
      <c r="A218" s="16" t="s">
        <v>394</v>
      </c>
      <c r="B218" s="295">
        <v>14645373.65</v>
      </c>
      <c r="C218" s="292">
        <v>445139.78</v>
      </c>
      <c r="D218" s="295">
        <v>210435.1</v>
      </c>
      <c r="E218" s="25">
        <v>14880078.33</v>
      </c>
    </row>
    <row r="219" spans="1:5" x14ac:dyDescent="0.25">
      <c r="A219" s="16" t="s">
        <v>395</v>
      </c>
      <c r="B219" s="295">
        <v>0</v>
      </c>
      <c r="C219" s="292">
        <v>7721043.9699999969</v>
      </c>
      <c r="D219" s="295">
        <v>7561561.3099999959</v>
      </c>
      <c r="E219" s="25">
        <v>159482.66000000108</v>
      </c>
    </row>
    <row r="220" spans="1:5" x14ac:dyDescent="0.25">
      <c r="A220" s="16" t="s">
        <v>229</v>
      </c>
      <c r="B220" s="25">
        <v>888683345.3499999</v>
      </c>
      <c r="C220" s="225">
        <v>28911996.480000004</v>
      </c>
      <c r="D220" s="25">
        <v>14401986.119999997</v>
      </c>
      <c r="E220" s="25">
        <v>903193355.71000004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396</v>
      </c>
      <c r="B222" s="37"/>
      <c r="C222" s="37"/>
      <c r="D222" s="37"/>
      <c r="E222" s="37"/>
    </row>
    <row r="223" spans="1:5" x14ac:dyDescent="0.25">
      <c r="A223" s="21"/>
      <c r="B223" s="18" t="s">
        <v>382</v>
      </c>
      <c r="C223" s="17" t="s">
        <v>383</v>
      </c>
      <c r="D223" s="18" t="s">
        <v>384</v>
      </c>
      <c r="E223" s="18" t="s">
        <v>385</v>
      </c>
    </row>
    <row r="224" spans="1:5" x14ac:dyDescent="0.25">
      <c r="A224" s="16" t="s">
        <v>386</v>
      </c>
      <c r="B224" s="42"/>
      <c r="C224" s="41"/>
      <c r="D224" s="42"/>
      <c r="E224" s="16"/>
    </row>
    <row r="225" spans="1:6" x14ac:dyDescent="0.25">
      <c r="A225" s="16" t="s">
        <v>387</v>
      </c>
      <c r="B225" s="295">
        <v>2521382.17</v>
      </c>
      <c r="C225" s="292">
        <v>105025.92000000001</v>
      </c>
      <c r="D225" s="295">
        <v>0</v>
      </c>
      <c r="E225" s="25">
        <v>2626408.09</v>
      </c>
    </row>
    <row r="226" spans="1:6" x14ac:dyDescent="0.25">
      <c r="A226" s="16" t="s">
        <v>388</v>
      </c>
      <c r="B226" s="295">
        <v>328446327.12999994</v>
      </c>
      <c r="C226" s="292">
        <v>14838974.349999996</v>
      </c>
      <c r="D226" s="295">
        <v>0</v>
      </c>
      <c r="E226" s="25">
        <v>343285301.47999996</v>
      </c>
    </row>
    <row r="227" spans="1:6" x14ac:dyDescent="0.25">
      <c r="A227" s="16" t="s">
        <v>390</v>
      </c>
      <c r="B227" s="295">
        <v>0</v>
      </c>
      <c r="C227" s="292">
        <v>0</v>
      </c>
      <c r="D227" s="295">
        <v>0</v>
      </c>
      <c r="E227" s="25">
        <v>0</v>
      </c>
    </row>
    <row r="228" spans="1:6" x14ac:dyDescent="0.25">
      <c r="A228" s="16" t="s">
        <v>391</v>
      </c>
      <c r="B228" s="295">
        <v>27255496.470000003</v>
      </c>
      <c r="C228" s="292">
        <v>1393614.0100000002</v>
      </c>
      <c r="D228" s="295">
        <v>9250</v>
      </c>
      <c r="E228" s="25">
        <v>28639860.480000004</v>
      </c>
    </row>
    <row r="229" spans="1:6" x14ac:dyDescent="0.25">
      <c r="A229" s="16" t="s">
        <v>392</v>
      </c>
      <c r="B229" s="295">
        <v>149435087.86999989</v>
      </c>
      <c r="C229" s="292">
        <v>8574107.5799999982</v>
      </c>
      <c r="D229" s="295">
        <v>3936473.8100000005</v>
      </c>
      <c r="E229" s="25">
        <v>154072721.63999987</v>
      </c>
    </row>
    <row r="230" spans="1:6" x14ac:dyDescent="0.25">
      <c r="A230" s="16" t="s">
        <v>393</v>
      </c>
      <c r="B230" s="295">
        <v>0</v>
      </c>
      <c r="C230" s="292">
        <v>0</v>
      </c>
      <c r="D230" s="295">
        <v>0</v>
      </c>
      <c r="E230" s="25">
        <v>0</v>
      </c>
    </row>
    <row r="231" spans="1:6" x14ac:dyDescent="0.25">
      <c r="A231" s="16" t="s">
        <v>394</v>
      </c>
      <c r="B231" s="295">
        <v>10292277.739999998</v>
      </c>
      <c r="C231" s="292">
        <v>755051.31000000029</v>
      </c>
      <c r="D231" s="295">
        <v>0</v>
      </c>
      <c r="E231" s="25">
        <v>11047329.049999999</v>
      </c>
    </row>
    <row r="232" spans="1:6" x14ac:dyDescent="0.25">
      <c r="A232" s="16" t="s">
        <v>395</v>
      </c>
      <c r="B232" s="295">
        <v>0</v>
      </c>
      <c r="C232" s="292">
        <v>0</v>
      </c>
      <c r="D232" s="295">
        <v>0</v>
      </c>
      <c r="E232" s="25">
        <v>0</v>
      </c>
    </row>
    <row r="233" spans="1:6" x14ac:dyDescent="0.25">
      <c r="A233" s="16" t="s">
        <v>229</v>
      </c>
      <c r="B233" s="25">
        <v>517950571.37999988</v>
      </c>
      <c r="C233" s="225">
        <v>25666773.169999991</v>
      </c>
      <c r="D233" s="25">
        <v>3945723.8100000005</v>
      </c>
      <c r="E233" s="25">
        <v>539671620.73999977</v>
      </c>
    </row>
    <row r="234" spans="1:6" x14ac:dyDescent="0.25">
      <c r="A234" s="16"/>
      <c r="B234" s="16"/>
      <c r="C234" s="22"/>
      <c r="D234" s="16"/>
      <c r="E234" s="16"/>
      <c r="F234" s="11">
        <v>363521734.97000027</v>
      </c>
    </row>
    <row r="235" spans="1:6" x14ac:dyDescent="0.25">
      <c r="A235" s="30" t="s">
        <v>397</v>
      </c>
      <c r="B235" s="30"/>
      <c r="C235" s="30"/>
      <c r="D235" s="30"/>
      <c r="E235" s="30"/>
    </row>
    <row r="236" spans="1:6" x14ac:dyDescent="0.25">
      <c r="A236" s="30"/>
      <c r="B236" s="341" t="s">
        <v>398</v>
      </c>
      <c r="C236" s="341"/>
      <c r="D236" s="30"/>
      <c r="E236" s="30"/>
      <c r="F236" s="11" t="s">
        <v>1060</v>
      </c>
    </row>
    <row r="237" spans="1:6" x14ac:dyDescent="0.25">
      <c r="A237" s="43" t="s">
        <v>398</v>
      </c>
      <c r="B237" s="30"/>
      <c r="C237" s="292">
        <v>34201847.780000001</v>
      </c>
      <c r="D237" s="32">
        <v>34201847.780000001</v>
      </c>
      <c r="E237" s="30"/>
      <c r="F237" s="11">
        <v>0</v>
      </c>
    </row>
    <row r="238" spans="1:6" x14ac:dyDescent="0.25">
      <c r="A238" s="34" t="s">
        <v>399</v>
      </c>
      <c r="B238" s="34"/>
      <c r="C238" s="34"/>
      <c r="D238" s="34"/>
      <c r="E238" s="34"/>
    </row>
    <row r="239" spans="1:6" x14ac:dyDescent="0.25">
      <c r="A239" s="16" t="s">
        <v>400</v>
      </c>
      <c r="B239" s="35" t="s">
        <v>299</v>
      </c>
      <c r="C239" s="292">
        <v>1367673980.1947711</v>
      </c>
      <c r="D239" s="16"/>
      <c r="E239" s="16"/>
    </row>
    <row r="240" spans="1:6" x14ac:dyDescent="0.25">
      <c r="A240" s="16" t="s">
        <v>401</v>
      </c>
      <c r="B240" s="35" t="s">
        <v>299</v>
      </c>
      <c r="C240" s="292">
        <v>737887589.5542028</v>
      </c>
      <c r="D240" s="16"/>
      <c r="E240" s="16"/>
    </row>
    <row r="241" spans="1:6" x14ac:dyDescent="0.25">
      <c r="A241" s="16" t="s">
        <v>402</v>
      </c>
      <c r="B241" s="35" t="s">
        <v>299</v>
      </c>
      <c r="C241" s="292">
        <v>37156643.140000008</v>
      </c>
      <c r="D241" s="16"/>
      <c r="E241" s="16"/>
    </row>
    <row r="242" spans="1:6" x14ac:dyDescent="0.25">
      <c r="A242" s="16" t="s">
        <v>403</v>
      </c>
      <c r="B242" s="35" t="s">
        <v>299</v>
      </c>
      <c r="C242" s="292">
        <v>403085778.15069127</v>
      </c>
      <c r="D242" s="16"/>
      <c r="E242" s="16"/>
    </row>
    <row r="243" spans="1:6" x14ac:dyDescent="0.25">
      <c r="A243" s="16" t="s">
        <v>404</v>
      </c>
      <c r="B243" s="35" t="s">
        <v>299</v>
      </c>
      <c r="C243" s="292">
        <v>0</v>
      </c>
      <c r="D243" s="16"/>
      <c r="E243" s="16"/>
    </row>
    <row r="244" spans="1:6" x14ac:dyDescent="0.25">
      <c r="A244" s="16" t="s">
        <v>405</v>
      </c>
      <c r="B244" s="35" t="s">
        <v>299</v>
      </c>
      <c r="C244" s="292">
        <v>678190387.58033466</v>
      </c>
      <c r="D244" s="16"/>
      <c r="E244" s="16"/>
    </row>
    <row r="245" spans="1:6" x14ac:dyDescent="0.25">
      <c r="A245" s="16" t="s">
        <v>406</v>
      </c>
      <c r="B245" s="16"/>
      <c r="C245" s="22"/>
      <c r="D245" s="25">
        <v>3223994378.6199999</v>
      </c>
      <c r="E245" s="16"/>
      <c r="F245" s="11">
        <v>0</v>
      </c>
    </row>
    <row r="246" spans="1:6" x14ac:dyDescent="0.25">
      <c r="A246" s="34" t="s">
        <v>407</v>
      </c>
      <c r="B246" s="34"/>
      <c r="C246" s="34"/>
      <c r="D246" s="34"/>
      <c r="E246" s="34"/>
    </row>
    <row r="247" spans="1:6" x14ac:dyDescent="0.25">
      <c r="A247" s="21" t="s">
        <v>408</v>
      </c>
      <c r="B247" s="35" t="s">
        <v>299</v>
      </c>
      <c r="C247" s="292">
        <v>25267</v>
      </c>
      <c r="D247" s="16"/>
      <c r="E247" s="16"/>
    </row>
    <row r="248" spans="1:6" x14ac:dyDescent="0.25">
      <c r="A248" s="21"/>
      <c r="B248" s="35"/>
      <c r="C248" s="22"/>
      <c r="D248" s="16"/>
      <c r="E248" s="16"/>
    </row>
    <row r="249" spans="1:6" x14ac:dyDescent="0.25">
      <c r="A249" s="21" t="s">
        <v>409</v>
      </c>
      <c r="B249" s="35" t="s">
        <v>299</v>
      </c>
      <c r="C249" s="292">
        <v>19282896.25</v>
      </c>
      <c r="D249" s="16"/>
      <c r="E249" s="16"/>
    </row>
    <row r="250" spans="1:6" x14ac:dyDescent="0.25">
      <c r="A250" s="21" t="s">
        <v>410</v>
      </c>
      <c r="B250" s="35" t="s">
        <v>299</v>
      </c>
      <c r="C250" s="292">
        <v>48804115.650000006</v>
      </c>
      <c r="D250" s="16"/>
      <c r="E250" s="16"/>
    </row>
    <row r="251" spans="1:6" x14ac:dyDescent="0.25">
      <c r="A251" s="16"/>
      <c r="B251" s="16"/>
      <c r="C251" s="22"/>
      <c r="D251" s="16"/>
      <c r="E251" s="16"/>
    </row>
    <row r="252" spans="1:6" x14ac:dyDescent="0.25">
      <c r="A252" s="21" t="s">
        <v>411</v>
      </c>
      <c r="B252" s="16"/>
      <c r="C252" s="22"/>
      <c r="D252" s="25">
        <v>68087011.900000006</v>
      </c>
      <c r="E252" s="16"/>
      <c r="F252" s="11">
        <v>0</v>
      </c>
    </row>
    <row r="253" spans="1:6" x14ac:dyDescent="0.25">
      <c r="A253" s="34" t="s">
        <v>412</v>
      </c>
      <c r="B253" s="34"/>
      <c r="C253" s="34"/>
      <c r="D253" s="34"/>
      <c r="E253" s="34"/>
    </row>
    <row r="254" spans="1:6" x14ac:dyDescent="0.25">
      <c r="A254" s="16" t="s">
        <v>413</v>
      </c>
      <c r="B254" s="35" t="s">
        <v>299</v>
      </c>
      <c r="C254" s="292">
        <v>241644548.25</v>
      </c>
      <c r="D254" s="16"/>
      <c r="E254" s="16"/>
    </row>
    <row r="255" spans="1:6" x14ac:dyDescent="0.25">
      <c r="A255" s="16" t="s">
        <v>412</v>
      </c>
      <c r="B255" s="35" t="s">
        <v>299</v>
      </c>
      <c r="C255" s="292">
        <v>0</v>
      </c>
      <c r="D255" s="16"/>
      <c r="E255" s="16"/>
    </row>
    <row r="256" spans="1:6" x14ac:dyDescent="0.25">
      <c r="A256" s="16" t="s">
        <v>414</v>
      </c>
      <c r="B256" s="16"/>
      <c r="C256" s="22"/>
      <c r="D256" s="25">
        <v>241644548.25</v>
      </c>
      <c r="E256" s="16"/>
      <c r="F256" s="11">
        <v>0</v>
      </c>
    </row>
    <row r="257" spans="1:6" x14ac:dyDescent="0.25">
      <c r="A257" s="16"/>
      <c r="B257" s="16"/>
      <c r="C257" s="22"/>
      <c r="D257" s="16"/>
      <c r="E257" s="16"/>
    </row>
    <row r="258" spans="1:6" x14ac:dyDescent="0.25">
      <c r="A258" s="16" t="s">
        <v>415</v>
      </c>
      <c r="B258" s="16"/>
      <c r="C258" s="22"/>
      <c r="D258" s="25">
        <v>3567927786.5500002</v>
      </c>
      <c r="E258" s="16"/>
      <c r="F258" s="11">
        <v>0</v>
      </c>
    </row>
    <row r="259" spans="1:6" x14ac:dyDescent="0.25">
      <c r="A259" s="16"/>
      <c r="B259" s="16"/>
      <c r="C259" s="22"/>
      <c r="D259" s="16"/>
      <c r="E259" s="16"/>
    </row>
    <row r="260" spans="1:6" x14ac:dyDescent="0.25">
      <c r="A260" s="16"/>
      <c r="B260" s="16"/>
      <c r="C260" s="22"/>
      <c r="D260" s="16"/>
      <c r="E260" s="16"/>
    </row>
    <row r="261" spans="1:6" x14ac:dyDescent="0.25">
      <c r="A261" s="16"/>
      <c r="B261" s="16"/>
      <c r="C261" s="22"/>
      <c r="D261" s="16"/>
      <c r="E261" s="16"/>
    </row>
    <row r="262" spans="1:6" x14ac:dyDescent="0.25">
      <c r="A262" s="16"/>
      <c r="B262" s="16"/>
      <c r="C262" s="22"/>
      <c r="D262" s="16"/>
      <c r="E262" s="16"/>
    </row>
    <row r="263" spans="1:6" x14ac:dyDescent="0.25">
      <c r="A263" s="16"/>
      <c r="B263" s="16"/>
      <c r="C263" s="22"/>
      <c r="D263" s="16"/>
      <c r="E263" s="16"/>
    </row>
    <row r="264" spans="1:6" x14ac:dyDescent="0.25">
      <c r="A264" s="30" t="s">
        <v>416</v>
      </c>
      <c r="B264" s="30"/>
      <c r="C264" s="30"/>
      <c r="D264" s="30"/>
      <c r="E264" s="30"/>
    </row>
    <row r="265" spans="1:6" x14ac:dyDescent="0.25">
      <c r="A265" s="34" t="s">
        <v>417</v>
      </c>
      <c r="B265" s="34"/>
      <c r="C265" s="34"/>
      <c r="D265" s="34"/>
      <c r="E265" s="34"/>
    </row>
    <row r="266" spans="1:6" x14ac:dyDescent="0.25">
      <c r="A266" s="16" t="s">
        <v>418</v>
      </c>
      <c r="B266" s="35" t="s">
        <v>299</v>
      </c>
      <c r="C266" s="292">
        <v>0</v>
      </c>
      <c r="D266" s="16"/>
      <c r="E266" s="16"/>
    </row>
    <row r="267" spans="1:6" x14ac:dyDescent="0.25">
      <c r="A267" s="16" t="s">
        <v>419</v>
      </c>
      <c r="B267" s="35" t="s">
        <v>299</v>
      </c>
      <c r="C267" s="292">
        <v>0</v>
      </c>
      <c r="D267" s="16"/>
      <c r="E267" s="16"/>
    </row>
    <row r="268" spans="1:6" x14ac:dyDescent="0.25">
      <c r="A268" s="16" t="s">
        <v>420</v>
      </c>
      <c r="B268" s="35" t="s">
        <v>299</v>
      </c>
      <c r="C268" s="292">
        <v>780257472.05000007</v>
      </c>
      <c r="D268" s="16"/>
      <c r="E268" s="16"/>
    </row>
    <row r="269" spans="1:6" x14ac:dyDescent="0.25">
      <c r="A269" s="16" t="s">
        <v>421</v>
      </c>
      <c r="B269" s="35" t="s">
        <v>299</v>
      </c>
      <c r="C269" s="292">
        <v>553085500.84000027</v>
      </c>
      <c r="D269" s="16"/>
      <c r="E269" s="16"/>
    </row>
    <row r="270" spans="1:6" x14ac:dyDescent="0.25">
      <c r="A270" s="16" t="s">
        <v>422</v>
      </c>
      <c r="B270" s="35" t="s">
        <v>299</v>
      </c>
      <c r="C270" s="292">
        <v>0</v>
      </c>
      <c r="D270" s="16"/>
      <c r="E270" s="16"/>
    </row>
    <row r="271" spans="1:6" x14ac:dyDescent="0.25">
      <c r="A271" s="16" t="s">
        <v>423</v>
      </c>
      <c r="B271" s="35" t="s">
        <v>299</v>
      </c>
      <c r="C271" s="292">
        <v>0</v>
      </c>
      <c r="D271" s="16"/>
      <c r="E271" s="16"/>
    </row>
    <row r="272" spans="1:6" x14ac:dyDescent="0.25">
      <c r="A272" s="16" t="s">
        <v>424</v>
      </c>
      <c r="B272" s="35" t="s">
        <v>299</v>
      </c>
      <c r="C272" s="292">
        <v>0</v>
      </c>
      <c r="D272" s="16"/>
      <c r="E272" s="16"/>
    </row>
    <row r="273" spans="1:5" x14ac:dyDescent="0.25">
      <c r="A273" s="16" t="s">
        <v>425</v>
      </c>
      <c r="B273" s="35" t="s">
        <v>299</v>
      </c>
      <c r="C273" s="292">
        <v>28063955.640000001</v>
      </c>
      <c r="D273" s="16"/>
      <c r="E273" s="16"/>
    </row>
    <row r="274" spans="1:5" x14ac:dyDescent="0.25">
      <c r="A274" s="16" t="s">
        <v>426</v>
      </c>
      <c r="B274" s="35" t="s">
        <v>299</v>
      </c>
      <c r="C274" s="292">
        <v>5524477.5199999996</v>
      </c>
      <c r="D274" s="16"/>
      <c r="E274" s="16"/>
    </row>
    <row r="275" spans="1:5" x14ac:dyDescent="0.25">
      <c r="A275" s="16" t="s">
        <v>427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428</v>
      </c>
      <c r="B276" s="16"/>
      <c r="C276" s="22"/>
      <c r="D276" s="25">
        <v>260760404.3699998</v>
      </c>
      <c r="E276" s="16"/>
    </row>
    <row r="277" spans="1:5" x14ac:dyDescent="0.25">
      <c r="A277" s="34" t="s">
        <v>429</v>
      </c>
      <c r="B277" s="34"/>
      <c r="C277" s="34"/>
      <c r="D277" s="34"/>
      <c r="E277" s="34"/>
    </row>
    <row r="278" spans="1:5" x14ac:dyDescent="0.25">
      <c r="A278" s="16" t="s">
        <v>418</v>
      </c>
      <c r="B278" s="35" t="s">
        <v>299</v>
      </c>
      <c r="C278" s="292">
        <v>0</v>
      </c>
      <c r="D278" s="16"/>
      <c r="E278" s="16"/>
    </row>
    <row r="279" spans="1:5" x14ac:dyDescent="0.25">
      <c r="A279" s="16" t="s">
        <v>419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430</v>
      </c>
      <c r="B280" s="35" t="s">
        <v>299</v>
      </c>
      <c r="C280" s="292">
        <v>0</v>
      </c>
      <c r="D280" s="16"/>
      <c r="E280" s="16"/>
    </row>
    <row r="281" spans="1:5" x14ac:dyDescent="0.25">
      <c r="A281" s="16" t="s">
        <v>431</v>
      </c>
      <c r="B281" s="16"/>
      <c r="C281" s="22"/>
      <c r="D281" s="25">
        <v>0</v>
      </c>
      <c r="E281" s="16"/>
    </row>
    <row r="282" spans="1:5" x14ac:dyDescent="0.25">
      <c r="A282" s="34" t="s">
        <v>432</v>
      </c>
      <c r="B282" s="34"/>
      <c r="C282" s="34"/>
      <c r="D282" s="34"/>
      <c r="E282" s="34"/>
    </row>
    <row r="283" spans="1:5" x14ac:dyDescent="0.25">
      <c r="A283" s="16" t="s">
        <v>386</v>
      </c>
      <c r="B283" s="35" t="s">
        <v>299</v>
      </c>
      <c r="C283" s="292">
        <v>7581710.04</v>
      </c>
      <c r="D283" s="16"/>
      <c r="E283" s="16"/>
    </row>
    <row r="284" spans="1:5" x14ac:dyDescent="0.25">
      <c r="A284" s="16" t="s">
        <v>387</v>
      </c>
      <c r="B284" s="35" t="s">
        <v>299</v>
      </c>
      <c r="C284" s="292">
        <v>3324681.27</v>
      </c>
      <c r="D284" s="16"/>
      <c r="E284" s="16"/>
    </row>
    <row r="285" spans="1:5" x14ac:dyDescent="0.25">
      <c r="A285" s="16" t="s">
        <v>388</v>
      </c>
      <c r="B285" s="35" t="s">
        <v>299</v>
      </c>
      <c r="C285" s="292">
        <v>642016330.22000003</v>
      </c>
      <c r="D285" s="16"/>
      <c r="E285" s="16"/>
    </row>
    <row r="286" spans="1:5" x14ac:dyDescent="0.25">
      <c r="A286" s="16" t="s">
        <v>433</v>
      </c>
      <c r="B286" s="35" t="s">
        <v>299</v>
      </c>
      <c r="C286" s="292">
        <v>0</v>
      </c>
      <c r="D286" s="16"/>
      <c r="E286" s="16"/>
    </row>
    <row r="287" spans="1:5" x14ac:dyDescent="0.25">
      <c r="A287" s="16" t="s">
        <v>434</v>
      </c>
      <c r="B287" s="35" t="s">
        <v>299</v>
      </c>
      <c r="C287" s="292">
        <v>0</v>
      </c>
      <c r="D287" s="16"/>
      <c r="E287" s="16"/>
    </row>
    <row r="288" spans="1:5" x14ac:dyDescent="0.25">
      <c r="A288" s="16" t="s">
        <v>435</v>
      </c>
      <c r="B288" s="35" t="s">
        <v>299</v>
      </c>
      <c r="C288" s="292">
        <v>235231073.19000003</v>
      </c>
      <c r="D288" s="16"/>
      <c r="E288" s="16"/>
    </row>
    <row r="289" spans="1:5" x14ac:dyDescent="0.25">
      <c r="A289" s="16" t="s">
        <v>394</v>
      </c>
      <c r="B289" s="35" t="s">
        <v>299</v>
      </c>
      <c r="C289" s="292">
        <v>14880078.33</v>
      </c>
      <c r="D289" s="16"/>
      <c r="E289" s="16"/>
    </row>
    <row r="290" spans="1:5" x14ac:dyDescent="0.25">
      <c r="A290" s="16" t="s">
        <v>395</v>
      </c>
      <c r="B290" s="35" t="s">
        <v>299</v>
      </c>
      <c r="C290" s="292">
        <v>159482.66000000003</v>
      </c>
      <c r="D290" s="16"/>
      <c r="E290" s="16"/>
    </row>
    <row r="291" spans="1:5" x14ac:dyDescent="0.25">
      <c r="A291" s="16" t="s">
        <v>436</v>
      </c>
      <c r="B291" s="16"/>
      <c r="C291" s="22"/>
      <c r="D291" s="25">
        <v>903193355.71000004</v>
      </c>
      <c r="E291" s="16"/>
    </row>
    <row r="292" spans="1:5" x14ac:dyDescent="0.25">
      <c r="A292" s="16" t="s">
        <v>437</v>
      </c>
      <c r="B292" s="35" t="s">
        <v>299</v>
      </c>
      <c r="C292" s="292">
        <v>539671620.74000001</v>
      </c>
      <c r="D292" s="16"/>
      <c r="E292" s="16"/>
    </row>
    <row r="293" spans="1:5" x14ac:dyDescent="0.25">
      <c r="A293" s="16" t="s">
        <v>438</v>
      </c>
      <c r="B293" s="16"/>
      <c r="C293" s="22"/>
      <c r="D293" s="25">
        <v>363521734.97000003</v>
      </c>
      <c r="E293" s="16"/>
    </row>
    <row r="294" spans="1:5" x14ac:dyDescent="0.25">
      <c r="A294" s="34" t="s">
        <v>439</v>
      </c>
      <c r="B294" s="34"/>
      <c r="C294" s="34"/>
      <c r="D294" s="34"/>
      <c r="E294" s="34"/>
    </row>
    <row r="295" spans="1:5" x14ac:dyDescent="0.25">
      <c r="A295" s="16" t="s">
        <v>440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441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442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430</v>
      </c>
      <c r="B298" s="35" t="s">
        <v>299</v>
      </c>
      <c r="C298" s="292">
        <v>3061606.59</v>
      </c>
      <c r="D298" s="16"/>
      <c r="E298" s="16"/>
    </row>
    <row r="299" spans="1:5" x14ac:dyDescent="0.25">
      <c r="A299" s="16" t="s">
        <v>443</v>
      </c>
      <c r="B299" s="16"/>
      <c r="C299" s="22"/>
      <c r="D299" s="25">
        <v>3061606.59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444</v>
      </c>
      <c r="B301" s="34"/>
      <c r="C301" s="34"/>
      <c r="D301" s="34"/>
      <c r="E301" s="34"/>
    </row>
    <row r="302" spans="1:5" x14ac:dyDescent="0.25">
      <c r="A302" s="16" t="s">
        <v>445</v>
      </c>
      <c r="B302" s="35" t="s">
        <v>299</v>
      </c>
      <c r="C302" s="292">
        <v>0</v>
      </c>
      <c r="D302" s="16"/>
      <c r="E302" s="16"/>
    </row>
    <row r="303" spans="1:5" x14ac:dyDescent="0.25">
      <c r="A303" s="16" t="s">
        <v>446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447</v>
      </c>
      <c r="B304" s="35" t="s">
        <v>299</v>
      </c>
      <c r="C304" s="292">
        <v>0</v>
      </c>
      <c r="D304" s="16"/>
      <c r="E304" s="16"/>
    </row>
    <row r="305" spans="1:6" x14ac:dyDescent="0.25">
      <c r="A305" s="16" t="s">
        <v>448</v>
      </c>
      <c r="B305" s="35" t="s">
        <v>299</v>
      </c>
      <c r="C305" s="292">
        <v>0</v>
      </c>
      <c r="D305" s="16"/>
      <c r="E305" s="16"/>
    </row>
    <row r="306" spans="1:6" x14ac:dyDescent="0.25">
      <c r="A306" s="16" t="s">
        <v>449</v>
      </c>
      <c r="B306" s="16"/>
      <c r="C306" s="22"/>
      <c r="D306" s="25"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450</v>
      </c>
      <c r="B308" s="16"/>
      <c r="C308" s="22"/>
      <c r="D308" s="25">
        <v>627343745.92999983</v>
      </c>
      <c r="E308" s="16"/>
    </row>
    <row r="309" spans="1:6" x14ac:dyDescent="0.25">
      <c r="A309" s="16"/>
      <c r="B309" s="16"/>
      <c r="C309" s="22"/>
      <c r="D309" s="16"/>
      <c r="E309" s="16"/>
      <c r="F309" s="11">
        <v>627343745.92999983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451</v>
      </c>
      <c r="B312" s="30"/>
      <c r="C312" s="30"/>
      <c r="D312" s="30"/>
      <c r="E312" s="30"/>
    </row>
    <row r="313" spans="1:6" x14ac:dyDescent="0.25">
      <c r="A313" s="34" t="s">
        <v>452</v>
      </c>
      <c r="B313" s="34"/>
      <c r="C313" s="34"/>
      <c r="D313" s="34"/>
      <c r="E313" s="34"/>
    </row>
    <row r="314" spans="1:6" x14ac:dyDescent="0.25">
      <c r="A314" s="16" t="s">
        <v>453</v>
      </c>
      <c r="B314" s="35" t="s">
        <v>299</v>
      </c>
      <c r="C314" s="292">
        <v>0</v>
      </c>
      <c r="D314" s="16"/>
      <c r="E314" s="16"/>
    </row>
    <row r="315" spans="1:6" x14ac:dyDescent="0.25">
      <c r="A315" s="16" t="s">
        <v>454</v>
      </c>
      <c r="B315" s="35" t="s">
        <v>299</v>
      </c>
      <c r="C315" s="292">
        <v>31259264.789999999</v>
      </c>
      <c r="D315" s="16"/>
      <c r="E315" s="16"/>
    </row>
    <row r="316" spans="1:6" x14ac:dyDescent="0.25">
      <c r="A316" s="16" t="s">
        <v>455</v>
      </c>
      <c r="B316" s="35" t="s">
        <v>299</v>
      </c>
      <c r="C316" s="292">
        <v>-37941.5</v>
      </c>
      <c r="D316" s="16"/>
      <c r="E316" s="16"/>
    </row>
    <row r="317" spans="1:6" x14ac:dyDescent="0.25">
      <c r="A317" s="16" t="s">
        <v>456</v>
      </c>
      <c r="B317" s="35" t="s">
        <v>299</v>
      </c>
      <c r="C317" s="292">
        <v>15715298.130000003</v>
      </c>
      <c r="D317" s="16"/>
      <c r="E317" s="16"/>
    </row>
    <row r="318" spans="1:6" x14ac:dyDescent="0.25">
      <c r="A318" s="16" t="s">
        <v>457</v>
      </c>
      <c r="B318" s="35" t="s">
        <v>299</v>
      </c>
      <c r="C318" s="292">
        <v>0</v>
      </c>
      <c r="D318" s="16"/>
      <c r="E318" s="16"/>
    </row>
    <row r="319" spans="1:6" x14ac:dyDescent="0.25">
      <c r="A319" s="16" t="s">
        <v>458</v>
      </c>
      <c r="B319" s="35" t="s">
        <v>299</v>
      </c>
      <c r="C319" s="292">
        <v>1250000</v>
      </c>
      <c r="D319" s="16"/>
      <c r="E319" s="16"/>
    </row>
    <row r="320" spans="1:6" x14ac:dyDescent="0.25">
      <c r="A320" s="16" t="s">
        <v>459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460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461</v>
      </c>
      <c r="B322" s="35" t="s">
        <v>299</v>
      </c>
      <c r="C322" s="292">
        <v>124481561.81000011</v>
      </c>
      <c r="D322" s="16"/>
      <c r="E322" s="16"/>
    </row>
    <row r="323" spans="1:5" x14ac:dyDescent="0.25">
      <c r="A323" s="16" t="s">
        <v>462</v>
      </c>
      <c r="B323" s="35" t="s">
        <v>299</v>
      </c>
      <c r="C323" s="292">
        <v>0</v>
      </c>
      <c r="D323" s="16"/>
      <c r="E323" s="16"/>
    </row>
    <row r="324" spans="1:5" x14ac:dyDescent="0.25">
      <c r="A324" s="16" t="s">
        <v>463</v>
      </c>
      <c r="B324" s="16"/>
      <c r="C324" s="22"/>
      <c r="D324" s="25">
        <v>172668183.23000011</v>
      </c>
      <c r="E324" s="16"/>
    </row>
    <row r="325" spans="1:5" x14ac:dyDescent="0.25">
      <c r="A325" s="34" t="s">
        <v>464</v>
      </c>
      <c r="B325" s="34"/>
      <c r="C325" s="34"/>
      <c r="D325" s="34"/>
      <c r="E325" s="34"/>
    </row>
    <row r="326" spans="1:5" x14ac:dyDescent="0.25">
      <c r="A326" s="16" t="s">
        <v>465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466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467</v>
      </c>
      <c r="B328" s="35" t="s">
        <v>299</v>
      </c>
      <c r="C328" s="292">
        <v>0</v>
      </c>
      <c r="D328" s="16"/>
      <c r="E328" s="16"/>
    </row>
    <row r="329" spans="1:5" x14ac:dyDescent="0.25">
      <c r="A329" s="16" t="s">
        <v>468</v>
      </c>
      <c r="B329" s="16"/>
      <c r="C329" s="22"/>
      <c r="D329" s="25">
        <v>0</v>
      </c>
      <c r="E329" s="16"/>
    </row>
    <row r="330" spans="1:5" x14ac:dyDescent="0.25">
      <c r="A330" s="34" t="s">
        <v>469</v>
      </c>
      <c r="B330" s="34"/>
      <c r="C330" s="34"/>
      <c r="D330" s="34"/>
      <c r="E330" s="34"/>
    </row>
    <row r="331" spans="1:5" x14ac:dyDescent="0.25">
      <c r="A331" s="16" t="s">
        <v>470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471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472</v>
      </c>
      <c r="B333" s="35" t="s">
        <v>299</v>
      </c>
      <c r="C333" s="292">
        <v>0</v>
      </c>
      <c r="D333" s="16"/>
      <c r="E333" s="16"/>
    </row>
    <row r="334" spans="1:5" x14ac:dyDescent="0.25">
      <c r="A334" s="21" t="s">
        <v>473</v>
      </c>
      <c r="B334" s="35" t="s">
        <v>299</v>
      </c>
      <c r="C334" s="292">
        <v>0</v>
      </c>
      <c r="D334" s="16"/>
      <c r="E334" s="16"/>
    </row>
    <row r="335" spans="1:5" x14ac:dyDescent="0.25">
      <c r="A335" s="16" t="s">
        <v>474</v>
      </c>
      <c r="B335" s="35" t="s">
        <v>299</v>
      </c>
      <c r="C335" s="292">
        <v>0</v>
      </c>
      <c r="D335" s="16"/>
      <c r="E335" s="16"/>
    </row>
    <row r="336" spans="1:5" x14ac:dyDescent="0.25">
      <c r="A336" s="21" t="s">
        <v>475</v>
      </c>
      <c r="B336" s="35" t="s">
        <v>299</v>
      </c>
      <c r="C336" s="292">
        <v>-1263004337.5</v>
      </c>
      <c r="D336" s="16"/>
      <c r="E336" s="16"/>
    </row>
    <row r="337" spans="1:5" x14ac:dyDescent="0.25">
      <c r="A337" s="21" t="s">
        <v>476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477</v>
      </c>
      <c r="B338" s="35" t="s">
        <v>299</v>
      </c>
      <c r="C338" s="292">
        <v>0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v>-1263004337.5</v>
      </c>
      <c r="E339" s="16"/>
    </row>
    <row r="340" spans="1:5" x14ac:dyDescent="0.25">
      <c r="A340" s="16" t="s">
        <v>478</v>
      </c>
      <c r="B340" s="16"/>
      <c r="C340" s="22"/>
      <c r="D340" s="25">
        <v>0</v>
      </c>
      <c r="E340" s="16"/>
    </row>
    <row r="341" spans="1:5" x14ac:dyDescent="0.25">
      <c r="A341" s="16" t="s">
        <v>479</v>
      </c>
      <c r="B341" s="16"/>
      <c r="C341" s="22"/>
      <c r="D341" s="25">
        <v>-1263004337.5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480</v>
      </c>
      <c r="B343" s="35" t="s">
        <v>299</v>
      </c>
      <c r="C343" s="297">
        <v>1717679900.1999996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481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482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483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484</v>
      </c>
      <c r="B348" s="35" t="s">
        <v>299</v>
      </c>
      <c r="C348" s="293">
        <v>0</v>
      </c>
      <c r="D348" s="16"/>
      <c r="E348" s="16"/>
    </row>
    <row r="349" spans="1:5" x14ac:dyDescent="0.25">
      <c r="A349" s="16" t="s">
        <v>485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486</v>
      </c>
      <c r="B350" s="16"/>
      <c r="C350" s="22"/>
      <c r="D350" s="25">
        <v>627343745.92999959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487</v>
      </c>
      <c r="B352" s="16"/>
      <c r="C352" s="22"/>
      <c r="D352" s="25">
        <v>627343745.92999983</v>
      </c>
      <c r="E352" s="16"/>
    </row>
    <row r="353" spans="1:7" x14ac:dyDescent="0.25">
      <c r="A353" s="16"/>
      <c r="B353" s="16"/>
      <c r="C353" s="22"/>
      <c r="D353" s="16"/>
      <c r="E353" s="16"/>
    </row>
    <row r="354" spans="1:7" x14ac:dyDescent="0.25">
      <c r="A354" s="16"/>
      <c r="B354" s="16"/>
      <c r="C354" s="22"/>
      <c r="D354" s="16"/>
      <c r="E354" s="16"/>
    </row>
    <row r="355" spans="1:7" x14ac:dyDescent="0.25">
      <c r="A355" s="16"/>
      <c r="B355" s="16"/>
      <c r="C355" s="22"/>
      <c r="D355" s="16"/>
      <c r="E355" s="16"/>
    </row>
    <row r="356" spans="1:7" x14ac:dyDescent="0.25">
      <c r="A356" s="30" t="s">
        <v>488</v>
      </c>
      <c r="B356" s="30"/>
      <c r="C356" s="30"/>
      <c r="D356" s="30"/>
      <c r="E356" s="30"/>
    </row>
    <row r="357" spans="1:7" x14ac:dyDescent="0.25">
      <c r="A357" s="34" t="s">
        <v>489</v>
      </c>
      <c r="B357" s="34"/>
      <c r="C357" s="34"/>
      <c r="D357" s="34"/>
      <c r="E357" s="34"/>
    </row>
    <row r="358" spans="1:7" x14ac:dyDescent="0.25">
      <c r="A358" s="16" t="s">
        <v>490</v>
      </c>
      <c r="B358" s="35" t="s">
        <v>299</v>
      </c>
      <c r="C358" s="293">
        <v>1963004070.9099998</v>
      </c>
      <c r="D358" s="16"/>
      <c r="E358" s="16"/>
      <c r="F358" s="11">
        <v>1963004070.9099998</v>
      </c>
      <c r="G358" s="338">
        <v>0</v>
      </c>
    </row>
    <row r="359" spans="1:7" x14ac:dyDescent="0.25">
      <c r="A359" s="16" t="s">
        <v>491</v>
      </c>
      <c r="B359" s="35" t="s">
        <v>299</v>
      </c>
      <c r="C359" s="293">
        <v>2915356966.5099993</v>
      </c>
      <c r="D359" s="16"/>
      <c r="E359" s="16"/>
      <c r="F359" s="11">
        <v>2915356966.5099993</v>
      </c>
      <c r="G359" s="338">
        <v>0</v>
      </c>
    </row>
    <row r="360" spans="1:7" x14ac:dyDescent="0.25">
      <c r="A360" s="16" t="s">
        <v>492</v>
      </c>
      <c r="B360" s="16"/>
      <c r="C360" s="22"/>
      <c r="D360" s="25">
        <v>4878361037.4199991</v>
      </c>
      <c r="E360" s="16"/>
    </row>
    <row r="361" spans="1:7" x14ac:dyDescent="0.25">
      <c r="A361" s="34" t="s">
        <v>493</v>
      </c>
      <c r="B361" s="34"/>
      <c r="C361" s="34"/>
      <c r="D361" s="34"/>
      <c r="E361" s="34"/>
    </row>
    <row r="362" spans="1:7" x14ac:dyDescent="0.25">
      <c r="A362" s="16" t="s">
        <v>398</v>
      </c>
      <c r="B362" s="34"/>
      <c r="C362" s="292">
        <v>34201847.780000001</v>
      </c>
      <c r="D362" s="16"/>
      <c r="E362" s="34"/>
    </row>
    <row r="363" spans="1:7" x14ac:dyDescent="0.25">
      <c r="A363" s="16" t="s">
        <v>494</v>
      </c>
      <c r="B363" s="35" t="s">
        <v>299</v>
      </c>
      <c r="C363" s="292">
        <v>3465638926.8699999</v>
      </c>
      <c r="D363" s="16"/>
      <c r="E363" s="16"/>
    </row>
    <row r="364" spans="1:7" x14ac:dyDescent="0.25">
      <c r="A364" s="16" t="s">
        <v>495</v>
      </c>
      <c r="B364" s="35" t="s">
        <v>299</v>
      </c>
      <c r="C364" s="292">
        <v>68087011.899999991</v>
      </c>
      <c r="D364" s="16"/>
      <c r="E364" s="16"/>
    </row>
    <row r="365" spans="1:7" x14ac:dyDescent="0.25">
      <c r="A365" s="16" t="s">
        <v>496</v>
      </c>
      <c r="B365" s="35" t="s">
        <v>299</v>
      </c>
      <c r="C365" s="292">
        <v>0</v>
      </c>
      <c r="D365" s="16"/>
      <c r="E365" s="16"/>
    </row>
    <row r="366" spans="1:7" x14ac:dyDescent="0.25">
      <c r="A366" s="16" t="s">
        <v>415</v>
      </c>
      <c r="B366" s="16"/>
      <c r="C366" s="22"/>
      <c r="D366" s="25">
        <v>3567927786.5500002</v>
      </c>
      <c r="E366" s="16"/>
    </row>
    <row r="367" spans="1:7" x14ac:dyDescent="0.25">
      <c r="A367" s="16" t="s">
        <v>497</v>
      </c>
      <c r="B367" s="16"/>
      <c r="C367" s="22"/>
      <c r="D367" s="25">
        <v>1310433250.8699989</v>
      </c>
      <c r="E367" s="16"/>
    </row>
    <row r="368" spans="1:7" x14ac:dyDescent="0.25">
      <c r="A368" s="45" t="s">
        <v>498</v>
      </c>
      <c r="B368" s="34"/>
      <c r="C368" s="34"/>
      <c r="D368" s="34"/>
      <c r="E368" s="34"/>
    </row>
    <row r="369" spans="1:6" x14ac:dyDescent="0.25">
      <c r="A369" s="25" t="s">
        <v>499</v>
      </c>
      <c r="B369" s="16"/>
      <c r="C369" s="16"/>
      <c r="D369" s="16"/>
      <c r="E369" s="16"/>
    </row>
    <row r="370" spans="1:6" x14ac:dyDescent="0.25">
      <c r="A370" s="46" t="s">
        <v>500</v>
      </c>
      <c r="B370" s="32" t="s">
        <v>299</v>
      </c>
      <c r="C370" s="292">
        <v>0</v>
      </c>
      <c r="D370" s="25">
        <v>0</v>
      </c>
      <c r="E370" s="25"/>
    </row>
    <row r="371" spans="1:6" x14ac:dyDescent="0.25">
      <c r="A371" s="46" t="s">
        <v>501</v>
      </c>
      <c r="B371" s="32" t="s">
        <v>299</v>
      </c>
      <c r="C371" s="292">
        <v>0</v>
      </c>
      <c r="D371" s="25">
        <v>0</v>
      </c>
      <c r="E371" s="25"/>
    </row>
    <row r="372" spans="1:6" x14ac:dyDescent="0.25">
      <c r="A372" s="46" t="s">
        <v>502</v>
      </c>
      <c r="B372" s="32" t="s">
        <v>299</v>
      </c>
      <c r="C372" s="292">
        <v>0</v>
      </c>
      <c r="D372" s="25">
        <v>0</v>
      </c>
      <c r="E372" s="25"/>
    </row>
    <row r="373" spans="1:6" x14ac:dyDescent="0.25">
      <c r="A373" s="46" t="s">
        <v>503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504</v>
      </c>
      <c r="B374" s="32" t="s">
        <v>299</v>
      </c>
      <c r="C374" s="292">
        <v>0</v>
      </c>
      <c r="D374" s="25">
        <v>0</v>
      </c>
      <c r="E374" s="25"/>
    </row>
    <row r="375" spans="1:6" x14ac:dyDescent="0.25">
      <c r="A375" s="46" t="s">
        <v>505</v>
      </c>
      <c r="B375" s="32" t="s">
        <v>299</v>
      </c>
      <c r="C375" s="292">
        <v>0</v>
      </c>
      <c r="D375" s="25">
        <v>0</v>
      </c>
      <c r="E375" s="25"/>
    </row>
    <row r="376" spans="1:6" x14ac:dyDescent="0.25">
      <c r="A376" s="46" t="s">
        <v>506</v>
      </c>
      <c r="B376" s="32" t="s">
        <v>299</v>
      </c>
      <c r="C376" s="292">
        <v>0</v>
      </c>
      <c r="D376" s="25">
        <v>0</v>
      </c>
      <c r="E376" s="25"/>
    </row>
    <row r="377" spans="1:6" x14ac:dyDescent="0.25">
      <c r="A377" s="46" t="s">
        <v>507</v>
      </c>
      <c r="B377" s="32" t="s">
        <v>299</v>
      </c>
      <c r="C377" s="292">
        <v>0</v>
      </c>
      <c r="D377" s="25">
        <v>0</v>
      </c>
      <c r="E377" s="25"/>
    </row>
    <row r="378" spans="1:6" x14ac:dyDescent="0.25">
      <c r="A378" s="46" t="s">
        <v>508</v>
      </c>
      <c r="B378" s="32" t="s">
        <v>299</v>
      </c>
      <c r="C378" s="292">
        <v>0</v>
      </c>
      <c r="D378" s="25">
        <v>0</v>
      </c>
      <c r="E378" s="25"/>
    </row>
    <row r="379" spans="1:6" x14ac:dyDescent="0.25">
      <c r="A379" s="46" t="s">
        <v>509</v>
      </c>
      <c r="B379" s="32" t="s">
        <v>299</v>
      </c>
      <c r="C379" s="292">
        <v>0</v>
      </c>
      <c r="D379" s="25">
        <v>0</v>
      </c>
      <c r="E379" s="25"/>
    </row>
    <row r="380" spans="1:6" x14ac:dyDescent="0.25">
      <c r="A380" s="46" t="s">
        <v>510</v>
      </c>
      <c r="B380" s="32" t="s">
        <v>299</v>
      </c>
      <c r="C380" s="294">
        <v>83355554.319999978</v>
      </c>
      <c r="D380" s="25">
        <v>0</v>
      </c>
      <c r="E380" s="204" t="s">
        <v>1061</v>
      </c>
      <c r="F380" s="47"/>
    </row>
    <row r="381" spans="1:6" x14ac:dyDescent="0.25">
      <c r="A381" s="48" t="s">
        <v>511</v>
      </c>
      <c r="B381" s="35"/>
      <c r="C381" s="35"/>
      <c r="D381" s="25">
        <v>83355554.319999978</v>
      </c>
      <c r="E381" s="25"/>
      <c r="F381" s="47"/>
    </row>
    <row r="382" spans="1:6" x14ac:dyDescent="0.25">
      <c r="A382" s="43" t="s">
        <v>512</v>
      </c>
      <c r="B382" s="35" t="s">
        <v>299</v>
      </c>
      <c r="C382" s="292">
        <v>0</v>
      </c>
      <c r="D382" s="25">
        <v>0</v>
      </c>
      <c r="E382" s="16"/>
    </row>
    <row r="383" spans="1:6" x14ac:dyDescent="0.25">
      <c r="A383" s="16" t="s">
        <v>513</v>
      </c>
      <c r="B383" s="16"/>
      <c r="C383" s="22"/>
      <c r="D383" s="25">
        <v>83355554.319999978</v>
      </c>
      <c r="E383" s="16"/>
    </row>
    <row r="384" spans="1:6" x14ac:dyDescent="0.25">
      <c r="A384" s="16" t="s">
        <v>514</v>
      </c>
      <c r="B384" s="16"/>
      <c r="C384" s="22"/>
      <c r="D384" s="25">
        <v>1393788805.1899989</v>
      </c>
      <c r="E384" s="16"/>
    </row>
    <row r="385" spans="1:9" x14ac:dyDescent="0.25">
      <c r="A385" s="16"/>
      <c r="B385" s="16"/>
      <c r="C385" s="22"/>
      <c r="D385" s="16"/>
      <c r="E385" s="16"/>
    </row>
    <row r="386" spans="1:9" x14ac:dyDescent="0.25">
      <c r="A386" s="16"/>
      <c r="B386" s="16"/>
      <c r="C386" s="22"/>
      <c r="D386" s="16"/>
      <c r="E386" s="16"/>
    </row>
    <row r="387" spans="1:9" x14ac:dyDescent="0.25">
      <c r="A387" s="16"/>
      <c r="B387" s="16"/>
      <c r="C387" s="22"/>
      <c r="D387" s="16"/>
      <c r="E387" s="16"/>
    </row>
    <row r="388" spans="1:9" x14ac:dyDescent="0.25">
      <c r="A388" s="34" t="s">
        <v>515</v>
      </c>
      <c r="B388" s="34"/>
      <c r="C388" s="34"/>
      <c r="D388" s="34"/>
      <c r="E388" s="34"/>
      <c r="G388" s="339"/>
    </row>
    <row r="389" spans="1:9" x14ac:dyDescent="0.25">
      <c r="A389" s="16" t="s">
        <v>516</v>
      </c>
      <c r="B389" s="35" t="s">
        <v>299</v>
      </c>
      <c r="C389" s="292">
        <v>421843193.3599999</v>
      </c>
      <c r="D389" s="16"/>
      <c r="E389" s="16"/>
      <c r="F389" s="11">
        <v>421843193.35999995</v>
      </c>
      <c r="G389" s="339">
        <v>5.9604644775390625E-8</v>
      </c>
    </row>
    <row r="390" spans="1:9" x14ac:dyDescent="0.25">
      <c r="A390" s="16" t="s">
        <v>10</v>
      </c>
      <c r="B390" s="35" t="s">
        <v>299</v>
      </c>
      <c r="C390" s="292">
        <v>80460743.289999917</v>
      </c>
      <c r="D390" s="16"/>
      <c r="E390" s="16"/>
      <c r="F390" s="11">
        <v>80460743</v>
      </c>
      <c r="G390" s="339">
        <v>-0.28999991714954376</v>
      </c>
    </row>
    <row r="391" spans="1:9" x14ac:dyDescent="0.25">
      <c r="A391" s="16" t="s">
        <v>263</v>
      </c>
      <c r="B391" s="35" t="s">
        <v>299</v>
      </c>
      <c r="C391" s="292">
        <v>41410588.960000001</v>
      </c>
      <c r="D391" s="16"/>
      <c r="E391" s="16"/>
      <c r="F391" s="11">
        <v>41410588.959999993</v>
      </c>
      <c r="G391" s="339">
        <v>-7.4505805969238281E-9</v>
      </c>
      <c r="H391" s="339"/>
    </row>
    <row r="392" spans="1:9" x14ac:dyDescent="0.25">
      <c r="A392" s="16" t="s">
        <v>517</v>
      </c>
      <c r="B392" s="35" t="s">
        <v>299</v>
      </c>
      <c r="C392" s="292">
        <v>305295152.01000041</v>
      </c>
      <c r="D392" s="16"/>
      <c r="E392" s="16"/>
      <c r="F392" s="11">
        <v>305295152.01000017</v>
      </c>
      <c r="G392" s="339">
        <v>-2.384185791015625E-7</v>
      </c>
      <c r="H392" s="339"/>
    </row>
    <row r="393" spans="1:9" x14ac:dyDescent="0.25">
      <c r="A393" s="16" t="s">
        <v>518</v>
      </c>
      <c r="B393" s="35" t="s">
        <v>299</v>
      </c>
      <c r="C393" s="292">
        <v>0</v>
      </c>
      <c r="D393" s="16"/>
      <c r="E393" s="16"/>
      <c r="F393" s="11">
        <v>0</v>
      </c>
      <c r="G393" s="339">
        <v>0</v>
      </c>
      <c r="H393" s="339"/>
    </row>
    <row r="394" spans="1:9" x14ac:dyDescent="0.25">
      <c r="A394" s="16" t="s">
        <v>519</v>
      </c>
      <c r="B394" s="35" t="s">
        <v>299</v>
      </c>
      <c r="C394" s="292">
        <v>336181922.62999952</v>
      </c>
      <c r="D394" s="16"/>
      <c r="E394" s="16"/>
      <c r="F394" s="11">
        <v>336181922.63</v>
      </c>
      <c r="G394" s="339">
        <v>4.76837158203125E-7</v>
      </c>
      <c r="H394" s="339"/>
      <c r="I394" s="339"/>
    </row>
    <row r="395" spans="1:9" x14ac:dyDescent="0.25">
      <c r="A395" s="16" t="s">
        <v>15</v>
      </c>
      <c r="B395" s="35" t="s">
        <v>299</v>
      </c>
      <c r="C395" s="292">
        <v>19831991.549999993</v>
      </c>
      <c r="D395" s="16"/>
      <c r="E395" s="16"/>
      <c r="F395" s="11">
        <v>19831994</v>
      </c>
      <c r="G395" s="339">
        <v>2.4500000067055225</v>
      </c>
    </row>
    <row r="396" spans="1:9" x14ac:dyDescent="0.25">
      <c r="A396" s="16" t="s">
        <v>520</v>
      </c>
      <c r="B396" s="35" t="s">
        <v>299</v>
      </c>
      <c r="C396" s="292">
        <v>7807797.2300000032</v>
      </c>
      <c r="D396" s="16"/>
      <c r="E396" s="16"/>
      <c r="F396" s="11">
        <v>7807797.2299999986</v>
      </c>
      <c r="G396" s="339">
        <v>-4.6566128730773926E-9</v>
      </c>
    </row>
    <row r="397" spans="1:9" x14ac:dyDescent="0.25">
      <c r="A397" s="16" t="s">
        <v>521</v>
      </c>
      <c r="B397" s="35" t="s">
        <v>299</v>
      </c>
      <c r="C397" s="292">
        <v>0</v>
      </c>
      <c r="D397" s="16"/>
      <c r="E397" s="16"/>
      <c r="G397" s="339"/>
    </row>
    <row r="398" spans="1:9" x14ac:dyDescent="0.25">
      <c r="A398" s="16" t="s">
        <v>522</v>
      </c>
      <c r="B398" s="35" t="s">
        <v>299</v>
      </c>
      <c r="C398" s="292">
        <v>0</v>
      </c>
      <c r="D398" s="16"/>
      <c r="E398" s="16"/>
      <c r="G398" s="339"/>
    </row>
    <row r="399" spans="1:9" x14ac:dyDescent="0.25">
      <c r="A399" s="16" t="s">
        <v>523</v>
      </c>
      <c r="B399" s="35" t="s">
        <v>299</v>
      </c>
      <c r="C399" s="292">
        <v>15651385.67</v>
      </c>
      <c r="D399" s="16"/>
      <c r="E399" s="16"/>
      <c r="F399" s="11">
        <v>0</v>
      </c>
      <c r="G399" s="339">
        <v>15651385.67</v>
      </c>
    </row>
    <row r="400" spans="1:9" x14ac:dyDescent="0.25">
      <c r="A400" s="25" t="s">
        <v>524</v>
      </c>
      <c r="B400" s="16"/>
      <c r="C400" s="16"/>
      <c r="D400" s="16"/>
      <c r="E400" s="16"/>
      <c r="G400" s="339"/>
    </row>
    <row r="401" spans="1:9" x14ac:dyDescent="0.25">
      <c r="A401" s="26" t="s">
        <v>269</v>
      </c>
      <c r="B401" s="32" t="s">
        <v>299</v>
      </c>
      <c r="C401" s="292">
        <v>0</v>
      </c>
      <c r="D401" s="25">
        <v>0</v>
      </c>
      <c r="E401" s="25"/>
      <c r="G401" s="339"/>
    </row>
    <row r="402" spans="1:9" x14ac:dyDescent="0.25">
      <c r="A402" s="26" t="s">
        <v>270</v>
      </c>
      <c r="B402" s="32" t="s">
        <v>299</v>
      </c>
      <c r="C402" s="292">
        <v>0</v>
      </c>
      <c r="D402" s="25">
        <v>0</v>
      </c>
      <c r="E402" s="25"/>
      <c r="G402" s="339"/>
    </row>
    <row r="403" spans="1:9" x14ac:dyDescent="0.25">
      <c r="A403" s="26" t="s">
        <v>525</v>
      </c>
      <c r="B403" s="32" t="s">
        <v>299</v>
      </c>
      <c r="C403" s="292">
        <v>139888.18</v>
      </c>
      <c r="D403" s="25">
        <v>0</v>
      </c>
      <c r="E403" s="25"/>
      <c r="G403" s="339"/>
    </row>
    <row r="404" spans="1:9" x14ac:dyDescent="0.25">
      <c r="A404" s="26" t="s">
        <v>272</v>
      </c>
      <c r="B404" s="32" t="s">
        <v>299</v>
      </c>
      <c r="C404" s="292">
        <v>15189823.060000004</v>
      </c>
      <c r="D404" s="25">
        <v>0</v>
      </c>
      <c r="E404" s="25"/>
      <c r="G404" s="339"/>
    </row>
    <row r="405" spans="1:9" x14ac:dyDescent="0.25">
      <c r="A405" s="26" t="s">
        <v>273</v>
      </c>
      <c r="B405" s="32" t="s">
        <v>299</v>
      </c>
      <c r="C405" s="292">
        <v>0</v>
      </c>
      <c r="D405" s="25">
        <v>0</v>
      </c>
      <c r="E405" s="25"/>
      <c r="G405" s="339"/>
    </row>
    <row r="406" spans="1:9" x14ac:dyDescent="0.25">
      <c r="A406" s="26" t="s">
        <v>274</v>
      </c>
      <c r="B406" s="32" t="s">
        <v>299</v>
      </c>
      <c r="C406" s="292">
        <v>152749.28000000003</v>
      </c>
      <c r="D406" s="25">
        <v>0</v>
      </c>
      <c r="E406" s="25"/>
      <c r="G406" s="339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  <c r="G407" s="339"/>
    </row>
    <row r="408" spans="1:9" x14ac:dyDescent="0.25">
      <c r="A408" s="26" t="s">
        <v>276</v>
      </c>
      <c r="B408" s="32" t="s">
        <v>299</v>
      </c>
      <c r="C408" s="292">
        <v>0</v>
      </c>
      <c r="D408" s="25">
        <v>0</v>
      </c>
      <c r="E408" s="25"/>
      <c r="G408" s="339"/>
    </row>
    <row r="409" spans="1:9" x14ac:dyDescent="0.25">
      <c r="A409" s="26" t="s">
        <v>277</v>
      </c>
      <c r="B409" s="32" t="s">
        <v>299</v>
      </c>
      <c r="C409" s="292">
        <v>0</v>
      </c>
      <c r="D409" s="25">
        <v>0</v>
      </c>
      <c r="E409" s="25"/>
      <c r="G409" s="339"/>
    </row>
    <row r="410" spans="1:9" x14ac:dyDescent="0.25">
      <c r="A410" s="26" t="s">
        <v>278</v>
      </c>
      <c r="B410" s="32" t="s">
        <v>299</v>
      </c>
      <c r="C410" s="292">
        <v>-111672.73000000003</v>
      </c>
      <c r="D410" s="25">
        <v>0</v>
      </c>
      <c r="E410" s="25"/>
      <c r="G410" s="339"/>
    </row>
    <row r="411" spans="1:9" x14ac:dyDescent="0.25">
      <c r="A411" s="26" t="s">
        <v>279</v>
      </c>
      <c r="B411" s="32" t="s">
        <v>299</v>
      </c>
      <c r="C411" s="292">
        <v>423222.33</v>
      </c>
      <c r="D411" s="25">
        <v>0</v>
      </c>
      <c r="E411" s="25"/>
      <c r="G411" s="339"/>
    </row>
    <row r="412" spans="1:9" x14ac:dyDescent="0.25">
      <c r="A412" s="26" t="s">
        <v>280</v>
      </c>
      <c r="B412" s="32" t="s">
        <v>299</v>
      </c>
      <c r="C412" s="292">
        <v>8659574.9600000009</v>
      </c>
      <c r="D412" s="25">
        <v>0</v>
      </c>
      <c r="E412" s="25"/>
      <c r="G412" s="339"/>
    </row>
    <row r="413" spans="1:9" x14ac:dyDescent="0.25">
      <c r="A413" s="26" t="s">
        <v>281</v>
      </c>
      <c r="B413" s="32" t="s">
        <v>299</v>
      </c>
      <c r="C413" s="292">
        <v>2459169.7199999983</v>
      </c>
      <c r="D413" s="25">
        <v>0</v>
      </c>
      <c r="E413" s="25"/>
      <c r="G413" s="339"/>
    </row>
    <row r="414" spans="1:9" x14ac:dyDescent="0.25">
      <c r="A414" s="26" t="s">
        <v>282</v>
      </c>
      <c r="B414" s="32" t="s">
        <v>299</v>
      </c>
      <c r="C414" s="294">
        <v>22915506.829999994</v>
      </c>
      <c r="D414" s="25">
        <v>0</v>
      </c>
      <c r="E414" s="204" t="s">
        <v>1061</v>
      </c>
      <c r="F414" s="340">
        <v>22915506.829999994</v>
      </c>
      <c r="G414" s="339">
        <v>0</v>
      </c>
      <c r="H414" s="47"/>
      <c r="I414" s="47"/>
    </row>
    <row r="415" spans="1:9" x14ac:dyDescent="0.25">
      <c r="A415" s="49" t="s">
        <v>526</v>
      </c>
      <c r="B415" s="35"/>
      <c r="C415" s="35"/>
      <c r="D415" s="25">
        <v>49828261.629999995</v>
      </c>
      <c r="E415" s="25"/>
      <c r="F415" s="47"/>
      <c r="G415" s="47"/>
      <c r="H415" s="47"/>
      <c r="I415" s="47"/>
    </row>
    <row r="416" spans="1:9" x14ac:dyDescent="0.25">
      <c r="A416" s="25" t="s">
        <v>527</v>
      </c>
      <c r="B416" s="16"/>
      <c r="C416" s="22"/>
      <c r="D416" s="25">
        <v>1278311036.3299994</v>
      </c>
      <c r="E416" s="25"/>
    </row>
    <row r="417" spans="1:13" x14ac:dyDescent="0.25">
      <c r="A417" s="25" t="s">
        <v>528</v>
      </c>
      <c r="B417" s="16"/>
      <c r="C417" s="22"/>
      <c r="D417" s="25">
        <v>115477768.85999942</v>
      </c>
      <c r="E417" s="25"/>
    </row>
    <row r="418" spans="1:13" x14ac:dyDescent="0.25">
      <c r="A418" s="25" t="s">
        <v>529</v>
      </c>
      <c r="B418" s="16"/>
      <c r="C418" s="294">
        <v>0</v>
      </c>
      <c r="D418" s="25">
        <v>0</v>
      </c>
      <c r="E418" s="25"/>
    </row>
    <row r="419" spans="1:13" x14ac:dyDescent="0.25">
      <c r="A419" s="46" t="s">
        <v>530</v>
      </c>
      <c r="B419" s="35" t="s">
        <v>299</v>
      </c>
      <c r="C419" s="292">
        <v>0</v>
      </c>
      <c r="D419" s="25">
        <v>0</v>
      </c>
      <c r="E419" s="25"/>
    </row>
    <row r="420" spans="1:13" x14ac:dyDescent="0.25">
      <c r="A420" s="48" t="s">
        <v>531</v>
      </c>
      <c r="B420" s="16"/>
      <c r="C420" s="16"/>
      <c r="D420" s="25">
        <v>0</v>
      </c>
      <c r="E420" s="25"/>
      <c r="F420" s="11">
        <v>-15651385.67</v>
      </c>
    </row>
    <row r="421" spans="1:13" x14ac:dyDescent="0.25">
      <c r="A421" s="25" t="s">
        <v>532</v>
      </c>
      <c r="B421" s="16"/>
      <c r="C421" s="22"/>
      <c r="D421" s="25">
        <v>115477768.85999942</v>
      </c>
      <c r="E421" s="25"/>
      <c r="F421" s="50"/>
    </row>
    <row r="422" spans="1:13" x14ac:dyDescent="0.25">
      <c r="A422" s="25" t="s">
        <v>533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534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535</v>
      </c>
      <c r="B424" s="16"/>
      <c r="C424" s="22"/>
      <c r="D424" s="25">
        <v>115477768.85999942</v>
      </c>
      <c r="E424" s="16"/>
    </row>
    <row r="426" spans="1:13" ht="29.1" customHeight="1" x14ac:dyDescent="0.25">
      <c r="A426" s="343" t="s">
        <v>536</v>
      </c>
      <c r="B426" s="343"/>
      <c r="C426" s="343"/>
      <c r="D426" s="343"/>
      <c r="E426" s="343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537</v>
      </c>
      <c r="D612" s="217">
        <f>CE90-(BE90+CD90)</f>
        <v>529296.56499999994</v>
      </c>
      <c r="E612" s="219">
        <f>SUM(C624:D647)+SUM(C668:D713)</f>
        <v>904578993.08259952</v>
      </c>
      <c r="F612" s="219">
        <f>CE64-(AX64+BD64+BE64+BG64+BJ64+BN64+BP64+BQ64+CB64+CC64+CD64)</f>
        <v>304780667.4200002</v>
      </c>
      <c r="G612" s="217">
        <f>CE91-(AX91+AY91+BD91+BE91+BG91+BJ91+BN91+BP91+BQ91+CB91+CC91+CD91)</f>
        <v>388780</v>
      </c>
      <c r="H612" s="222">
        <f>CE60-(AX60+AY60+AZ60+BD60+BE60+BG60+BJ60+BN60+BO60+BP60+BQ60+BR60+CB60+CC60+CD60)</f>
        <v>3225.4996933937659</v>
      </c>
      <c r="I612" s="217">
        <f>CE92-(AX92+AY92+AZ92+BD92+BE92+BF92+BG92+BJ92+BN92+BO92+BP92+BQ92+BR92+CB92+CC92+CD92)</f>
        <v>250432</v>
      </c>
      <c r="J612" s="217">
        <f>CE93-(AX93+AY93+AZ93+BA93+BD93+BE93+BF93+BG93+BJ93+BN93+BO93+BP93+BQ93+BR93+CB93+CC93+CD93)</f>
        <v>3642405.6799999988</v>
      </c>
      <c r="K612" s="217">
        <f>CE89-(AW89+AX89+AY89+AZ89+BA89+BB89+BC89+BD89+BE89+BF89+BG89+BH89+BI89+BJ89+BK89+BL89+BM89+BN89+BO89+BP89+BQ89+BR89+BS89+BT89+BU89+BV89+BW89+BX89+CB89+CC89+CD89)</f>
        <v>0</v>
      </c>
      <c r="L612" s="223">
        <f>CE94-(AW94+AX94+AY94+AZ94+BA94+BB94+BC94+BD94+BE94+BF94+BG94+BH94+BI94+BJ94+BK94+BL94+BM94+BN94+BO94+BP94+BQ94+BR94+BS94+BT94+BU94+BV94+BW94+BX94+BY94+BZ94+CA94+CB94+CC94+CD94)</f>
        <v>1021.4072520117126</v>
      </c>
    </row>
    <row r="613" spans="1:14" s="202" customFormat="1" ht="12.6" customHeight="1" x14ac:dyDescent="0.2">
      <c r="A613" s="212"/>
      <c r="C613" s="210" t="s">
        <v>538</v>
      </c>
      <c r="D613" s="218" t="s">
        <v>539</v>
      </c>
      <c r="E613" s="220" t="s">
        <v>540</v>
      </c>
      <c r="F613" s="221" t="s">
        <v>541</v>
      </c>
      <c r="G613" s="218" t="s">
        <v>542</v>
      </c>
      <c r="H613" s="221" t="s">
        <v>543</v>
      </c>
      <c r="I613" s="218" t="s">
        <v>544</v>
      </c>
      <c r="J613" s="218" t="s">
        <v>545</v>
      </c>
      <c r="K613" s="210" t="s">
        <v>546</v>
      </c>
      <c r="L613" s="211" t="s">
        <v>547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3179677.18</v>
      </c>
      <c r="D614" s="217"/>
      <c r="E614" s="219"/>
      <c r="F614" s="219"/>
      <c r="G614" s="217"/>
      <c r="H614" s="219"/>
      <c r="I614" s="217"/>
      <c r="J614" s="217"/>
      <c r="N614" s="213" t="s">
        <v>548</v>
      </c>
    </row>
    <row r="615" spans="1:14" s="202" customFormat="1" ht="12.6" customHeight="1" x14ac:dyDescent="0.2">
      <c r="A615" s="212"/>
      <c r="B615" s="211" t="s">
        <v>549</v>
      </c>
      <c r="C615" s="217">
        <f>CD69-CD84</f>
        <v>0</v>
      </c>
      <c r="D615" s="217">
        <f>SUM(C614:C615)</f>
        <v>3179677.18</v>
      </c>
      <c r="E615" s="219"/>
      <c r="F615" s="219"/>
      <c r="G615" s="217"/>
      <c r="H615" s="219"/>
      <c r="I615" s="217"/>
      <c r="J615" s="217"/>
      <c r="N615" s="213" t="s">
        <v>550</v>
      </c>
    </row>
    <row r="616" spans="1:14" s="202" customFormat="1" ht="12.6" customHeight="1" x14ac:dyDescent="0.2">
      <c r="A616" s="212">
        <v>8310</v>
      </c>
      <c r="B616" s="216" t="s">
        <v>551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552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0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553</v>
      </c>
    </row>
    <row r="618" spans="1:14" s="202" customFormat="1" ht="12.6" customHeight="1" x14ac:dyDescent="0.2">
      <c r="A618" s="212">
        <v>8470</v>
      </c>
      <c r="B618" s="216" t="s">
        <v>554</v>
      </c>
      <c r="C618" s="217">
        <f>BG85</f>
        <v>0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555</v>
      </c>
    </row>
    <row r="619" spans="1:14" s="202" customFormat="1" ht="12.6" customHeight="1" x14ac:dyDescent="0.2">
      <c r="A619" s="212">
        <v>8610</v>
      </c>
      <c r="B619" s="216" t="s">
        <v>556</v>
      </c>
      <c r="C619" s="217">
        <f>BN85</f>
        <v>99597406.209999993</v>
      </c>
      <c r="D619" s="217">
        <f>(D615/D612)*BN90</f>
        <v>60218.358347491274</v>
      </c>
      <c r="E619" s="219"/>
      <c r="F619" s="219"/>
      <c r="G619" s="217"/>
      <c r="H619" s="219"/>
      <c r="I619" s="217"/>
      <c r="J619" s="217"/>
      <c r="N619" s="213" t="s">
        <v>557</v>
      </c>
    </row>
    <row r="620" spans="1:14" s="202" customFormat="1" ht="12.6" customHeight="1" x14ac:dyDescent="0.2">
      <c r="A620" s="212">
        <v>8790</v>
      </c>
      <c r="B620" s="216" t="s">
        <v>558</v>
      </c>
      <c r="C620" s="217">
        <f>CC85</f>
        <v>175046010.70999995</v>
      </c>
      <c r="D620" s="217">
        <f>(D615/D612)*CC90</f>
        <v>21470.139053338844</v>
      </c>
      <c r="E620" s="219"/>
      <c r="F620" s="219"/>
      <c r="G620" s="217"/>
      <c r="H620" s="219"/>
      <c r="I620" s="217"/>
      <c r="J620" s="217"/>
      <c r="N620" s="213" t="s">
        <v>559</v>
      </c>
    </row>
    <row r="621" spans="1:14" s="202" customFormat="1" ht="12.6" customHeight="1" x14ac:dyDescent="0.2">
      <c r="A621" s="212">
        <v>8630</v>
      </c>
      <c r="B621" s="216" t="s">
        <v>560</v>
      </c>
      <c r="C621" s="217">
        <f>BP85</f>
        <v>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561</v>
      </c>
    </row>
    <row r="622" spans="1:14" s="202" customFormat="1" ht="12.6" customHeight="1" x14ac:dyDescent="0.2">
      <c r="A622" s="212">
        <v>8770</v>
      </c>
      <c r="B622" s="211" t="s">
        <v>562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563</v>
      </c>
    </row>
    <row r="623" spans="1:14" s="202" customFormat="1" ht="12.6" customHeight="1" x14ac:dyDescent="0.2">
      <c r="A623" s="212">
        <v>8640</v>
      </c>
      <c r="B623" s="216" t="s">
        <v>564</v>
      </c>
      <c r="C623" s="217">
        <f>BQ85</f>
        <v>0</v>
      </c>
      <c r="D623" s="217">
        <f>(D615/D612)*BQ90</f>
        <v>0</v>
      </c>
      <c r="E623" s="219">
        <f>SUM(C616:D623)</f>
        <v>274725105.41740078</v>
      </c>
      <c r="F623" s="219"/>
      <c r="G623" s="217"/>
      <c r="H623" s="219"/>
      <c r="I623" s="217"/>
      <c r="J623" s="217"/>
      <c r="N623" s="213" t="s">
        <v>565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962538.21</v>
      </c>
      <c r="D624" s="217">
        <f>(D615/D612)*BD90</f>
        <v>13017.95799309599</v>
      </c>
      <c r="E624" s="219">
        <f>(E623/E612)*SUM(C624:D624)</f>
        <v>296281.22379802616</v>
      </c>
      <c r="F624" s="219">
        <f>SUM(C624:E624)</f>
        <v>1271837.391791122</v>
      </c>
      <c r="G624" s="217"/>
      <c r="H624" s="219"/>
      <c r="I624" s="217"/>
      <c r="J624" s="217"/>
      <c r="N624" s="213" t="s">
        <v>566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1250957.51</v>
      </c>
      <c r="D625" s="217">
        <f>(D615/D612)*AY90</f>
        <v>46580.560527109796</v>
      </c>
      <c r="E625" s="219">
        <f>(E623/E612)*SUM(C625:D625)</f>
        <v>394068.71697727026</v>
      </c>
      <c r="F625" s="219">
        <f>(F624/F612)*AY64</f>
        <v>1849.7401359776291</v>
      </c>
      <c r="G625" s="217">
        <f>SUM(C625:F625)</f>
        <v>1693456.5276403578</v>
      </c>
      <c r="H625" s="219"/>
      <c r="I625" s="217"/>
      <c r="J625" s="217"/>
      <c r="N625" s="213" t="s">
        <v>567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0</v>
      </c>
      <c r="D626" s="217">
        <f>(D615/D612)*BR90</f>
        <v>0</v>
      </c>
      <c r="E626" s="219">
        <f>(E623/E612)*SUM(C626:D626)</f>
        <v>0</v>
      </c>
      <c r="F626" s="219">
        <f>(F624/F612)*BR64</f>
        <v>0</v>
      </c>
      <c r="G626" s="217">
        <f>(G625/G612)*BR91</f>
        <v>0</v>
      </c>
      <c r="H626" s="219"/>
      <c r="I626" s="217"/>
      <c r="J626" s="217"/>
      <c r="N626" s="213" t="s">
        <v>568</v>
      </c>
    </row>
    <row r="627" spans="1:14" s="202" customFormat="1" ht="12.6" customHeight="1" x14ac:dyDescent="0.2">
      <c r="A627" s="212">
        <v>8620</v>
      </c>
      <c r="B627" s="211" t="s">
        <v>569</v>
      </c>
      <c r="C627" s="217">
        <f>BO85</f>
        <v>0</v>
      </c>
      <c r="D627" s="217">
        <f>(D615/D612)*BO90</f>
        <v>0</v>
      </c>
      <c r="E627" s="219">
        <f>(E623/E612)*SUM(C627:D627)</f>
        <v>0</v>
      </c>
      <c r="F627" s="219">
        <f>(F624/F612)*BO64</f>
        <v>0</v>
      </c>
      <c r="G627" s="217">
        <f>(G625/G612)*BO91</f>
        <v>0</v>
      </c>
      <c r="H627" s="219"/>
      <c r="I627" s="217"/>
      <c r="J627" s="217"/>
      <c r="N627" s="213" t="s">
        <v>570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>
        <f>(G625/G612)*AZ91</f>
        <v>0</v>
      </c>
      <c r="H628" s="219">
        <f>SUM(C626:G628)</f>
        <v>0</v>
      </c>
      <c r="I628" s="217"/>
      <c r="J628" s="217"/>
      <c r="N628" s="213" t="s">
        <v>571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2219310.4499999997</v>
      </c>
      <c r="D629" s="217">
        <f>(D615/D612)*BF90</f>
        <v>12056.299148825199</v>
      </c>
      <c r="E629" s="219">
        <f>(E623/E612)*SUM(C629:D629)</f>
        <v>677677.0962763424</v>
      </c>
      <c r="F629" s="219">
        <f>(F624/F612)*BF64</f>
        <v>489.29857574884846</v>
      </c>
      <c r="G629" s="217">
        <f>(G625/G612)*BF91</f>
        <v>0</v>
      </c>
      <c r="H629" s="219">
        <f>(H628/H612)*BF60</f>
        <v>0</v>
      </c>
      <c r="I629" s="217">
        <f>SUM(C629:H629)</f>
        <v>2909533.1440009158</v>
      </c>
      <c r="J629" s="217"/>
      <c r="N629" s="213" t="s">
        <v>572</v>
      </c>
    </row>
    <row r="630" spans="1:14" s="202" customFormat="1" ht="12.6" customHeight="1" x14ac:dyDescent="0.2">
      <c r="A630" s="212">
        <v>8350</v>
      </c>
      <c r="B630" s="216" t="s">
        <v>573</v>
      </c>
      <c r="C630" s="217">
        <f>BA85</f>
        <v>0</v>
      </c>
      <c r="D630" s="217">
        <f>(D615/D612)*BA90</f>
        <v>0</v>
      </c>
      <c r="E630" s="219">
        <f>(E623/E612)*SUM(C630:D630)</f>
        <v>0</v>
      </c>
      <c r="F630" s="219">
        <f>(F624/F612)*BA64</f>
        <v>0</v>
      </c>
      <c r="G630" s="217">
        <f>(G625/G612)*BA91</f>
        <v>0</v>
      </c>
      <c r="H630" s="219">
        <f>(H628/H612)*BA60</f>
        <v>0</v>
      </c>
      <c r="I630" s="217">
        <f>(I629/I612)*BA92</f>
        <v>0</v>
      </c>
      <c r="J630" s="217">
        <f>SUM(C630:I630)</f>
        <v>0</v>
      </c>
      <c r="N630" s="213" t="s">
        <v>574</v>
      </c>
    </row>
    <row r="631" spans="1:14" s="202" customFormat="1" ht="12.6" customHeight="1" x14ac:dyDescent="0.2">
      <c r="A631" s="212">
        <v>8200</v>
      </c>
      <c r="B631" s="216" t="s">
        <v>575</v>
      </c>
      <c r="C631" s="217">
        <f>AW85</f>
        <v>14779019.639999995</v>
      </c>
      <c r="D631" s="217">
        <f>(D615/D612)*AW90</f>
        <v>5131.9709987734395</v>
      </c>
      <c r="E631" s="219">
        <f>(E623/E612)*SUM(C631:D631)</f>
        <v>4490019.8223679047</v>
      </c>
      <c r="F631" s="219">
        <f>(F624/F612)*AW64</f>
        <v>85.170855215089972</v>
      </c>
      <c r="G631" s="217">
        <f>(G625/G612)*AW91</f>
        <v>0</v>
      </c>
      <c r="H631" s="219">
        <f>(H628/H612)*AW60</f>
        <v>0</v>
      </c>
      <c r="I631" s="217">
        <f>(I629/I612)*AW92</f>
        <v>0</v>
      </c>
      <c r="J631" s="217">
        <f>(J630/J612)*AW93</f>
        <v>0</v>
      </c>
      <c r="N631" s="213" t="s">
        <v>576</v>
      </c>
    </row>
    <row r="632" spans="1:14" s="202" customFormat="1" ht="12.6" customHeight="1" x14ac:dyDescent="0.2">
      <c r="A632" s="212">
        <v>8360</v>
      </c>
      <c r="B632" s="216" t="s">
        <v>577</v>
      </c>
      <c r="C632" s="217">
        <f>BB85</f>
        <v>3810613.2999999993</v>
      </c>
      <c r="D632" s="217">
        <f>(D615/D612)*BB90</f>
        <v>4640.8089103952534</v>
      </c>
      <c r="E632" s="219">
        <f>(E623/E612)*SUM(C632:D632)</f>
        <v>1158711.5058826825</v>
      </c>
      <c r="F632" s="219">
        <f>(F624/F612)*BB64</f>
        <v>28.030812427600498</v>
      </c>
      <c r="G632" s="217">
        <f>(G625/G612)*BB91</f>
        <v>0</v>
      </c>
      <c r="H632" s="219">
        <f>(H628/H612)*BB60</f>
        <v>0</v>
      </c>
      <c r="I632" s="217">
        <f>(I629/I612)*BB92</f>
        <v>0</v>
      </c>
      <c r="J632" s="217">
        <f>(J630/J612)*BB93</f>
        <v>0</v>
      </c>
      <c r="N632" s="213" t="s">
        <v>578</v>
      </c>
    </row>
    <row r="633" spans="1:14" s="202" customFormat="1" ht="12.6" customHeight="1" x14ac:dyDescent="0.2">
      <c r="A633" s="212">
        <v>8370</v>
      </c>
      <c r="B633" s="216" t="s">
        <v>579</v>
      </c>
      <c r="C633" s="217">
        <f>BC85</f>
        <v>2042735.7</v>
      </c>
      <c r="D633" s="217">
        <f>(D615/D612)*BC90</f>
        <v>0</v>
      </c>
      <c r="E633" s="219">
        <f>(E623/E612)*SUM(C633:D633)</f>
        <v>620388.9155218798</v>
      </c>
      <c r="F633" s="219">
        <f>(F624/F612)*BC64</f>
        <v>60.671576711246075</v>
      </c>
      <c r="G633" s="217">
        <f>(G625/G612)*BC91</f>
        <v>0</v>
      </c>
      <c r="H633" s="219">
        <f>(H628/H612)*BC60</f>
        <v>0</v>
      </c>
      <c r="I633" s="217">
        <f>(I629/I612)*BC92</f>
        <v>0</v>
      </c>
      <c r="J633" s="217">
        <f>(J630/J612)*BC93</f>
        <v>0</v>
      </c>
      <c r="N633" s="213" t="s">
        <v>580</v>
      </c>
    </row>
    <row r="634" spans="1:14" s="202" customFormat="1" ht="12.6" customHeight="1" x14ac:dyDescent="0.2">
      <c r="A634" s="212">
        <v>8490</v>
      </c>
      <c r="B634" s="216" t="s">
        <v>581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>
        <f>(G625/G612)*BI91</f>
        <v>0</v>
      </c>
      <c r="H634" s="219">
        <f>(H628/H612)*BI60</f>
        <v>0</v>
      </c>
      <c r="I634" s="217">
        <f>(I629/I612)*BI92</f>
        <v>732025.62412960024</v>
      </c>
      <c r="J634" s="217">
        <f>(J630/J612)*BI93</f>
        <v>0</v>
      </c>
      <c r="N634" s="213" t="s">
        <v>582</v>
      </c>
    </row>
    <row r="635" spans="1:14" s="202" customFormat="1" ht="12.6" customHeight="1" x14ac:dyDescent="0.2">
      <c r="A635" s="212">
        <v>8530</v>
      </c>
      <c r="B635" s="216" t="s">
        <v>583</v>
      </c>
      <c r="C635" s="217">
        <f>BK85</f>
        <v>0</v>
      </c>
      <c r="D635" s="217">
        <f>(D615/D612)*BK90</f>
        <v>0</v>
      </c>
      <c r="E635" s="219">
        <f>(E623/E612)*SUM(C635:D635)</f>
        <v>0</v>
      </c>
      <c r="F635" s="219">
        <f>(F624/F612)*BK64</f>
        <v>0</v>
      </c>
      <c r="G635" s="217">
        <f>(G625/G612)*BK91</f>
        <v>0</v>
      </c>
      <c r="H635" s="219">
        <f>(H628/H612)*BK60</f>
        <v>0</v>
      </c>
      <c r="I635" s="217">
        <f>(I629/I612)*BK92</f>
        <v>0</v>
      </c>
      <c r="J635" s="217">
        <f>(J630/J612)*BK93</f>
        <v>0</v>
      </c>
      <c r="N635" s="213" t="s">
        <v>584</v>
      </c>
    </row>
    <row r="636" spans="1:14" s="202" customFormat="1" ht="12.6" customHeight="1" x14ac:dyDescent="0.2">
      <c r="A636" s="212">
        <v>8480</v>
      </c>
      <c r="B636" s="216" t="s">
        <v>585</v>
      </c>
      <c r="C636" s="217">
        <f>BH85</f>
        <v>0</v>
      </c>
      <c r="D636" s="217">
        <f>(D615/D612)*BH90</f>
        <v>0</v>
      </c>
      <c r="E636" s="219">
        <f>(E623/E612)*SUM(C636:D636)</f>
        <v>0</v>
      </c>
      <c r="F636" s="219">
        <f>(F624/F612)*BH64</f>
        <v>0</v>
      </c>
      <c r="G636" s="217">
        <f>(G625/G612)*BH91</f>
        <v>0</v>
      </c>
      <c r="H636" s="219">
        <f>(H628/H612)*BH60</f>
        <v>0</v>
      </c>
      <c r="I636" s="217">
        <f>(I629/I612)*BH92</f>
        <v>0</v>
      </c>
      <c r="J636" s="217">
        <f>(J630/J612)*BH93</f>
        <v>0</v>
      </c>
      <c r="N636" s="213" t="s">
        <v>586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2421431.0699999998</v>
      </c>
      <c r="D637" s="217">
        <f>(D615/D612)*BL90</f>
        <v>8607.1109802437531</v>
      </c>
      <c r="E637" s="219">
        <f>(E623/E612)*SUM(C637:D637)</f>
        <v>738014.59081323876</v>
      </c>
      <c r="F637" s="219">
        <f>(F624/F612)*BL64</f>
        <v>138.53487037974463</v>
      </c>
      <c r="G637" s="217">
        <f>(G625/G612)*BL91</f>
        <v>0</v>
      </c>
      <c r="H637" s="219">
        <f>(H628/H612)*BL60</f>
        <v>0</v>
      </c>
      <c r="I637" s="217">
        <f>(I629/I612)*BL92</f>
        <v>0</v>
      </c>
      <c r="J637" s="217">
        <f>(J630/J612)*BL93</f>
        <v>0</v>
      </c>
      <c r="N637" s="213" t="s">
        <v>587</v>
      </c>
    </row>
    <row r="638" spans="1:14" s="202" customFormat="1" ht="12.6" customHeight="1" x14ac:dyDescent="0.2">
      <c r="A638" s="212">
        <v>8590</v>
      </c>
      <c r="B638" s="216" t="s">
        <v>588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>
        <f>(I629/I612)*BM92</f>
        <v>0</v>
      </c>
      <c r="J638" s="217">
        <f>(J630/J612)*BM93</f>
        <v>0</v>
      </c>
      <c r="N638" s="213" t="s">
        <v>589</v>
      </c>
    </row>
    <row r="639" spans="1:14" s="202" customFormat="1" ht="12.6" customHeight="1" x14ac:dyDescent="0.2">
      <c r="A639" s="212">
        <v>8660</v>
      </c>
      <c r="B639" s="216" t="s">
        <v>590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>
        <f>(G625/G612)*BS91</f>
        <v>0</v>
      </c>
      <c r="H639" s="219">
        <f>(H628/H612)*BS60</f>
        <v>0</v>
      </c>
      <c r="I639" s="217">
        <f>(I629/I612)*BS92</f>
        <v>0</v>
      </c>
      <c r="J639" s="217">
        <f>(J630/J612)*BS93</f>
        <v>0</v>
      </c>
      <c r="N639" s="213" t="s">
        <v>591</v>
      </c>
    </row>
    <row r="640" spans="1:14" s="202" customFormat="1" ht="12.6" customHeight="1" x14ac:dyDescent="0.2">
      <c r="A640" s="212">
        <v>8670</v>
      </c>
      <c r="B640" s="216" t="s">
        <v>592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>
        <f>(I629/I612)*BT92</f>
        <v>0</v>
      </c>
      <c r="J640" s="217">
        <f>(J630/J612)*BT93</f>
        <v>0</v>
      </c>
      <c r="N640" s="213" t="s">
        <v>593</v>
      </c>
    </row>
    <row r="641" spans="1:14" s="202" customFormat="1" ht="12.6" customHeight="1" x14ac:dyDescent="0.2">
      <c r="A641" s="212">
        <v>8680</v>
      </c>
      <c r="B641" s="216" t="s">
        <v>594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595</v>
      </c>
    </row>
    <row r="642" spans="1:14" s="202" customFormat="1" ht="12.6" customHeight="1" x14ac:dyDescent="0.2">
      <c r="A642" s="212">
        <v>8690</v>
      </c>
      <c r="B642" s="216" t="s">
        <v>596</v>
      </c>
      <c r="C642" s="217">
        <f>BV85</f>
        <v>0</v>
      </c>
      <c r="D642" s="217">
        <f>(D615/D612)*BV90</f>
        <v>0</v>
      </c>
      <c r="E642" s="219">
        <f>(E623/E612)*SUM(C642:D642)</f>
        <v>0</v>
      </c>
      <c r="F642" s="219">
        <f>(F624/F612)*BV64</f>
        <v>0</v>
      </c>
      <c r="G642" s="217">
        <f>(G625/G612)*BV91</f>
        <v>0</v>
      </c>
      <c r="H642" s="219">
        <f>(H628/H612)*BV60</f>
        <v>0</v>
      </c>
      <c r="I642" s="217">
        <f>(I629/I612)*BV92</f>
        <v>0</v>
      </c>
      <c r="J642" s="217">
        <f>(J630/J612)*BV93</f>
        <v>0</v>
      </c>
      <c r="N642" s="213" t="s">
        <v>597</v>
      </c>
    </row>
    <row r="643" spans="1:14" s="202" customFormat="1" ht="12.6" customHeight="1" x14ac:dyDescent="0.2">
      <c r="A643" s="212">
        <v>8700</v>
      </c>
      <c r="B643" s="216" t="s">
        <v>598</v>
      </c>
      <c r="C643" s="217">
        <f>BW85</f>
        <v>0</v>
      </c>
      <c r="D643" s="217">
        <f>(D615/D612)*BW90</f>
        <v>0</v>
      </c>
      <c r="E643" s="219">
        <f>(E623/E612)*SUM(C643:D643)</f>
        <v>0</v>
      </c>
      <c r="F643" s="219">
        <f>(F624/F612)*BW64</f>
        <v>0</v>
      </c>
      <c r="G643" s="217">
        <f>(G625/G612)*BW91</f>
        <v>0</v>
      </c>
      <c r="H643" s="219">
        <f>(H628/H612)*BW60</f>
        <v>0</v>
      </c>
      <c r="I643" s="217">
        <f>(I629/I612)*BW92</f>
        <v>0</v>
      </c>
      <c r="J643" s="217">
        <f>(J630/J612)*BW93</f>
        <v>0</v>
      </c>
      <c r="N643" s="213" t="s">
        <v>599</v>
      </c>
    </row>
    <row r="644" spans="1:14" s="202" customFormat="1" ht="12.6" customHeight="1" x14ac:dyDescent="0.2">
      <c r="A644" s="212">
        <v>8710</v>
      </c>
      <c r="B644" s="216" t="s">
        <v>600</v>
      </c>
      <c r="C644" s="217">
        <f>BX85</f>
        <v>5311736.5999999996</v>
      </c>
      <c r="D644" s="217">
        <f>(D615/D612)*BX90</f>
        <v>15197.910275760813</v>
      </c>
      <c r="E644" s="219">
        <f>(E623/E612)*SUM(C644:D644)</f>
        <v>1617816.3057932826</v>
      </c>
      <c r="F644" s="219">
        <f>(F624/F612)*BX64</f>
        <v>28.866739681386932</v>
      </c>
      <c r="G644" s="217">
        <f>(G625/G612)*BX91</f>
        <v>0</v>
      </c>
      <c r="H644" s="219">
        <f>(H628/H612)*BX60</f>
        <v>0</v>
      </c>
      <c r="I644" s="217">
        <f>(I629/I612)*BX92</f>
        <v>0</v>
      </c>
      <c r="J644" s="217">
        <f>(J630/J612)*BX93</f>
        <v>0</v>
      </c>
      <c r="K644" s="219">
        <f>SUM(C631:J644)</f>
        <v>37756432.15052817</v>
      </c>
      <c r="L644" s="219"/>
      <c r="N644" s="213" t="s">
        <v>601</v>
      </c>
    </row>
    <row r="645" spans="1:14" s="202" customFormat="1" ht="12.6" customHeight="1" x14ac:dyDescent="0.2">
      <c r="A645" s="212">
        <v>8720</v>
      </c>
      <c r="B645" s="216" t="s">
        <v>602</v>
      </c>
      <c r="C645" s="217">
        <f>BY85</f>
        <v>4382005.8299999991</v>
      </c>
      <c r="D645" s="217">
        <f>(D615/D612)*BY90</f>
        <v>2990.1054044686657</v>
      </c>
      <c r="E645" s="219">
        <f>(E623/E612)*SUM(C645:D645)</f>
        <v>1331744.9109708262</v>
      </c>
      <c r="F645" s="219">
        <f>(F624/F612)*BY64</f>
        <v>259.58867078817156</v>
      </c>
      <c r="G645" s="217">
        <f>(G625/G612)*BY91</f>
        <v>0</v>
      </c>
      <c r="H645" s="219">
        <f>(H628/H612)*BY60</f>
        <v>0</v>
      </c>
      <c r="I645" s="217">
        <f>(I629/I612)*BY92</f>
        <v>0</v>
      </c>
      <c r="J645" s="217">
        <f>(J630/J612)*BY93</f>
        <v>0</v>
      </c>
      <c r="K645" s="219">
        <v>0</v>
      </c>
      <c r="L645" s="219"/>
      <c r="N645" s="213" t="s">
        <v>603</v>
      </c>
    </row>
    <row r="646" spans="1:14" s="202" customFormat="1" ht="12.6" customHeight="1" x14ac:dyDescent="0.2">
      <c r="A646" s="212">
        <v>8730</v>
      </c>
      <c r="B646" s="216" t="s">
        <v>604</v>
      </c>
      <c r="C646" s="217">
        <f>BZ85</f>
        <v>4490633.5600000005</v>
      </c>
      <c r="D646" s="217">
        <f>(D615/D612)*BZ90</f>
        <v>2286.8232899085606</v>
      </c>
      <c r="E646" s="219">
        <f>(E623/E612)*SUM(C646:D646)</f>
        <v>1364522.0985345168</v>
      </c>
      <c r="F646" s="219">
        <f>(F624/F612)*BZ64</f>
        <v>14.335659993212388</v>
      </c>
      <c r="G646" s="217">
        <f>(G625/G612)*BZ91</f>
        <v>0</v>
      </c>
      <c r="H646" s="219">
        <f>(H628/H612)*BZ60</f>
        <v>0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605</v>
      </c>
    </row>
    <row r="647" spans="1:14" s="202" customFormat="1" ht="12.6" customHeight="1" x14ac:dyDescent="0.2">
      <c r="A647" s="212">
        <v>8740</v>
      </c>
      <c r="B647" s="216" t="s">
        <v>606</v>
      </c>
      <c r="C647" s="217">
        <f>CA85</f>
        <v>0</v>
      </c>
      <c r="D647" s="217">
        <f>(D615/D612)*CA90</f>
        <v>0</v>
      </c>
      <c r="E647" s="219">
        <f>(E623/E612)*SUM(C647:D647)</f>
        <v>0</v>
      </c>
      <c r="F647" s="219">
        <f>(F624/F612)*CA64</f>
        <v>0</v>
      </c>
      <c r="G647" s="217">
        <f>(G625/G612)*CA91</f>
        <v>0</v>
      </c>
      <c r="H647" s="219">
        <f>(H628/H612)*CA60</f>
        <v>0</v>
      </c>
      <c r="I647" s="217">
        <f>(I629/I612)*CA92</f>
        <v>0</v>
      </c>
      <c r="J647" s="217">
        <f>(J630/J612)*CA93</f>
        <v>0</v>
      </c>
      <c r="K647" s="219">
        <v>0</v>
      </c>
      <c r="L647" s="219">
        <f>SUM(C645:K647)</f>
        <v>11574457.252530502</v>
      </c>
      <c r="N647" s="213" t="s">
        <v>607</v>
      </c>
    </row>
    <row r="648" spans="1:14" s="202" customFormat="1" ht="12.6" customHeight="1" x14ac:dyDescent="0.2">
      <c r="A648" s="212"/>
      <c r="B648" s="212"/>
      <c r="C648" s="202">
        <f>SUM(C614:C647)</f>
        <v>319494075.96999991</v>
      </c>
      <c r="L648" s="215"/>
    </row>
    <row r="666" spans="1:14" s="202" customFormat="1" ht="12.6" customHeight="1" x14ac:dyDescent="0.2">
      <c r="C666" s="210" t="s">
        <v>608</v>
      </c>
      <c r="M666" s="210" t="s">
        <v>609</v>
      </c>
    </row>
    <row r="667" spans="1:14" s="202" customFormat="1" ht="12.6" customHeight="1" x14ac:dyDescent="0.2">
      <c r="C667" s="210" t="s">
        <v>538</v>
      </c>
      <c r="D667" s="210" t="s">
        <v>539</v>
      </c>
      <c r="E667" s="211" t="s">
        <v>540</v>
      </c>
      <c r="F667" s="210" t="s">
        <v>541</v>
      </c>
      <c r="G667" s="210" t="s">
        <v>542</v>
      </c>
      <c r="H667" s="210" t="s">
        <v>543</v>
      </c>
      <c r="I667" s="210" t="s">
        <v>544</v>
      </c>
      <c r="J667" s="210" t="s">
        <v>545</v>
      </c>
      <c r="K667" s="210" t="s">
        <v>546</v>
      </c>
      <c r="L667" s="211" t="s">
        <v>547</v>
      </c>
      <c r="M667" s="210" t="s">
        <v>610</v>
      </c>
    </row>
    <row r="668" spans="1:14" s="202" customFormat="1" ht="12.6" customHeight="1" x14ac:dyDescent="0.2">
      <c r="A668" s="212">
        <v>6010</v>
      </c>
      <c r="B668" s="211" t="s">
        <v>335</v>
      </c>
      <c r="C668" s="217">
        <f>C85</f>
        <v>93866147.25999999</v>
      </c>
      <c r="D668" s="217">
        <f>(D615/D612)*C90</f>
        <v>516442.45818219363</v>
      </c>
      <c r="E668" s="219">
        <f>(E623/E612)*SUM(C668:D668)</f>
        <v>28664458.392443806</v>
      </c>
      <c r="F668" s="219">
        <f>(F624/F612)*C64</f>
        <v>33015.243126692563</v>
      </c>
      <c r="G668" s="217">
        <f>(G625/G612)*C91</f>
        <v>269999.99054044759</v>
      </c>
      <c r="H668" s="219">
        <f>(H628/H612)*C60</f>
        <v>0</v>
      </c>
      <c r="I668" s="217">
        <f>(I629/I612)*C92</f>
        <v>304010.41317477374</v>
      </c>
      <c r="J668" s="217">
        <f>(J630/J612)*C93</f>
        <v>0</v>
      </c>
      <c r="K668" s="217" t="e">
        <f>(K644/K612)*C89</f>
        <v>#DIV/0!</v>
      </c>
      <c r="L668" s="217">
        <f>(L647/L612)*C94</f>
        <v>3998438.4924558885</v>
      </c>
      <c r="M668" s="202" t="e">
        <f t="shared" ref="M668:M713" si="0">ROUND(SUM(D668:L668),0)</f>
        <v>#DIV/0!</v>
      </c>
      <c r="N668" s="211" t="s">
        <v>611</v>
      </c>
    </row>
    <row r="669" spans="1:14" s="202" customFormat="1" ht="12.6" customHeight="1" x14ac:dyDescent="0.2">
      <c r="A669" s="212">
        <v>6030</v>
      </c>
      <c r="B669" s="211" t="s">
        <v>336</v>
      </c>
      <c r="C669" s="217">
        <f>D85</f>
        <v>9340319.709999999</v>
      </c>
      <c r="D669" s="217">
        <f>(D615/D612)*D90</f>
        <v>186556.37912402788</v>
      </c>
      <c r="E669" s="219">
        <f>(E623/E612)*SUM(C669:D669)</f>
        <v>2893359.2952054362</v>
      </c>
      <c r="F669" s="219">
        <f>(F624/F612)*D64</f>
        <v>1891.8467999378747</v>
      </c>
      <c r="G669" s="217">
        <f>(G625/G612)*D91</f>
        <v>122084.98265523934</v>
      </c>
      <c r="H669" s="219">
        <f>(H628/H612)*D60</f>
        <v>0</v>
      </c>
      <c r="I669" s="217">
        <f>(I629/I612)*D92</f>
        <v>20472.292921867069</v>
      </c>
      <c r="J669" s="217">
        <f>(J630/J612)*D93</f>
        <v>0</v>
      </c>
      <c r="K669" s="217" t="e">
        <f>(K644/K612)*D89</f>
        <v>#DIV/0!</v>
      </c>
      <c r="L669" s="217">
        <f>(L647/L612)*D94</f>
        <v>317877.65516728821</v>
      </c>
      <c r="M669" s="202" t="e">
        <f t="shared" si="0"/>
        <v>#DIV/0!</v>
      </c>
      <c r="N669" s="211" t="s">
        <v>612</v>
      </c>
    </row>
    <row r="670" spans="1:14" s="202" customFormat="1" ht="12.6" customHeight="1" x14ac:dyDescent="0.2">
      <c r="A670" s="212">
        <v>6070</v>
      </c>
      <c r="B670" s="211" t="s">
        <v>613</v>
      </c>
      <c r="C670" s="217">
        <f>E85</f>
        <v>41917723.280000001</v>
      </c>
      <c r="D670" s="217">
        <f>(D615/D612)*E90</f>
        <v>249789.80347380129</v>
      </c>
      <c r="E670" s="219">
        <f>(E623/E612)*SUM(C670:D670)</f>
        <v>12806481.872378785</v>
      </c>
      <c r="F670" s="219">
        <f>(F624/F612)*E64</f>
        <v>10229.264296836493</v>
      </c>
      <c r="G670" s="217">
        <f>(G625/G612)*E91</f>
        <v>688241.67562584172</v>
      </c>
      <c r="H670" s="219">
        <f>(H628/H612)*E60</f>
        <v>0</v>
      </c>
      <c r="I670" s="217">
        <f>(I629/I612)*E92</f>
        <v>267708.16546041082</v>
      </c>
      <c r="J670" s="217">
        <f>(J630/J612)*E93</f>
        <v>0</v>
      </c>
      <c r="K670" s="217" t="e">
        <f>(K644/K612)*E89</f>
        <v>#DIV/0!</v>
      </c>
      <c r="L670" s="217">
        <f>(L647/L612)*E94</f>
        <v>1280433.8874078742</v>
      </c>
      <c r="M670" s="202" t="e">
        <f t="shared" si="0"/>
        <v>#DIV/0!</v>
      </c>
      <c r="N670" s="211" t="s">
        <v>614</v>
      </c>
    </row>
    <row r="671" spans="1:14" s="202" customFormat="1" ht="12.6" customHeight="1" x14ac:dyDescent="0.2">
      <c r="A671" s="212">
        <v>6100</v>
      </c>
      <c r="B671" s="211" t="s">
        <v>615</v>
      </c>
      <c r="C671" s="217">
        <f>F85</f>
        <v>7560148.8700000001</v>
      </c>
      <c r="D671" s="217">
        <f>(D615/D612)*F90</f>
        <v>0</v>
      </c>
      <c r="E671" s="219">
        <f>(E623/E612)*SUM(C671:D671)</f>
        <v>2296054.5305216261</v>
      </c>
      <c r="F671" s="219">
        <f>(F624/F612)*F64</f>
        <v>1423.4865911339971</v>
      </c>
      <c r="G671" s="217">
        <f>(G625/G612)*F91</f>
        <v>0</v>
      </c>
      <c r="H671" s="219">
        <f>(H628/H612)*F60</f>
        <v>0</v>
      </c>
      <c r="I671" s="217">
        <f>(I629/I612)*F92</f>
        <v>0</v>
      </c>
      <c r="J671" s="217">
        <f>(J630/J612)*F93</f>
        <v>0</v>
      </c>
      <c r="K671" s="217" t="e">
        <f>(K644/K612)*F89</f>
        <v>#DIV/0!</v>
      </c>
      <c r="L671" s="217">
        <f>(L647/L612)*F94</f>
        <v>292819.71148600976</v>
      </c>
      <c r="M671" s="202" t="e">
        <f t="shared" si="0"/>
        <v>#DIV/0!</v>
      </c>
      <c r="N671" s="211" t="s">
        <v>616</v>
      </c>
    </row>
    <row r="672" spans="1:14" s="202" customFormat="1" ht="12.6" customHeight="1" x14ac:dyDescent="0.2">
      <c r="A672" s="212">
        <v>6120</v>
      </c>
      <c r="B672" s="211" t="s">
        <v>617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 t="e">
        <f>(K644/K612)*G89</f>
        <v>#DIV/0!</v>
      </c>
      <c r="L672" s="217">
        <f>(L647/L612)*G94</f>
        <v>0</v>
      </c>
      <c r="M672" s="202" t="e">
        <f t="shared" si="0"/>
        <v>#DIV/0!</v>
      </c>
      <c r="N672" s="211" t="s">
        <v>618</v>
      </c>
    </row>
    <row r="673" spans="1:14" s="202" customFormat="1" ht="12.6" customHeight="1" x14ac:dyDescent="0.2">
      <c r="A673" s="212">
        <v>6140</v>
      </c>
      <c r="B673" s="211" t="s">
        <v>619</v>
      </c>
      <c r="C673" s="217">
        <f>H85</f>
        <v>11261432.329999998</v>
      </c>
      <c r="D673" s="217">
        <f>(D615/D612)*H90</f>
        <v>90290.862563439092</v>
      </c>
      <c r="E673" s="219">
        <f>(E623/E612)*SUM(C673:D673)</f>
        <v>3447574.3684016499</v>
      </c>
      <c r="F673" s="219">
        <f>(F624/F612)*H64</f>
        <v>690.11540965348092</v>
      </c>
      <c r="G673" s="217">
        <f>(G625/G612)*H91</f>
        <v>191229.30314436698</v>
      </c>
      <c r="H673" s="219">
        <f>(H628/H612)*H60</f>
        <v>0</v>
      </c>
      <c r="I673" s="217">
        <f>(I629/I612)*H92</f>
        <v>0</v>
      </c>
      <c r="J673" s="217">
        <f>(J630/J612)*H93</f>
        <v>0</v>
      </c>
      <c r="K673" s="217" t="e">
        <f>(K644/K612)*H89</f>
        <v>#DIV/0!</v>
      </c>
      <c r="L673" s="217">
        <f>(L647/L612)*H94</f>
        <v>207531.96940741825</v>
      </c>
      <c r="M673" s="202" t="e">
        <f t="shared" si="0"/>
        <v>#DIV/0!</v>
      </c>
      <c r="N673" s="211" t="s">
        <v>620</v>
      </c>
    </row>
    <row r="674" spans="1:14" s="202" customFormat="1" ht="12.6" customHeight="1" x14ac:dyDescent="0.2">
      <c r="A674" s="212">
        <v>6150</v>
      </c>
      <c r="B674" s="211" t="s">
        <v>621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 t="e">
        <f>(K644/K612)*I89</f>
        <v>#DIV/0!</v>
      </c>
      <c r="L674" s="217">
        <f>(L647/L612)*I94</f>
        <v>0</v>
      </c>
      <c r="M674" s="202" t="e">
        <f t="shared" si="0"/>
        <v>#DIV/0!</v>
      </c>
      <c r="N674" s="211" t="s">
        <v>622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>
        <f>(G625/G612)*J91</f>
        <v>0</v>
      </c>
      <c r="H675" s="219">
        <f>(H628/H612)*J60</f>
        <v>0</v>
      </c>
      <c r="I675" s="217">
        <f>(I629/I612)*J92</f>
        <v>0</v>
      </c>
      <c r="J675" s="217">
        <f>(J630/J612)*J93</f>
        <v>0</v>
      </c>
      <c r="K675" s="217" t="e">
        <f>(K644/K612)*J89</f>
        <v>#DIV/0!</v>
      </c>
      <c r="L675" s="217">
        <f>(L647/L612)*J94</f>
        <v>0</v>
      </c>
      <c r="M675" s="202" t="e">
        <f t="shared" si="0"/>
        <v>#DIV/0!</v>
      </c>
      <c r="N675" s="211" t="s">
        <v>623</v>
      </c>
    </row>
    <row r="676" spans="1:14" s="202" customFormat="1" ht="12.6" customHeight="1" x14ac:dyDescent="0.2">
      <c r="A676" s="212">
        <v>6200</v>
      </c>
      <c r="B676" s="211" t="s">
        <v>341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 t="e">
        <f>(K644/K612)*K89</f>
        <v>#DIV/0!</v>
      </c>
      <c r="L676" s="217">
        <f>(L647/L612)*K94</f>
        <v>0</v>
      </c>
      <c r="M676" s="202" t="e">
        <f t="shared" si="0"/>
        <v>#DIV/0!</v>
      </c>
      <c r="N676" s="211" t="s">
        <v>624</v>
      </c>
    </row>
    <row r="677" spans="1:14" s="202" customFormat="1" ht="12.6" customHeight="1" x14ac:dyDescent="0.2">
      <c r="A677" s="212">
        <v>6210</v>
      </c>
      <c r="B677" s="211" t="s">
        <v>342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>
        <f>(H628/H612)*L60</f>
        <v>0</v>
      </c>
      <c r="I677" s="217">
        <f>(I629/I612)*L92</f>
        <v>0</v>
      </c>
      <c r="J677" s="217">
        <f>(J630/J612)*L93</f>
        <v>0</v>
      </c>
      <c r="K677" s="217" t="e">
        <f>(K644/K612)*L89</f>
        <v>#DIV/0!</v>
      </c>
      <c r="L677" s="217">
        <f>(L647/L612)*L94</f>
        <v>0</v>
      </c>
      <c r="M677" s="202" t="e">
        <f t="shared" si="0"/>
        <v>#DIV/0!</v>
      </c>
      <c r="N677" s="211" t="s">
        <v>625</v>
      </c>
    </row>
    <row r="678" spans="1:14" s="202" customFormat="1" ht="12.6" customHeight="1" x14ac:dyDescent="0.2">
      <c r="A678" s="212">
        <v>6330</v>
      </c>
      <c r="B678" s="211" t="s">
        <v>626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 t="e">
        <f>(K644/K612)*M89</f>
        <v>#DIV/0!</v>
      </c>
      <c r="L678" s="217">
        <f>(L647/L612)*M94</f>
        <v>0</v>
      </c>
      <c r="M678" s="202" t="e">
        <f t="shared" si="0"/>
        <v>#DIV/0!</v>
      </c>
      <c r="N678" s="211" t="s">
        <v>627</v>
      </c>
    </row>
    <row r="679" spans="1:14" s="202" customFormat="1" ht="12.6" customHeight="1" x14ac:dyDescent="0.2">
      <c r="A679" s="212">
        <v>6400</v>
      </c>
      <c r="B679" s="211" t="s">
        <v>628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>
        <f>(I629/I612)*N92</f>
        <v>0</v>
      </c>
      <c r="J679" s="217">
        <f>(J630/J612)*N93</f>
        <v>0</v>
      </c>
      <c r="K679" s="217" t="e">
        <f>(K644/K612)*N89</f>
        <v>#DIV/0!</v>
      </c>
      <c r="L679" s="217">
        <f>(L647/L612)*N94</f>
        <v>0</v>
      </c>
      <c r="M679" s="202" t="e">
        <f t="shared" si="0"/>
        <v>#DIV/0!</v>
      </c>
      <c r="N679" s="211" t="s">
        <v>629</v>
      </c>
    </row>
    <row r="680" spans="1:14" s="202" customFormat="1" ht="12.6" customHeight="1" x14ac:dyDescent="0.2">
      <c r="A680" s="212">
        <v>7010</v>
      </c>
      <c r="B680" s="211" t="s">
        <v>630</v>
      </c>
      <c r="C680" s="217">
        <f>O85</f>
        <v>21043058.670000002</v>
      </c>
      <c r="D680" s="217">
        <f>(D615/D612)*O90</f>
        <v>273183.44043660455</v>
      </c>
      <c r="E680" s="219">
        <f>(E623/E612)*SUM(C680:D680)</f>
        <v>6473847.9510078533</v>
      </c>
      <c r="F680" s="219">
        <f>(F624/F612)*O64</f>
        <v>8335.8397008989341</v>
      </c>
      <c r="G680" s="217">
        <f>(G625/G612)*O91</f>
        <v>86328.038791358224</v>
      </c>
      <c r="H680" s="219">
        <f>(H628/H612)*O60</f>
        <v>0</v>
      </c>
      <c r="I680" s="217">
        <f>(I629/I612)*O92</f>
        <v>226606.74386906283</v>
      </c>
      <c r="J680" s="217">
        <f>(J630/J612)*O93</f>
        <v>0</v>
      </c>
      <c r="K680" s="217" t="e">
        <f>(K644/K612)*O89</f>
        <v>#DIV/0!</v>
      </c>
      <c r="L680" s="217">
        <f>(L647/L612)*O94</f>
        <v>514382.88788892829</v>
      </c>
      <c r="M680" s="202" t="e">
        <f t="shared" si="0"/>
        <v>#DIV/0!</v>
      </c>
      <c r="N680" s="211" t="s">
        <v>631</v>
      </c>
    </row>
    <row r="681" spans="1:14" s="202" customFormat="1" ht="12.6" customHeight="1" x14ac:dyDescent="0.2">
      <c r="A681" s="212">
        <v>7020</v>
      </c>
      <c r="B681" s="211" t="s">
        <v>632</v>
      </c>
      <c r="C681" s="217">
        <f>P85</f>
        <v>125116070.88000003</v>
      </c>
      <c r="D681" s="217">
        <f>(D615/D612)*P90</f>
        <v>339634.9917097867</v>
      </c>
      <c r="E681" s="219">
        <f>(E623/E612)*SUM(C681:D681)</f>
        <v>38101517.152601764</v>
      </c>
      <c r="F681" s="219">
        <f>(F624/F612)*P64</f>
        <v>330629.71639293211</v>
      </c>
      <c r="G681" s="217">
        <f>(G625/G612)*P91</f>
        <v>104195.62116797417</v>
      </c>
      <c r="H681" s="219">
        <f>(H628/H612)*P60</f>
        <v>0</v>
      </c>
      <c r="I681" s="217">
        <f>(I629/I612)*P92</f>
        <v>540340.97339589801</v>
      </c>
      <c r="J681" s="217">
        <f>(J630/J612)*P93</f>
        <v>0</v>
      </c>
      <c r="K681" s="217" t="e">
        <f>(K644/K612)*P89</f>
        <v>#DIV/0!</v>
      </c>
      <c r="L681" s="217">
        <f>(L647/L612)*P94</f>
        <v>1315619.0366881697</v>
      </c>
      <c r="M681" s="202" t="e">
        <f t="shared" si="0"/>
        <v>#DIV/0!</v>
      </c>
      <c r="N681" s="211" t="s">
        <v>633</v>
      </c>
    </row>
    <row r="682" spans="1:14" s="202" customFormat="1" ht="12.6" customHeight="1" x14ac:dyDescent="0.2">
      <c r="A682" s="212">
        <v>7030</v>
      </c>
      <c r="B682" s="211" t="s">
        <v>634</v>
      </c>
      <c r="C682" s="217">
        <f>Q85</f>
        <v>0</v>
      </c>
      <c r="D682" s="217">
        <f>(D615/D612)*Q90</f>
        <v>0</v>
      </c>
      <c r="E682" s="219">
        <f>(E623/E612)*SUM(C682:D682)</f>
        <v>0</v>
      </c>
      <c r="F682" s="219">
        <f>(F624/F612)*Q64</f>
        <v>0</v>
      </c>
      <c r="G682" s="217">
        <f>(G625/G612)*Q91</f>
        <v>0</v>
      </c>
      <c r="H682" s="219">
        <f>(H628/H612)*Q60</f>
        <v>0</v>
      </c>
      <c r="I682" s="217">
        <f>(I629/I612)*Q92</f>
        <v>0</v>
      </c>
      <c r="J682" s="217">
        <f>(J630/J612)*Q93</f>
        <v>0</v>
      </c>
      <c r="K682" s="217" t="e">
        <f>(K644/K612)*Q89</f>
        <v>#DIV/0!</v>
      </c>
      <c r="L682" s="217">
        <f>(L647/L612)*Q94</f>
        <v>0</v>
      </c>
      <c r="M682" s="202" t="e">
        <f t="shared" si="0"/>
        <v>#DIV/0!</v>
      </c>
      <c r="N682" s="211" t="s">
        <v>635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26654419.590000007</v>
      </c>
      <c r="D683" s="217">
        <f>(D615/D612)*R90</f>
        <v>81024.30520443384</v>
      </c>
      <c r="E683" s="219">
        <f>(E623/E612)*SUM(C683:D683)</f>
        <v>8119686.2835177081</v>
      </c>
      <c r="F683" s="219">
        <f>(F624/F612)*R64</f>
        <v>4551.0242843117421</v>
      </c>
      <c r="G683" s="217">
        <f>(G625/G612)*R91</f>
        <v>1846.868583053428</v>
      </c>
      <c r="H683" s="219">
        <f>(H628/H612)*R60</f>
        <v>0</v>
      </c>
      <c r="I683" s="217">
        <f>(I629/I612)*R92</f>
        <v>0</v>
      </c>
      <c r="J683" s="217">
        <f>(J630/J612)*R93</f>
        <v>0</v>
      </c>
      <c r="K683" s="217" t="e">
        <f>(K644/K612)*R89</f>
        <v>#DIV/0!</v>
      </c>
      <c r="L683" s="217">
        <f>(L647/L612)*R94</f>
        <v>1009628.6767352319</v>
      </c>
      <c r="M683" s="202" t="e">
        <f t="shared" si="0"/>
        <v>#DIV/0!</v>
      </c>
      <c r="N683" s="211" t="s">
        <v>636</v>
      </c>
    </row>
    <row r="684" spans="1:14" s="202" customFormat="1" ht="12.6" customHeight="1" x14ac:dyDescent="0.2">
      <c r="A684" s="212">
        <v>7050</v>
      </c>
      <c r="B684" s="211" t="s">
        <v>637</v>
      </c>
      <c r="C684" s="217">
        <f>S85</f>
        <v>9508382.3699999992</v>
      </c>
      <c r="D684" s="217">
        <f>(D615/D612)*S90</f>
        <v>63561.288259966634</v>
      </c>
      <c r="E684" s="219">
        <f>(E623/E612)*SUM(C684:D684)</f>
        <v>2907046.5384163181</v>
      </c>
      <c r="F684" s="219">
        <f>(F624/F612)*S64</f>
        <v>7108.4379744767584</v>
      </c>
      <c r="G684" s="217">
        <f>(G625/G612)*S91</f>
        <v>0</v>
      </c>
      <c r="H684" s="219">
        <f>(H628/H612)*S60</f>
        <v>0</v>
      </c>
      <c r="I684" s="217">
        <f>(I629/I612)*S92</f>
        <v>25365.56824742059</v>
      </c>
      <c r="J684" s="217">
        <f>(J630/J612)*S93</f>
        <v>0</v>
      </c>
      <c r="K684" s="217" t="e">
        <f>(K644/K612)*S89</f>
        <v>#DIV/0!</v>
      </c>
      <c r="L684" s="217">
        <f>(L647/L612)*S94</f>
        <v>259.64736108844386</v>
      </c>
      <c r="M684" s="202" t="e">
        <f t="shared" si="0"/>
        <v>#DIV/0!</v>
      </c>
      <c r="N684" s="211" t="s">
        <v>638</v>
      </c>
    </row>
    <row r="685" spans="1:14" s="202" customFormat="1" ht="12.6" customHeight="1" x14ac:dyDescent="0.2">
      <c r="A685" s="212">
        <v>7060</v>
      </c>
      <c r="B685" s="211" t="s">
        <v>639</v>
      </c>
      <c r="C685" s="217">
        <f>T85</f>
        <v>33623649.389999993</v>
      </c>
      <c r="D685" s="217">
        <f>(D615/D612)*T90</f>
        <v>5189.2211785954078</v>
      </c>
      <c r="E685" s="219">
        <f>(E623/E612)*SUM(C685:D685)</f>
        <v>10213244.286203744</v>
      </c>
      <c r="F685" s="219">
        <f>(F624/F612)*T64</f>
        <v>83982.412030226231</v>
      </c>
      <c r="G685" s="217">
        <f>(G625/G612)*T91</f>
        <v>0</v>
      </c>
      <c r="H685" s="219">
        <f>(H628/H612)*T60</f>
        <v>0</v>
      </c>
      <c r="I685" s="217">
        <f>(I629/I612)*T92</f>
        <v>0</v>
      </c>
      <c r="J685" s="217">
        <f>(J630/J612)*T93</f>
        <v>0</v>
      </c>
      <c r="K685" s="217" t="e">
        <f>(K644/K612)*T89</f>
        <v>#DIV/0!</v>
      </c>
      <c r="L685" s="217">
        <f>(L647/L612)*T94</f>
        <v>317398.03450755466</v>
      </c>
      <c r="M685" s="202" t="e">
        <f t="shared" si="0"/>
        <v>#DIV/0!</v>
      </c>
      <c r="N685" s="211" t="s">
        <v>640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75223956.470000029</v>
      </c>
      <c r="D686" s="217">
        <f>(D615/D612)*U90</f>
        <v>128842.10038892811</v>
      </c>
      <c r="E686" s="219">
        <f>(E623/E612)*SUM(C686:D686)</f>
        <v>22885016.885259438</v>
      </c>
      <c r="F686" s="219">
        <f>(F624/F612)*U64</f>
        <v>103482.11679077429</v>
      </c>
      <c r="G686" s="217">
        <f>(G625/G612)*U91</f>
        <v>0</v>
      </c>
      <c r="H686" s="219">
        <f>(H628/H612)*U60</f>
        <v>0</v>
      </c>
      <c r="I686" s="217">
        <f>(I629/I612)*U92</f>
        <v>9755.1835015842571</v>
      </c>
      <c r="J686" s="217">
        <f>(J630/J612)*U93</f>
        <v>0</v>
      </c>
      <c r="K686" s="217" t="e">
        <f>(K644/K612)*U89</f>
        <v>#DIV/0!</v>
      </c>
      <c r="L686" s="217">
        <f>(L647/L612)*U94</f>
        <v>0.10866179581018785</v>
      </c>
      <c r="M686" s="202" t="e">
        <f t="shared" si="0"/>
        <v>#DIV/0!</v>
      </c>
      <c r="N686" s="211" t="s">
        <v>641</v>
      </c>
    </row>
    <row r="687" spans="1:14" s="202" customFormat="1" ht="12.6" customHeight="1" x14ac:dyDescent="0.2">
      <c r="A687" s="212">
        <v>7110</v>
      </c>
      <c r="B687" s="211" t="s">
        <v>642</v>
      </c>
      <c r="C687" s="217">
        <f>V85</f>
        <v>152.38000000000002</v>
      </c>
      <c r="D687" s="217">
        <f>(D615/D612)*V90</f>
        <v>0</v>
      </c>
      <c r="E687" s="219">
        <f>(E623/E612)*SUM(C687:D687)</f>
        <v>46.278558184117536</v>
      </c>
      <c r="F687" s="219">
        <f>(F624/F612)*V64</f>
        <v>0.42267907116627407</v>
      </c>
      <c r="G687" s="217">
        <f>(G625/G612)*V91</f>
        <v>0</v>
      </c>
      <c r="H687" s="219">
        <f>(H628/H612)*V60</f>
        <v>0</v>
      </c>
      <c r="I687" s="217">
        <f>(I629/I612)*V92</f>
        <v>0</v>
      </c>
      <c r="J687" s="217">
        <f>(J630/J612)*V93</f>
        <v>0</v>
      </c>
      <c r="K687" s="217" t="e">
        <f>(K644/K612)*V89</f>
        <v>#DIV/0!</v>
      </c>
      <c r="L687" s="217">
        <f>(L647/L612)*V94</f>
        <v>0</v>
      </c>
      <c r="M687" s="202" t="e">
        <f t="shared" si="0"/>
        <v>#DIV/0!</v>
      </c>
      <c r="N687" s="211" t="s">
        <v>643</v>
      </c>
    </row>
    <row r="688" spans="1:14" s="202" customFormat="1" ht="12.6" customHeight="1" x14ac:dyDescent="0.2">
      <c r="A688" s="212">
        <v>7120</v>
      </c>
      <c r="B688" s="211" t="s">
        <v>644</v>
      </c>
      <c r="C688" s="217">
        <f>W85</f>
        <v>11455605.67</v>
      </c>
      <c r="D688" s="217">
        <f>(D615/D612)*W90</f>
        <v>10713.593200031066</v>
      </c>
      <c r="E688" s="219">
        <f>(E623/E612)*SUM(C688:D688)</f>
        <v>3482377.7607275904</v>
      </c>
      <c r="F688" s="219">
        <f>(F624/F612)*W64</f>
        <v>5226.4382323392911</v>
      </c>
      <c r="G688" s="217">
        <f>(G625/G612)*W91</f>
        <v>0</v>
      </c>
      <c r="H688" s="219">
        <f>(H628/H612)*W60</f>
        <v>0</v>
      </c>
      <c r="I688" s="217">
        <f>(I629/I612)*W92</f>
        <v>57506.440791761437</v>
      </c>
      <c r="J688" s="217">
        <f>(J630/J612)*W93</f>
        <v>0</v>
      </c>
      <c r="K688" s="217" t="e">
        <f>(K644/K612)*W89</f>
        <v>#DIV/0!</v>
      </c>
      <c r="L688" s="217">
        <f>(L647/L612)*W94</f>
        <v>0</v>
      </c>
      <c r="M688" s="202" t="e">
        <f t="shared" si="0"/>
        <v>#DIV/0!</v>
      </c>
      <c r="N688" s="211" t="s">
        <v>645</v>
      </c>
    </row>
    <row r="689" spans="1:14" s="202" customFormat="1" ht="12.6" customHeight="1" x14ac:dyDescent="0.2">
      <c r="A689" s="212">
        <v>7130</v>
      </c>
      <c r="B689" s="211" t="s">
        <v>646</v>
      </c>
      <c r="C689" s="217">
        <f>X85</f>
        <v>4978080.74</v>
      </c>
      <c r="D689" s="217">
        <f>(D615/D612)*X90</f>
        <v>16807.733669023342</v>
      </c>
      <c r="E689" s="219">
        <f>(E623/E612)*SUM(C689:D689)</f>
        <v>1516972.2854171798</v>
      </c>
      <c r="F689" s="219">
        <f>(F624/F612)*X64</f>
        <v>4028.9793266734537</v>
      </c>
      <c r="G689" s="217">
        <f>(G625/G612)*X91</f>
        <v>0</v>
      </c>
      <c r="H689" s="219">
        <f>(H628/H612)*X60</f>
        <v>0</v>
      </c>
      <c r="I689" s="217">
        <f>(I629/I612)*X92</f>
        <v>0</v>
      </c>
      <c r="J689" s="217">
        <f>(J630/J612)*X93</f>
        <v>0</v>
      </c>
      <c r="K689" s="217" t="e">
        <f>(K644/K612)*X89</f>
        <v>#DIV/0!</v>
      </c>
      <c r="L689" s="217">
        <f>(L647/L612)*X94</f>
        <v>0</v>
      </c>
      <c r="M689" s="202" t="e">
        <f t="shared" si="0"/>
        <v>#DIV/0!</v>
      </c>
      <c r="N689" s="211" t="s">
        <v>647</v>
      </c>
    </row>
    <row r="690" spans="1:14" s="202" customFormat="1" ht="12.6" customHeight="1" x14ac:dyDescent="0.2">
      <c r="A690" s="212">
        <v>7140</v>
      </c>
      <c r="B690" s="211" t="s">
        <v>648</v>
      </c>
      <c r="C690" s="217">
        <f>Y85</f>
        <v>37700267.180000007</v>
      </c>
      <c r="D690" s="217">
        <f>(D615/D612)*Y90</f>
        <v>150261.60937767729</v>
      </c>
      <c r="E690" s="219">
        <f>(E623/E612)*SUM(C690:D690)</f>
        <v>11495392.432595029</v>
      </c>
      <c r="F690" s="219">
        <f>(F624/F612)*Y64</f>
        <v>108896.65810120698</v>
      </c>
      <c r="G690" s="217">
        <f>(G625/G612)*Y91</f>
        <v>509.63118919162986</v>
      </c>
      <c r="H690" s="219">
        <f>(H628/H612)*Y60</f>
        <v>0</v>
      </c>
      <c r="I690" s="217">
        <f>(I629/I612)*Y92</f>
        <v>85433.659583542292</v>
      </c>
      <c r="J690" s="217">
        <f>(J630/J612)*Y93</f>
        <v>0</v>
      </c>
      <c r="K690" s="217" t="e">
        <f>(K644/K612)*Y89</f>
        <v>#DIV/0!</v>
      </c>
      <c r="L690" s="217">
        <f>(L647/L612)*Y94</f>
        <v>90505.224693774057</v>
      </c>
      <c r="M690" s="202" t="e">
        <f t="shared" si="0"/>
        <v>#DIV/0!</v>
      </c>
      <c r="N690" s="211" t="s">
        <v>649</v>
      </c>
    </row>
    <row r="691" spans="1:14" s="202" customFormat="1" ht="12.6" customHeight="1" x14ac:dyDescent="0.2">
      <c r="A691" s="212">
        <v>7150</v>
      </c>
      <c r="B691" s="211" t="s">
        <v>650</v>
      </c>
      <c r="C691" s="217">
        <f>Z85</f>
        <v>30262959.219999999</v>
      </c>
      <c r="D691" s="217">
        <f>(D615/D612)*Z90</f>
        <v>125122.88120429244</v>
      </c>
      <c r="E691" s="219">
        <f>(E623/E612)*SUM(C691:D691)</f>
        <v>9229010.5369754769</v>
      </c>
      <c r="F691" s="219">
        <f>(F624/F612)*Z64</f>
        <v>31018.992175860079</v>
      </c>
      <c r="G691" s="217">
        <f>(G625/G612)*Z91</f>
        <v>0</v>
      </c>
      <c r="H691" s="219">
        <f>(H628/H612)*Z60</f>
        <v>0</v>
      </c>
      <c r="I691" s="217">
        <f>(I629/I612)*Z92</f>
        <v>0</v>
      </c>
      <c r="J691" s="217">
        <f>(J630/J612)*Z93</f>
        <v>0</v>
      </c>
      <c r="K691" s="217" t="e">
        <f>(K644/K612)*Z89</f>
        <v>#DIV/0!</v>
      </c>
      <c r="L691" s="217">
        <f>(L647/L612)*Z94</f>
        <v>172319.82584766485</v>
      </c>
      <c r="M691" s="202" t="e">
        <f t="shared" si="0"/>
        <v>#DIV/0!</v>
      </c>
      <c r="N691" s="211" t="s">
        <v>651</v>
      </c>
    </row>
    <row r="692" spans="1:14" s="202" customFormat="1" ht="12.6" customHeight="1" x14ac:dyDescent="0.2">
      <c r="A692" s="212">
        <v>7160</v>
      </c>
      <c r="B692" s="211" t="s">
        <v>652</v>
      </c>
      <c r="C692" s="217">
        <f>AA85</f>
        <v>1390024.42</v>
      </c>
      <c r="D692" s="217">
        <f>(D615/D612)*AA90</f>
        <v>10264.422586674449</v>
      </c>
      <c r="E692" s="219">
        <f>(E623/E612)*SUM(C692:D692)</f>
        <v>425274.63365414093</v>
      </c>
      <c r="F692" s="219">
        <f>(F624/F612)*AA64</f>
        <v>2565.4156321780106</v>
      </c>
      <c r="G692" s="217">
        <f>(G625/G612)*AA91</f>
        <v>0</v>
      </c>
      <c r="H692" s="219">
        <f>(H628/H612)*AA60</f>
        <v>0</v>
      </c>
      <c r="I692" s="217">
        <f>(I629/I612)*AA92</f>
        <v>0</v>
      </c>
      <c r="J692" s="217">
        <f>(J630/J612)*AA93</f>
        <v>0</v>
      </c>
      <c r="K692" s="217" t="e">
        <f>(K644/K612)*AA89</f>
        <v>#DIV/0!</v>
      </c>
      <c r="L692" s="217">
        <f>(L647/L612)*AA94</f>
        <v>0</v>
      </c>
      <c r="M692" s="202" t="e">
        <f t="shared" si="0"/>
        <v>#DIV/0!</v>
      </c>
      <c r="N692" s="211" t="s">
        <v>653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152173484.15999997</v>
      </c>
      <c r="D693" s="217">
        <f>(D615/D612)*AB90</f>
        <v>80654.359708757416</v>
      </c>
      <c r="E693" s="219">
        <f>(E623/E612)*SUM(C693:D693)</f>
        <v>46240333.431270704</v>
      </c>
      <c r="F693" s="219">
        <f>(F624/F612)*AB64</f>
        <v>481978.40527118917</v>
      </c>
      <c r="G693" s="217">
        <f>(G625/G612)*AB91</f>
        <v>0</v>
      </c>
      <c r="H693" s="219">
        <f>(H628/H612)*AB60</f>
        <v>0</v>
      </c>
      <c r="I693" s="217">
        <f>(I629/I612)*AB92</f>
        <v>17356.489402604358</v>
      </c>
      <c r="J693" s="217">
        <f>(J630/J612)*AB93</f>
        <v>0</v>
      </c>
      <c r="K693" s="217" t="e">
        <f>(K644/K612)*AB89</f>
        <v>#DIV/0!</v>
      </c>
      <c r="L693" s="217">
        <f>(L647/L612)*AB94</f>
        <v>0</v>
      </c>
      <c r="M693" s="202" t="e">
        <f t="shared" si="0"/>
        <v>#DIV/0!</v>
      </c>
      <c r="N693" s="211" t="s">
        <v>654</v>
      </c>
    </row>
    <row r="694" spans="1:14" s="202" customFormat="1" ht="12.6" customHeight="1" x14ac:dyDescent="0.2">
      <c r="A694" s="212">
        <v>7180</v>
      </c>
      <c r="B694" s="211" t="s">
        <v>655</v>
      </c>
      <c r="C694" s="217">
        <f>AC85</f>
        <v>10129825.109999999</v>
      </c>
      <c r="D694" s="217">
        <f>(D615/D612)*AC90</f>
        <v>13857.967714450218</v>
      </c>
      <c r="E694" s="219">
        <f>(E623/E612)*SUM(C694:D694)</f>
        <v>3080686.6223471351</v>
      </c>
      <c r="F694" s="219">
        <f>(F624/F612)*AC64</f>
        <v>7412.6614550290606</v>
      </c>
      <c r="G694" s="217">
        <f>(G625/G612)*AC91</f>
        <v>0</v>
      </c>
      <c r="H694" s="219">
        <f>(H628/H612)*AC60</f>
        <v>0</v>
      </c>
      <c r="I694" s="217">
        <f>(I629/I612)*AC92</f>
        <v>0</v>
      </c>
      <c r="J694" s="217">
        <f>(J630/J612)*AC93</f>
        <v>0</v>
      </c>
      <c r="K694" s="217" t="e">
        <f>(K644/K612)*AC89</f>
        <v>#DIV/0!</v>
      </c>
      <c r="L694" s="217">
        <f>(L647/L612)*AC94</f>
        <v>0</v>
      </c>
      <c r="M694" s="202" t="e">
        <f t="shared" si="0"/>
        <v>#DIV/0!</v>
      </c>
      <c r="N694" s="211" t="s">
        <v>656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2587696.6</v>
      </c>
      <c r="D695" s="217">
        <f>(D615/D612)*AD90</f>
        <v>1962.6659233615094</v>
      </c>
      <c r="E695" s="219">
        <f>(E623/E612)*SUM(C695:D695)</f>
        <v>786492.30223830801</v>
      </c>
      <c r="F695" s="219">
        <f>(F624/F612)*AD64</f>
        <v>105.1486903345981</v>
      </c>
      <c r="G695" s="217">
        <f>(G625/G612)*AD91</f>
        <v>0</v>
      </c>
      <c r="H695" s="219">
        <f>(H628/H612)*AD60</f>
        <v>0</v>
      </c>
      <c r="I695" s="217">
        <f>(I629/I612)*AD92</f>
        <v>0</v>
      </c>
      <c r="J695" s="217">
        <f>(J630/J612)*AD93</f>
        <v>0</v>
      </c>
      <c r="K695" s="217" t="e">
        <f>(K644/K612)*AD89</f>
        <v>#DIV/0!</v>
      </c>
      <c r="L695" s="217">
        <f>(L647/L612)*AD94</f>
        <v>0</v>
      </c>
      <c r="M695" s="202" t="e">
        <f t="shared" si="0"/>
        <v>#DIV/0!</v>
      </c>
      <c r="N695" s="211" t="s">
        <v>657</v>
      </c>
    </row>
    <row r="696" spans="1:14" s="202" customFormat="1" ht="12.6" customHeight="1" x14ac:dyDescent="0.2">
      <c r="A696" s="212">
        <v>7200</v>
      </c>
      <c r="B696" s="211" t="s">
        <v>658</v>
      </c>
      <c r="C696" s="217">
        <f>AE85</f>
        <v>3770658.6900000004</v>
      </c>
      <c r="D696" s="217">
        <f>(D615/D612)*AE90</f>
        <v>7472.80049189286</v>
      </c>
      <c r="E696" s="219">
        <f>(E623/E612)*SUM(C696:D696)</f>
        <v>1147437.1834228623</v>
      </c>
      <c r="F696" s="219">
        <f>(F624/F612)*AE64</f>
        <v>31.325530897820848</v>
      </c>
      <c r="G696" s="217">
        <f>(G625/G612)*AE91</f>
        <v>0</v>
      </c>
      <c r="H696" s="219">
        <f>(H628/H612)*AE60</f>
        <v>0</v>
      </c>
      <c r="I696" s="217">
        <f>(I629/I612)*AE92</f>
        <v>0</v>
      </c>
      <c r="J696" s="217">
        <f>(J630/J612)*AE93</f>
        <v>0</v>
      </c>
      <c r="K696" s="217" t="e">
        <f>(K644/K612)*AE89</f>
        <v>#DIV/0!</v>
      </c>
      <c r="L696" s="217">
        <f>(L647/L612)*AE94</f>
        <v>0</v>
      </c>
      <c r="M696" s="202" t="e">
        <f t="shared" si="0"/>
        <v>#DIV/0!</v>
      </c>
      <c r="N696" s="211" t="s">
        <v>659</v>
      </c>
    </row>
    <row r="697" spans="1:14" s="202" customFormat="1" ht="12.6" customHeight="1" x14ac:dyDescent="0.2">
      <c r="A697" s="212">
        <v>7220</v>
      </c>
      <c r="B697" s="211" t="s">
        <v>660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 t="e">
        <f>(K644/K612)*AF89</f>
        <v>#DIV/0!</v>
      </c>
      <c r="L697" s="217">
        <f>(L647/L612)*AF94</f>
        <v>0</v>
      </c>
      <c r="M697" s="202" t="e">
        <f t="shared" si="0"/>
        <v>#DIV/0!</v>
      </c>
      <c r="N697" s="211" t="s">
        <v>661</v>
      </c>
    </row>
    <row r="698" spans="1:14" s="202" customFormat="1" ht="12.6" customHeight="1" x14ac:dyDescent="0.2">
      <c r="A698" s="212">
        <v>7230</v>
      </c>
      <c r="B698" s="211" t="s">
        <v>662</v>
      </c>
      <c r="C698" s="217">
        <f>AG85</f>
        <v>61631065.170000002</v>
      </c>
      <c r="D698" s="217">
        <f>(D615/D612)*AG90</f>
        <v>306185.01523781935</v>
      </c>
      <c r="E698" s="219">
        <f>(E623/E612)*SUM(C698:D698)</f>
        <v>18810648.618334245</v>
      </c>
      <c r="F698" s="219">
        <f>(F624/F612)*AG64</f>
        <v>18212.975150384478</v>
      </c>
      <c r="G698" s="217">
        <f>(G625/G612)*AG91</f>
        <v>87639.141252440968</v>
      </c>
      <c r="H698" s="219">
        <f>(H628/H612)*AG60</f>
        <v>0</v>
      </c>
      <c r="I698" s="217">
        <f>(I629/I612)*AG92</f>
        <v>221023.39125400817</v>
      </c>
      <c r="J698" s="217">
        <f>(J630/J612)*AG93</f>
        <v>0</v>
      </c>
      <c r="K698" s="217" t="e">
        <f>(K644/K612)*AG89</f>
        <v>#DIV/0!</v>
      </c>
      <c r="L698" s="217">
        <f>(L647/L612)*AG94</f>
        <v>1085222.8829199979</v>
      </c>
      <c r="M698" s="202" t="e">
        <f t="shared" si="0"/>
        <v>#DIV/0!</v>
      </c>
      <c r="N698" s="211" t="s">
        <v>663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>
        <f>(I629/I612)*AH92</f>
        <v>0</v>
      </c>
      <c r="J699" s="217">
        <f>(J630/J612)*AH93</f>
        <v>0</v>
      </c>
      <c r="K699" s="217" t="e">
        <f>(K644/K612)*AH89</f>
        <v>#DIV/0!</v>
      </c>
      <c r="L699" s="217">
        <f>(L647/L612)*AH94</f>
        <v>0</v>
      </c>
      <c r="M699" s="202" t="e">
        <f t="shared" si="0"/>
        <v>#DIV/0!</v>
      </c>
      <c r="N699" s="211" t="s">
        <v>664</v>
      </c>
    </row>
    <row r="700" spans="1:14" s="202" customFormat="1" ht="12.6" customHeight="1" x14ac:dyDescent="0.2">
      <c r="A700" s="212">
        <v>7250</v>
      </c>
      <c r="B700" s="211" t="s">
        <v>665</v>
      </c>
      <c r="C700" s="217">
        <f>AI85</f>
        <v>5268071.83</v>
      </c>
      <c r="D700" s="217">
        <f>(D615/D612)*AI90</f>
        <v>46895.118125833615</v>
      </c>
      <c r="E700" s="219">
        <f>(E623/E612)*SUM(C700:D700)</f>
        <v>1614181.6980936013</v>
      </c>
      <c r="F700" s="219">
        <f>(F624/F612)*AI64</f>
        <v>1738.6528652010586</v>
      </c>
      <c r="G700" s="217">
        <f>(G625/G612)*AI91</f>
        <v>43035.522642848744</v>
      </c>
      <c r="H700" s="219">
        <f>(H628/H612)*AI60</f>
        <v>0</v>
      </c>
      <c r="I700" s="217">
        <f>(I629/I612)*AI92</f>
        <v>0</v>
      </c>
      <c r="J700" s="217">
        <f>(J630/J612)*AI93</f>
        <v>0</v>
      </c>
      <c r="K700" s="217" t="e">
        <f>(K644/K612)*AI89</f>
        <v>#DIV/0!</v>
      </c>
      <c r="L700" s="217">
        <f>(L647/L612)*AI94</f>
        <v>235025.79062326869</v>
      </c>
      <c r="M700" s="202" t="e">
        <f t="shared" si="0"/>
        <v>#DIV/0!</v>
      </c>
      <c r="N700" s="211" t="s">
        <v>666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33510991.589999989</v>
      </c>
      <c r="D701" s="217">
        <f>(D615/D612)*AJ90</f>
        <v>85527.863867358785</v>
      </c>
      <c r="E701" s="219">
        <f>(E623/E612)*SUM(C701:D701)</f>
        <v>10203428.798593231</v>
      </c>
      <c r="F701" s="219">
        <f>(F624/F612)*AJ64</f>
        <v>7674.9478189669699</v>
      </c>
      <c r="G701" s="217">
        <f>(G625/G612)*AJ91</f>
        <v>69.693154077487847</v>
      </c>
      <c r="H701" s="219">
        <f>(H628/H612)*AJ60</f>
        <v>0</v>
      </c>
      <c r="I701" s="217">
        <f>(I629/I612)*AJ92</f>
        <v>127308.8041964522</v>
      </c>
      <c r="J701" s="217">
        <f>(J630/J612)*AJ93</f>
        <v>0</v>
      </c>
      <c r="K701" s="217" t="e">
        <f>(K644/K612)*AJ89</f>
        <v>#DIV/0!</v>
      </c>
      <c r="L701" s="217">
        <f>(L647/L612)*AJ94</f>
        <v>283538.98849149788</v>
      </c>
      <c r="M701" s="202" t="e">
        <f t="shared" si="0"/>
        <v>#DIV/0!</v>
      </c>
      <c r="N701" s="211" t="s">
        <v>667</v>
      </c>
    </row>
    <row r="702" spans="1:14" s="202" customFormat="1" ht="12.6" customHeight="1" x14ac:dyDescent="0.2">
      <c r="A702" s="212">
        <v>7310</v>
      </c>
      <c r="B702" s="211" t="s">
        <v>668</v>
      </c>
      <c r="C702" s="217">
        <f>AK85</f>
        <v>122955.22</v>
      </c>
      <c r="D702" s="217">
        <f>(D615/D612)*AK90</f>
        <v>0</v>
      </c>
      <c r="E702" s="219">
        <f>(E623/E612)*SUM(C702:D702)</f>
        <v>37342.107250367313</v>
      </c>
      <c r="F702" s="219">
        <f>(F624/F612)*AK64</f>
        <v>1.6358001372018899E-2</v>
      </c>
      <c r="G702" s="217">
        <f>(G625/G612)*AK91</f>
        <v>0</v>
      </c>
      <c r="H702" s="219">
        <f>(H628/H612)*AK60</f>
        <v>0</v>
      </c>
      <c r="I702" s="217">
        <f>(I629/I612)*AK92</f>
        <v>0</v>
      </c>
      <c r="J702" s="217">
        <f>(J630/J612)*AK93</f>
        <v>0</v>
      </c>
      <c r="K702" s="217" t="e">
        <f>(K644/K612)*AK89</f>
        <v>#DIV/0!</v>
      </c>
      <c r="L702" s="217">
        <f>(L647/L612)*AK94</f>
        <v>0</v>
      </c>
      <c r="M702" s="202" t="e">
        <f t="shared" si="0"/>
        <v>#DIV/0!</v>
      </c>
      <c r="N702" s="211" t="s">
        <v>669</v>
      </c>
    </row>
    <row r="703" spans="1:14" s="202" customFormat="1" ht="12.6" customHeight="1" x14ac:dyDescent="0.2">
      <c r="A703" s="212">
        <v>7320</v>
      </c>
      <c r="B703" s="211" t="s">
        <v>670</v>
      </c>
      <c r="C703" s="217">
        <f>AL85</f>
        <v>1160815.9200000002</v>
      </c>
      <c r="D703" s="217">
        <f>(D615/D612)*AL90</f>
        <v>0</v>
      </c>
      <c r="E703" s="219">
        <f>(E623/E612)*SUM(C703:D703)</f>
        <v>352545.52496895869</v>
      </c>
      <c r="F703" s="219">
        <f>(F624/F612)*AL64</f>
        <v>66.338831324339239</v>
      </c>
      <c r="G703" s="217">
        <f>(G625/G612)*AL91</f>
        <v>570.61269900943171</v>
      </c>
      <c r="H703" s="219">
        <f>(H628/H612)*AL60</f>
        <v>0</v>
      </c>
      <c r="I703" s="217">
        <f>(I629/I612)*AL92</f>
        <v>0</v>
      </c>
      <c r="J703" s="217">
        <f>(J630/J612)*AL93</f>
        <v>0</v>
      </c>
      <c r="K703" s="217" t="e">
        <f>(K644/K612)*AL89</f>
        <v>#DIV/0!</v>
      </c>
      <c r="L703" s="217">
        <f>(L647/L612)*AL94</f>
        <v>0</v>
      </c>
      <c r="M703" s="202" t="e">
        <f t="shared" si="0"/>
        <v>#DIV/0!</v>
      </c>
      <c r="N703" s="211" t="s">
        <v>671</v>
      </c>
    </row>
    <row r="704" spans="1:14" s="202" customFormat="1" ht="12.6" customHeight="1" x14ac:dyDescent="0.2">
      <c r="A704" s="212">
        <v>7330</v>
      </c>
      <c r="B704" s="211" t="s">
        <v>672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 t="e">
        <f>(K644/K612)*AM89</f>
        <v>#DIV/0!</v>
      </c>
      <c r="L704" s="217">
        <f>(L647/L612)*AM94</f>
        <v>0</v>
      </c>
      <c r="M704" s="202" t="e">
        <f t="shared" si="0"/>
        <v>#DIV/0!</v>
      </c>
      <c r="N704" s="211" t="s">
        <v>673</v>
      </c>
    </row>
    <row r="705" spans="1:14" s="202" customFormat="1" ht="12.6" customHeight="1" x14ac:dyDescent="0.2">
      <c r="A705" s="212">
        <v>7340</v>
      </c>
      <c r="B705" s="211" t="s">
        <v>674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 t="e">
        <f>(K644/K612)*AN89</f>
        <v>#DIV/0!</v>
      </c>
      <c r="L705" s="217">
        <f>(L647/L612)*AN94</f>
        <v>0</v>
      </c>
      <c r="M705" s="202" t="e">
        <f t="shared" si="0"/>
        <v>#DIV/0!</v>
      </c>
      <c r="N705" s="211" t="s">
        <v>675</v>
      </c>
    </row>
    <row r="706" spans="1:14" s="202" customFormat="1" ht="12.6" customHeight="1" x14ac:dyDescent="0.2">
      <c r="A706" s="212">
        <v>7350</v>
      </c>
      <c r="B706" s="211" t="s">
        <v>676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>
        <f>(G625/G612)*AO91</f>
        <v>0</v>
      </c>
      <c r="H706" s="219">
        <f>(H628/H612)*AO60</f>
        <v>0</v>
      </c>
      <c r="I706" s="217">
        <f>(I629/I612)*AO92</f>
        <v>0</v>
      </c>
      <c r="J706" s="217">
        <f>(J630/J612)*AO93</f>
        <v>0</v>
      </c>
      <c r="K706" s="217" t="e">
        <f>(K644/K612)*AO89</f>
        <v>#DIV/0!</v>
      </c>
      <c r="L706" s="217">
        <f>(L647/L612)*AO94</f>
        <v>0</v>
      </c>
      <c r="M706" s="202" t="e">
        <f t="shared" si="0"/>
        <v>#DIV/0!</v>
      </c>
      <c r="N706" s="211" t="s">
        <v>677</v>
      </c>
    </row>
    <row r="707" spans="1:14" s="202" customFormat="1" ht="12.6" customHeight="1" x14ac:dyDescent="0.2">
      <c r="A707" s="212">
        <v>7380</v>
      </c>
      <c r="B707" s="211" t="s">
        <v>678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>
        <f>(G625/G612)*AP91</f>
        <v>0</v>
      </c>
      <c r="H707" s="219">
        <f>(H628/H612)*AP60</f>
        <v>0</v>
      </c>
      <c r="I707" s="217">
        <f>(I629/I612)*AP92</f>
        <v>0</v>
      </c>
      <c r="J707" s="217">
        <f>(J630/J612)*AP93</f>
        <v>0</v>
      </c>
      <c r="K707" s="217" t="e">
        <f>(K644/K612)*AP89</f>
        <v>#DIV/0!</v>
      </c>
      <c r="L707" s="217">
        <f>(L647/L612)*AP94</f>
        <v>0</v>
      </c>
      <c r="M707" s="202" t="e">
        <f t="shared" si="0"/>
        <v>#DIV/0!</v>
      </c>
      <c r="N707" s="211" t="s">
        <v>679</v>
      </c>
    </row>
    <row r="708" spans="1:14" s="202" customFormat="1" ht="12.6" customHeight="1" x14ac:dyDescent="0.2">
      <c r="A708" s="212">
        <v>7390</v>
      </c>
      <c r="B708" s="211" t="s">
        <v>680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 t="e">
        <f>(K644/K612)*AQ89</f>
        <v>#DIV/0!</v>
      </c>
      <c r="L708" s="217">
        <f>(L647/L612)*AQ94</f>
        <v>0</v>
      </c>
      <c r="M708" s="202" t="e">
        <f t="shared" si="0"/>
        <v>#DIV/0!</v>
      </c>
      <c r="N708" s="211" t="s">
        <v>681</v>
      </c>
    </row>
    <row r="709" spans="1:14" s="202" customFormat="1" ht="12.6" customHeight="1" x14ac:dyDescent="0.2">
      <c r="A709" s="212">
        <v>7400</v>
      </c>
      <c r="B709" s="211" t="s">
        <v>682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>
        <f>(I629/I612)*AR92</f>
        <v>0</v>
      </c>
      <c r="J709" s="217">
        <f>(J630/J612)*AR93</f>
        <v>0</v>
      </c>
      <c r="K709" s="217" t="e">
        <f>(K644/K612)*AR89</f>
        <v>#DIV/0!</v>
      </c>
      <c r="L709" s="217">
        <f>(L647/L612)*AR94</f>
        <v>0</v>
      </c>
      <c r="M709" s="202" t="e">
        <f t="shared" si="0"/>
        <v>#DIV/0!</v>
      </c>
      <c r="N709" s="211" t="s">
        <v>683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 t="e">
        <f>(K644/K612)*AS89</f>
        <v>#DIV/0!</v>
      </c>
      <c r="L710" s="217">
        <f>(L647/L612)*AS94</f>
        <v>0</v>
      </c>
      <c r="M710" s="202" t="e">
        <f t="shared" si="0"/>
        <v>#DIV/0!</v>
      </c>
      <c r="N710" s="211" t="s">
        <v>684</v>
      </c>
    </row>
    <row r="711" spans="1:14" s="202" customFormat="1" ht="12.6" customHeight="1" x14ac:dyDescent="0.2">
      <c r="A711" s="212">
        <v>7420</v>
      </c>
      <c r="B711" s="211" t="s">
        <v>685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 t="e">
        <f>(K644/K612)*AT89</f>
        <v>#DIV/0!</v>
      </c>
      <c r="L711" s="217">
        <f>(L647/L612)*AT94</f>
        <v>0</v>
      </c>
      <c r="M711" s="202" t="e">
        <f t="shared" si="0"/>
        <v>#DIV/0!</v>
      </c>
      <c r="N711" s="211" t="s">
        <v>686</v>
      </c>
    </row>
    <row r="712" spans="1:14" s="202" customFormat="1" ht="12.6" customHeight="1" x14ac:dyDescent="0.2">
      <c r="A712" s="212">
        <v>7430</v>
      </c>
      <c r="B712" s="211" t="s">
        <v>687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 t="e">
        <f>(K644/K612)*AU89</f>
        <v>#DIV/0!</v>
      </c>
      <c r="L712" s="217">
        <f>(L647/L612)*AU94</f>
        <v>0</v>
      </c>
      <c r="M712" s="202" t="e">
        <f t="shared" si="0"/>
        <v>#DIV/0!</v>
      </c>
      <c r="N712" s="211" t="s">
        <v>688</v>
      </c>
    </row>
    <row r="713" spans="1:14" s="202" customFormat="1" ht="12.6" customHeight="1" x14ac:dyDescent="0.2">
      <c r="A713" s="212">
        <v>7490</v>
      </c>
      <c r="B713" s="211" t="s">
        <v>689</v>
      </c>
      <c r="C713" s="217">
        <f>AV85</f>
        <v>48552059.810000002</v>
      </c>
      <c r="D713" s="217">
        <f>(D615/D612)*AV90</f>
        <v>197238.2534416393</v>
      </c>
      <c r="E713" s="219">
        <f>(E623/E612)*SUM(C713:D713)</f>
        <v>14805402.460059535</v>
      </c>
      <c r="F713" s="219">
        <f>(F624/F612)*AV64</f>
        <v>14586.272377666037</v>
      </c>
      <c r="G713" s="217">
        <f>(G625/G612)*AV91</f>
        <v>97705.446194508113</v>
      </c>
      <c r="H713" s="219">
        <f>(H628/H612)*AV60</f>
        <v>0</v>
      </c>
      <c r="I713" s="217">
        <f>(I629/I612)*AV92</f>
        <v>274619.39407192986</v>
      </c>
      <c r="J713" s="217">
        <f>(J630/J612)*AV93</f>
        <v>0</v>
      </c>
      <c r="K713" s="217" t="e">
        <f>(K644/K612)*AV89</f>
        <v>#DIV/0!</v>
      </c>
      <c r="L713" s="217">
        <f>(L647/L612)*AV94</f>
        <v>453454.43218705035</v>
      </c>
      <c r="M713" s="202" t="e">
        <f t="shared" si="0"/>
        <v>#DIV/0!</v>
      </c>
      <c r="N713" s="213" t="s">
        <v>690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1179304098.5</v>
      </c>
      <c r="D715" s="202">
        <f>SUM(D616:D647)+SUM(D668:D713)</f>
        <v>3179677.1800000006</v>
      </c>
      <c r="E715" s="202">
        <f>SUM(E624:E647)+SUM(E668:E713)</f>
        <v>274725105.4174006</v>
      </c>
      <c r="F715" s="202">
        <f>SUM(F625:F648)+SUM(F668:F713)</f>
        <v>1271837.3917911216</v>
      </c>
      <c r="G715" s="202">
        <f>SUM(G626:G647)+SUM(G668:G713)</f>
        <v>1693456.5276403576</v>
      </c>
      <c r="H715" s="202">
        <f>SUM(H629:H647)+SUM(H668:H713)</f>
        <v>0</v>
      </c>
      <c r="I715" s="202">
        <f>SUM(I630:I647)+SUM(I668:I713)</f>
        <v>2909533.1440009153</v>
      </c>
      <c r="J715" s="202">
        <f>SUM(J631:J647)+SUM(J668:J713)</f>
        <v>0</v>
      </c>
      <c r="K715" s="202" t="e">
        <f>SUM(K668:K713)</f>
        <v>#DIV/0!</v>
      </c>
      <c r="L715" s="202">
        <f>SUM(L668:L713)</f>
        <v>11574457.252530498</v>
      </c>
      <c r="M715" s="202" t="e">
        <f>SUM(M668:M713)</f>
        <v>#DIV/0!</v>
      </c>
      <c r="N715" s="211" t="s">
        <v>691</v>
      </c>
    </row>
    <row r="716" spans="1:14" s="202" customFormat="1" ht="12.6" customHeight="1" x14ac:dyDescent="0.2">
      <c r="C716" s="214">
        <f>CE85</f>
        <v>1179304098.5000002</v>
      </c>
      <c r="D716" s="202">
        <f>D615</f>
        <v>3179677.18</v>
      </c>
      <c r="E716" s="202">
        <f>E623</f>
        <v>274725105.41740078</v>
      </c>
      <c r="F716" s="202">
        <f>F624</f>
        <v>1271837.391791122</v>
      </c>
      <c r="G716" s="202">
        <f>G625</f>
        <v>1693456.5276403578</v>
      </c>
      <c r="H716" s="202">
        <f>H628</f>
        <v>0</v>
      </c>
      <c r="I716" s="202">
        <f>I629</f>
        <v>2909533.1440009158</v>
      </c>
      <c r="J716" s="202">
        <f>J630</f>
        <v>0</v>
      </c>
      <c r="K716" s="202">
        <f>K644</f>
        <v>37756432.15052817</v>
      </c>
      <c r="L716" s="202">
        <f>L647</f>
        <v>11574457.252530502</v>
      </c>
      <c r="M716" s="202">
        <f>C648</f>
        <v>319494075.96999991</v>
      </c>
      <c r="N716" s="211" t="s">
        <v>692</v>
      </c>
    </row>
  </sheetData>
  <sheetProtection algorithmName="SHA-512" hashValue="fw+v2bUPeX64fLfNQ6v9v/D9yocBDkCcHUmAeaHDhU/BzpA4zWZUbTpeyqvTGzMliT9JiMAqx/Wxt5SKzZLxfA==" saltValue="4A2hmw4GnHAXE8O3Gt3sHg==" spinCount="100000" sheet="1" objects="1" scenarios="1"/>
  <mergeCells count="2">
    <mergeCell ref="A426:E426"/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A426" r:id="rId4" xr:uid="{00000000-0004-0000-0B00-000003000000}"/>
    <hyperlink ref="B426" r:id="rId5" display="mailto:doh.information@doh.wa.gov" xr:uid="{00000000-0004-0000-0B00-000004000000}"/>
    <hyperlink ref="C426" r:id="rId6" display="mailto:doh.information@doh.wa.gov" xr:uid="{00000000-0004-0000-0B00-000005000000}"/>
    <hyperlink ref="D426" r:id="rId7" display="mailto:doh.information@doh.wa.gov" xr:uid="{00000000-0004-0000-0B00-000006000000}"/>
    <hyperlink ref="E426" r:id="rId8" display="mailto:doh.information@doh.wa.gov" xr:uid="{00000000-0004-0000-0B00-000007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9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x14ac:dyDescent="0.25">
      <c r="A1" s="14" t="s">
        <v>1062</v>
      </c>
      <c r="B1" s="11" t="s">
        <v>1063</v>
      </c>
      <c r="C1" s="11" t="s">
        <v>1064</v>
      </c>
      <c r="D1" s="11" t="s">
        <v>1065</v>
      </c>
      <c r="E1" s="11" t="s">
        <v>1066</v>
      </c>
      <c r="F1" s="11" t="s">
        <v>1067</v>
      </c>
      <c r="G1" s="11" t="s">
        <v>1068</v>
      </c>
      <c r="H1" s="11" t="s">
        <v>1069</v>
      </c>
      <c r="I1" s="11" t="s">
        <v>1070</v>
      </c>
      <c r="J1" s="11" t="s">
        <v>1071</v>
      </c>
      <c r="K1" s="11" t="s">
        <v>1072</v>
      </c>
      <c r="L1" s="11" t="s">
        <v>1073</v>
      </c>
      <c r="M1" s="11" t="s">
        <v>1074</v>
      </c>
      <c r="N1" s="11" t="s">
        <v>1075</v>
      </c>
    </row>
    <row r="2" spans="1:14" x14ac:dyDescent="0.25">
      <c r="A2" s="11" t="str">
        <f>MONTH(data!C96) &amp; "-" &amp; DAY(data!C96)</f>
        <v>12-31</v>
      </c>
      <c r="B2" s="201" t="str">
        <f>RIGHT(data!C97, 3)</f>
        <v>176</v>
      </c>
      <c r="C2" s="11" t="str">
        <f>SUBSTITUTE(LEFT(data!C98,49),",","")</f>
        <v>Tacoma General / Allenmore</v>
      </c>
      <c r="D2" s="11" t="str">
        <f>LEFT(data!C99, 49)</f>
        <v/>
      </c>
      <c r="E2" s="11" t="str">
        <f>LEFT(data!C100, 100)</f>
        <v xml:space="preserve">Tacoma  </v>
      </c>
      <c r="F2" s="11" t="str">
        <f>LEFT(data!C101, 2)</f>
        <v>WA</v>
      </c>
      <c r="G2" s="11" t="str">
        <f>LEFT(data!C102, 100)</f>
        <v>98405</v>
      </c>
      <c r="H2" s="11" t="str">
        <f>LEFT(data!C103, 100)</f>
        <v>Pierce</v>
      </c>
      <c r="I2" s="11" t="str">
        <f>LEFT(data!C104, 49)</f>
        <v/>
      </c>
      <c r="J2" s="11" t="str">
        <f>LEFT(data!C105, 49)</f>
        <v>Matt Scherer</v>
      </c>
      <c r="K2" s="11" t="str">
        <f>LEFT(data!C107, 49)</f>
        <v>2534031000</v>
      </c>
      <c r="L2" s="11" t="str">
        <f>LEFT(data!C108, 49)</f>
        <v>2434597859</v>
      </c>
      <c r="M2" s="11" t="str">
        <f>LEFT(data!C109, 49)</f>
        <v>John Vinyard</v>
      </c>
      <c r="N2" s="11" t="str">
        <f>LEFT(data!C110, 49)</f>
        <v>john.vinyard@multicare.org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D1" sqref="D1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1076</v>
      </c>
      <c r="B1" s="12" t="s">
        <v>1077</v>
      </c>
      <c r="C1" s="12" t="s">
        <v>1078</v>
      </c>
      <c r="D1" s="12" t="s">
        <v>1079</v>
      </c>
      <c r="E1" s="12" t="s">
        <v>1080</v>
      </c>
      <c r="F1" s="12" t="s">
        <v>1081</v>
      </c>
      <c r="G1" s="12" t="s">
        <v>1082</v>
      </c>
      <c r="H1" s="12" t="s">
        <v>1083</v>
      </c>
      <c r="I1" s="12" t="s">
        <v>1084</v>
      </c>
      <c r="J1" s="12" t="s">
        <v>1085</v>
      </c>
      <c r="K1" s="12" t="s">
        <v>1086</v>
      </c>
      <c r="L1" s="12" t="s">
        <v>1087</v>
      </c>
      <c r="M1" s="12" t="s">
        <v>1088</v>
      </c>
      <c r="N1" s="12" t="s">
        <v>1089</v>
      </c>
      <c r="O1" s="12" t="s">
        <v>1090</v>
      </c>
      <c r="P1" s="12" t="s">
        <v>1091</v>
      </c>
      <c r="Q1" s="12" t="s">
        <v>1092</v>
      </c>
      <c r="R1" s="12" t="s">
        <v>1093</v>
      </c>
      <c r="S1" s="12" t="s">
        <v>1094</v>
      </c>
      <c r="T1" s="12" t="s">
        <v>1095</v>
      </c>
      <c r="U1" s="12" t="s">
        <v>1096</v>
      </c>
      <c r="V1" s="12" t="s">
        <v>1097</v>
      </c>
      <c r="W1" s="12" t="s">
        <v>1098</v>
      </c>
      <c r="X1" s="12" t="s">
        <v>1099</v>
      </c>
      <c r="Y1" s="12" t="s">
        <v>1100</v>
      </c>
      <c r="Z1" s="12" t="s">
        <v>1101</v>
      </c>
      <c r="AA1" s="12" t="s">
        <v>1102</v>
      </c>
      <c r="AB1" s="12" t="s">
        <v>1103</v>
      </c>
      <c r="AC1" s="12" t="s">
        <v>1104</v>
      </c>
      <c r="AD1" s="12" t="s">
        <v>1105</v>
      </c>
      <c r="AE1" s="12" t="s">
        <v>1106</v>
      </c>
      <c r="AF1" s="12" t="s">
        <v>1107</v>
      </c>
      <c r="AG1" s="12" t="s">
        <v>1108</v>
      </c>
      <c r="AH1" s="12" t="s">
        <v>1109</v>
      </c>
      <c r="AI1" s="12" t="s">
        <v>1110</v>
      </c>
      <c r="AJ1" s="12" t="s">
        <v>1111</v>
      </c>
      <c r="AK1" s="12" t="s">
        <v>1112</v>
      </c>
      <c r="AL1" s="12" t="s">
        <v>1113</v>
      </c>
      <c r="AM1" s="12" t="s">
        <v>1114</v>
      </c>
      <c r="AN1" s="12" t="s">
        <v>1115</v>
      </c>
      <c r="AO1" s="12" t="s">
        <v>1116</v>
      </c>
      <c r="AP1" s="12" t="s">
        <v>1117</v>
      </c>
      <c r="AQ1" s="12" t="s">
        <v>1118</v>
      </c>
      <c r="AR1" s="12" t="s">
        <v>1119</v>
      </c>
      <c r="AS1" s="12" t="s">
        <v>1120</v>
      </c>
      <c r="AT1" s="12" t="s">
        <v>1121</v>
      </c>
      <c r="AU1" s="12" t="s">
        <v>1122</v>
      </c>
      <c r="AV1" s="12" t="s">
        <v>1123</v>
      </c>
      <c r="AW1" s="12" t="s">
        <v>1124</v>
      </c>
      <c r="AX1" s="12" t="s">
        <v>1125</v>
      </c>
      <c r="AY1" s="12" t="s">
        <v>1126</v>
      </c>
      <c r="AZ1" s="12" t="s">
        <v>1127</v>
      </c>
      <c r="BA1" s="12" t="s">
        <v>1128</v>
      </c>
      <c r="BB1" s="12" t="s">
        <v>1129</v>
      </c>
      <c r="BC1" s="12" t="s">
        <v>1130</v>
      </c>
      <c r="BD1" s="12" t="s">
        <v>1131</v>
      </c>
      <c r="BE1" s="12" t="s">
        <v>1132</v>
      </c>
      <c r="BF1" s="12" t="s">
        <v>1133</v>
      </c>
      <c r="BG1" s="12" t="s">
        <v>1134</v>
      </c>
      <c r="BH1" s="12" t="s">
        <v>1135</v>
      </c>
      <c r="BI1" s="12" t="s">
        <v>1136</v>
      </c>
      <c r="BJ1" s="12" t="s">
        <v>1137</v>
      </c>
      <c r="BK1" s="12" t="s">
        <v>1138</v>
      </c>
      <c r="BL1" s="12" t="s">
        <v>1139</v>
      </c>
      <c r="BM1" s="12" t="s">
        <v>1140</v>
      </c>
      <c r="BN1" s="12" t="s">
        <v>1141</v>
      </c>
      <c r="BO1" s="12" t="s">
        <v>1142</v>
      </c>
      <c r="BP1" s="12" t="s">
        <v>1143</v>
      </c>
      <c r="BQ1" s="12" t="s">
        <v>1144</v>
      </c>
      <c r="BR1" s="12" t="s">
        <v>1145</v>
      </c>
      <c r="BS1" s="12" t="s">
        <v>1146</v>
      </c>
      <c r="BT1" s="12" t="s">
        <v>1147</v>
      </c>
      <c r="BU1" s="12" t="s">
        <v>1148</v>
      </c>
      <c r="BV1" s="12" t="s">
        <v>1149</v>
      </c>
      <c r="BW1" s="12" t="s">
        <v>1150</v>
      </c>
      <c r="BX1" s="12" t="s">
        <v>1151</v>
      </c>
      <c r="BY1" s="12" t="s">
        <v>1152</v>
      </c>
      <c r="BZ1" s="12" t="s">
        <v>1153</v>
      </c>
      <c r="CA1" s="12" t="s">
        <v>1154</v>
      </c>
      <c r="CB1" s="12" t="s">
        <v>1155</v>
      </c>
      <c r="CC1" s="12" t="s">
        <v>1156</v>
      </c>
      <c r="CD1" s="12" t="s">
        <v>1157</v>
      </c>
      <c r="CE1" s="12" t="s">
        <v>1158</v>
      </c>
      <c r="CF1" s="12" t="s">
        <v>1159</v>
      </c>
    </row>
    <row r="2" spans="1:84" s="169" customFormat="1" ht="12.6" customHeight="1" x14ac:dyDescent="0.25">
      <c r="A2" s="12" t="str">
        <f>RIGHT(data!C97,3)</f>
        <v>176</v>
      </c>
      <c r="B2" s="200" t="str">
        <f>RIGHT(data!C96,4)</f>
        <v>2024</v>
      </c>
      <c r="C2" s="12" t="s">
        <v>1160</v>
      </c>
      <c r="D2" s="199">
        <f>ROUND(N(data!C181),0)</f>
        <v>26892585</v>
      </c>
      <c r="E2" s="199">
        <f>ROUND(N(data!C182),0)</f>
        <v>-403</v>
      </c>
      <c r="F2" s="199">
        <f>ROUND(N(data!C183),0)</f>
        <v>0</v>
      </c>
      <c r="G2" s="199">
        <f>ROUND(N(data!C184),0)</f>
        <v>39907313</v>
      </c>
      <c r="H2" s="199">
        <f>ROUND(N(data!C185),0)</f>
        <v>0</v>
      </c>
      <c r="I2" s="199">
        <f>ROUND(N(data!C186),0)</f>
        <v>0</v>
      </c>
      <c r="J2" s="199">
        <f>ROUND(N(data!C187)+N(data!C188),0)</f>
        <v>19677989</v>
      </c>
      <c r="K2" s="199">
        <f>ROUND(N(data!C191),0)</f>
        <v>4122894</v>
      </c>
      <c r="L2" s="199">
        <f>ROUND(N(data!C192),0)</f>
        <v>5797308</v>
      </c>
      <c r="M2" s="199">
        <f>ROUND(N(data!C195),0)</f>
        <v>14844643</v>
      </c>
      <c r="N2" s="199">
        <f>ROUND(N(data!C196),0)</f>
        <v>0</v>
      </c>
      <c r="O2" s="199">
        <f>ROUND(N(data!C199),0)</f>
        <v>230866</v>
      </c>
      <c r="P2" s="199">
        <f>ROUND(N(data!C200),0)</f>
        <v>9142022</v>
      </c>
      <c r="Q2" s="199">
        <f>ROUND(N(data!C201),0)</f>
        <v>75318</v>
      </c>
      <c r="R2" s="199">
        <f>ROUND(N(data!C204),0)</f>
        <v>0</v>
      </c>
      <c r="S2" s="199">
        <f>ROUND(N(data!C205),0)</f>
        <v>17999066</v>
      </c>
      <c r="T2" s="199">
        <f>ROUND(N(data!B211),0)</f>
        <v>7581710</v>
      </c>
      <c r="U2" s="199">
        <f>ROUND(N(data!C211),0)</f>
        <v>0</v>
      </c>
      <c r="V2" s="199">
        <f>ROUND(N(data!D211),0)</f>
        <v>0</v>
      </c>
      <c r="W2" s="199">
        <f>ROUND(N(data!B212),0)</f>
        <v>3324681</v>
      </c>
      <c r="X2" s="199">
        <f>ROUND(N(data!C212),0)</f>
        <v>1378070</v>
      </c>
      <c r="Y2" s="199">
        <f>ROUND(N(data!D212),0)</f>
        <v>0</v>
      </c>
      <c r="Z2" s="199">
        <f>ROUND(N(data!B213),0)</f>
        <v>642016330</v>
      </c>
      <c r="AA2" s="199">
        <f>ROUND(N(data!C213),0)</f>
        <v>3425105</v>
      </c>
      <c r="AB2" s="199">
        <f>ROUND(N(data!D213),0)</f>
        <v>8768266</v>
      </c>
      <c r="AC2" s="199">
        <f>ROUND(N(data!B214),0)</f>
        <v>0</v>
      </c>
      <c r="AD2" s="199">
        <f>ROUND(N(data!C214),0)</f>
        <v>0</v>
      </c>
      <c r="AE2" s="199">
        <f>ROUND(N(data!D214),0)</f>
        <v>0</v>
      </c>
      <c r="AF2" s="199">
        <f>ROUND(N(data!B215),0)</f>
        <v>35342628</v>
      </c>
      <c r="AG2" s="199">
        <f>ROUND(N(data!C215),0)</f>
        <v>371408</v>
      </c>
      <c r="AH2" s="199">
        <f>ROUND(N(data!D215),0)</f>
        <v>116</v>
      </c>
      <c r="AI2" s="199">
        <f>ROUND(N(data!B216),0)</f>
        <v>199638406</v>
      </c>
      <c r="AJ2" s="199">
        <f>ROUND(N(data!C216),0)</f>
        <v>12083508</v>
      </c>
      <c r="AK2" s="199">
        <f>ROUND(N(data!D216),0)</f>
        <v>11114420</v>
      </c>
      <c r="AL2" s="199">
        <f>ROUND(N(data!B217),0)</f>
        <v>0</v>
      </c>
      <c r="AM2" s="199">
        <f>ROUND(N(data!C217),0)</f>
        <v>0</v>
      </c>
      <c r="AN2" s="199">
        <f>ROUND(N(data!D217),0)</f>
        <v>0</v>
      </c>
      <c r="AO2" s="199">
        <f>ROUND(N(data!B218),0)</f>
        <v>14880078</v>
      </c>
      <c r="AP2" s="199">
        <f>ROUND(N(data!C218),0)</f>
        <v>0</v>
      </c>
      <c r="AQ2" s="199">
        <f>ROUND(N(data!D218),0)</f>
        <v>250000</v>
      </c>
      <c r="AR2" s="199">
        <f>ROUND(N(data!B219),0)</f>
        <v>409522</v>
      </c>
      <c r="AS2" s="199">
        <f>ROUND(N(data!C219),0)</f>
        <v>23094916</v>
      </c>
      <c r="AT2" s="199">
        <f>ROUND(N(data!D219),0)</f>
        <v>8300746</v>
      </c>
      <c r="AU2" s="199">
        <v>0</v>
      </c>
      <c r="AV2" s="199">
        <v>0</v>
      </c>
      <c r="AW2" s="199">
        <v>0</v>
      </c>
      <c r="AX2" s="199">
        <f>ROUND(N(data!B225),0)</f>
        <v>2626408</v>
      </c>
      <c r="AY2" s="199">
        <f>ROUND(N(data!C225),0)</f>
        <v>343513</v>
      </c>
      <c r="AZ2" s="199">
        <f>ROUND(N(data!D225),0)</f>
        <v>0</v>
      </c>
      <c r="BA2" s="199">
        <f>ROUND(N(data!B226),0)</f>
        <v>343285301</v>
      </c>
      <c r="BB2" s="199">
        <f>ROUND(N(data!C226),0)</f>
        <v>14875303</v>
      </c>
      <c r="BC2" s="199">
        <f>ROUND(N(data!D226),0)</f>
        <v>2704882</v>
      </c>
      <c r="BD2" s="199">
        <f>ROUND(N(data!B227),0)</f>
        <v>0</v>
      </c>
      <c r="BE2" s="199">
        <f>ROUND(N(data!C227),0)</f>
        <v>0</v>
      </c>
      <c r="BF2" s="199">
        <f>ROUND(N(data!D227),0)</f>
        <v>0</v>
      </c>
      <c r="BG2" s="199">
        <f>ROUND(N(data!B228),0)</f>
        <v>28639860</v>
      </c>
      <c r="BH2" s="199">
        <f>ROUND(N(data!C228),0)</f>
        <v>1151775</v>
      </c>
      <c r="BI2" s="199">
        <f>ROUND(N(data!D228),0)</f>
        <v>0</v>
      </c>
      <c r="BJ2" s="199">
        <f>ROUND(N(data!B229),0)</f>
        <v>154072722</v>
      </c>
      <c r="BK2" s="199">
        <f>ROUND(N(data!C229),0)</f>
        <v>9564432</v>
      </c>
      <c r="BL2" s="199">
        <f>ROUND(N(data!D229),0)</f>
        <v>9359581</v>
      </c>
      <c r="BM2" s="199">
        <f>ROUND(N(data!B230),0)</f>
        <v>0</v>
      </c>
      <c r="BN2" s="199">
        <f>ROUND(N(data!C230),0)</f>
        <v>0</v>
      </c>
      <c r="BO2" s="199">
        <f>ROUND(N(data!D230),0)</f>
        <v>0</v>
      </c>
      <c r="BP2" s="199">
        <f>ROUND(N(data!B231),0)</f>
        <v>11047329</v>
      </c>
      <c r="BQ2" s="199">
        <f>ROUND(N(data!C231),0)</f>
        <v>812182</v>
      </c>
      <c r="BR2" s="199">
        <f>ROUND(N(data!D231),0)</f>
        <v>0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1618797858</v>
      </c>
      <c r="BW2" s="199">
        <f>ROUND(N(data!C240),0)</f>
        <v>776267479</v>
      </c>
      <c r="BX2" s="199">
        <f>ROUND(N(data!C241),0)</f>
        <v>37952977</v>
      </c>
      <c r="BY2" s="199">
        <f>ROUND(N(data!C242),0)</f>
        <v>119068537</v>
      </c>
      <c r="BZ2" s="199">
        <f>ROUND(N(data!C243),0)</f>
        <v>0</v>
      </c>
      <c r="CA2" s="199">
        <f>ROUND(N(data!C244),0)</f>
        <v>1045261780</v>
      </c>
      <c r="CB2" s="199">
        <f>ROUND(N(data!C247),0)</f>
        <v>29275</v>
      </c>
      <c r="CC2" s="199">
        <f>ROUND(N(data!C249),0)</f>
        <v>28518557</v>
      </c>
      <c r="CD2" s="199">
        <f>ROUND(N(data!C250),0)</f>
        <v>63359804</v>
      </c>
      <c r="CE2" s="199">
        <f>ROUND(N(data!C254)+N(data!C255),0)</f>
        <v>57896484</v>
      </c>
      <c r="CF2" s="199">
        <f>ROUND(N(data!D237),0)</f>
        <v>30913861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6" width="8.6640625" style="9" customWidth="1"/>
    <col min="77" max="16384" width="8.6640625" style="9"/>
  </cols>
  <sheetData>
    <row r="1" spans="1:87" s="10" customFormat="1" ht="12.6" customHeight="1" x14ac:dyDescent="0.25">
      <c r="A1" s="10" t="s">
        <v>1161</v>
      </c>
      <c r="B1" s="12" t="s">
        <v>1162</v>
      </c>
      <c r="C1" s="12" t="s">
        <v>1163</v>
      </c>
      <c r="D1" s="10" t="s">
        <v>1164</v>
      </c>
      <c r="E1" s="10" t="s">
        <v>1165</v>
      </c>
      <c r="F1" s="10" t="s">
        <v>1166</v>
      </c>
      <c r="G1" s="10" t="s">
        <v>1167</v>
      </c>
      <c r="H1" s="10" t="s">
        <v>1168</v>
      </c>
      <c r="I1" s="10" t="s">
        <v>1169</v>
      </c>
      <c r="J1" s="10" t="s">
        <v>1170</v>
      </c>
      <c r="K1" s="10" t="s">
        <v>1171</v>
      </c>
      <c r="L1" s="10" t="s">
        <v>1172</v>
      </c>
      <c r="M1" s="10" t="s">
        <v>1173</v>
      </c>
      <c r="N1" s="10" t="s">
        <v>1174</v>
      </c>
      <c r="O1" s="10" t="s">
        <v>1175</v>
      </c>
      <c r="P1" s="10" t="s">
        <v>1176</v>
      </c>
      <c r="Q1" s="10" t="s">
        <v>1177</v>
      </c>
      <c r="R1" s="10" t="s">
        <v>1178</v>
      </c>
      <c r="S1" s="10" t="s">
        <v>1179</v>
      </c>
      <c r="T1" s="10" t="s">
        <v>1180</v>
      </c>
      <c r="U1" s="10" t="s">
        <v>1181</v>
      </c>
      <c r="V1" s="10" t="s">
        <v>1182</v>
      </c>
      <c r="W1" s="10" t="s">
        <v>1183</v>
      </c>
      <c r="X1" s="10" t="s">
        <v>1184</v>
      </c>
      <c r="Y1" s="10" t="s">
        <v>1185</v>
      </c>
      <c r="Z1" s="10" t="s">
        <v>1186</v>
      </c>
      <c r="AA1" s="10" t="s">
        <v>1187</v>
      </c>
      <c r="AB1" s="10" t="s">
        <v>1188</v>
      </c>
      <c r="AC1" s="10" t="s">
        <v>1189</v>
      </c>
      <c r="AD1" s="10" t="s">
        <v>1190</v>
      </c>
      <c r="AE1" s="10" t="s">
        <v>1191</v>
      </c>
      <c r="AF1" s="10" t="s">
        <v>1192</v>
      </c>
      <c r="AG1" s="10" t="s">
        <v>1193</v>
      </c>
      <c r="AH1" s="10" t="s">
        <v>1194</v>
      </c>
      <c r="AI1" s="10" t="s">
        <v>1195</v>
      </c>
      <c r="AJ1" s="10" t="s">
        <v>1196</v>
      </c>
      <c r="AK1" s="10" t="s">
        <v>1197</v>
      </c>
      <c r="AL1" s="10" t="s">
        <v>1198</v>
      </c>
      <c r="AM1" s="10" t="s">
        <v>1199</v>
      </c>
      <c r="AN1" s="10" t="s">
        <v>1200</v>
      </c>
      <c r="AO1" s="10" t="s">
        <v>1201</v>
      </c>
      <c r="AP1" s="10" t="s">
        <v>1202</v>
      </c>
      <c r="AQ1" s="10" t="s">
        <v>1203</v>
      </c>
      <c r="AR1" s="10" t="s">
        <v>1204</v>
      </c>
      <c r="AS1" s="10" t="s">
        <v>1205</v>
      </c>
      <c r="AT1" s="10" t="s">
        <v>1206</v>
      </c>
      <c r="AU1" s="10" t="s">
        <v>1207</v>
      </c>
      <c r="AV1" s="10" t="s">
        <v>1208</v>
      </c>
      <c r="AW1" s="10" t="s">
        <v>1209</v>
      </c>
      <c r="AX1" s="10" t="s">
        <v>1210</v>
      </c>
      <c r="AY1" s="10" t="s">
        <v>1211</v>
      </c>
      <c r="AZ1" s="10" t="s">
        <v>1212</v>
      </c>
      <c r="BA1" s="10" t="s">
        <v>1213</v>
      </c>
      <c r="BB1" s="10" t="s">
        <v>1214</v>
      </c>
      <c r="BC1" s="10" t="s">
        <v>1215</v>
      </c>
      <c r="BD1" s="10" t="s">
        <v>1216</v>
      </c>
      <c r="BE1" s="10" t="s">
        <v>1217</v>
      </c>
      <c r="BF1" s="10" t="s">
        <v>1218</v>
      </c>
      <c r="BG1" s="10" t="s">
        <v>1219</v>
      </c>
      <c r="BH1" s="10" t="s">
        <v>1220</v>
      </c>
      <c r="BI1" s="10" t="s">
        <v>1221</v>
      </c>
      <c r="BJ1" s="10" t="s">
        <v>1222</v>
      </c>
      <c r="BK1" s="10" t="s">
        <v>1223</v>
      </c>
      <c r="BL1" s="10" t="s">
        <v>1224</v>
      </c>
      <c r="BM1" s="10" t="s">
        <v>1225</v>
      </c>
      <c r="BN1" s="10" t="s">
        <v>1226</v>
      </c>
      <c r="BO1" s="10" t="s">
        <v>1227</v>
      </c>
      <c r="BP1" s="10" t="s">
        <v>1228</v>
      </c>
      <c r="BQ1" s="10" t="s">
        <v>1229</v>
      </c>
      <c r="BR1" s="10" t="s">
        <v>1230</v>
      </c>
      <c r="BS1" s="10" t="s">
        <v>1231</v>
      </c>
    </row>
    <row r="2" spans="1:87" s="169" customFormat="1" ht="12.6" customHeight="1" x14ac:dyDescent="0.25">
      <c r="A2" s="12" t="str">
        <f>RIGHT(data!C97,3)</f>
        <v>176</v>
      </c>
      <c r="B2" s="12" t="str">
        <f>RIGHT(data!C96,4)</f>
        <v>2024</v>
      </c>
      <c r="C2" s="12" t="s">
        <v>1160</v>
      </c>
      <c r="D2" s="198">
        <f>ROUND(N(data!C127),0)</f>
        <v>24790</v>
      </c>
      <c r="E2" s="198">
        <f>ROUND(N(data!C128),0)</f>
        <v>0</v>
      </c>
      <c r="F2" s="198">
        <f>ROUND(N(data!C129),0)</f>
        <v>0</v>
      </c>
      <c r="G2" s="198">
        <f>ROUND(N(data!C130),0)</f>
        <v>3396</v>
      </c>
      <c r="H2" s="198">
        <f>ROUND(N(data!D127),0)</f>
        <v>117290</v>
      </c>
      <c r="I2" s="198">
        <f>ROUND(N(data!D128),0)</f>
        <v>0</v>
      </c>
      <c r="J2" s="198">
        <f>ROUND(N(data!D129),0)</f>
        <v>0</v>
      </c>
      <c r="K2" s="198">
        <f>ROUND(N(data!D130),0)</f>
        <v>5218</v>
      </c>
      <c r="L2" s="198">
        <f>ROUND(N(data!C132),0)</f>
        <v>87</v>
      </c>
      <c r="M2" s="198">
        <f>ROUND(N(data!C133),0)</f>
        <v>62</v>
      </c>
      <c r="N2" s="198">
        <f>ROUND(N(data!C134),0)</f>
        <v>103</v>
      </c>
      <c r="O2" s="198">
        <f>ROUND(N(data!C135),0)</f>
        <v>0</v>
      </c>
      <c r="P2" s="198">
        <f>ROUND(N(data!C136),0)</f>
        <v>61</v>
      </c>
      <c r="Q2" s="198">
        <f>ROUND(N(data!C137),0)</f>
        <v>0</v>
      </c>
      <c r="R2" s="198">
        <f>ROUND(N(data!C138),0)</f>
        <v>27</v>
      </c>
      <c r="S2" s="198">
        <f>ROUND(N(data!C139),0)</f>
        <v>0</v>
      </c>
      <c r="T2" s="198">
        <f>ROUND(N(data!C140),0)</f>
        <v>0</v>
      </c>
      <c r="U2" s="198">
        <f>ROUND(N(data!C141),0)</f>
        <v>0</v>
      </c>
      <c r="V2" s="198">
        <f>ROUND(N(data!C142),0)</f>
        <v>92</v>
      </c>
      <c r="W2" s="198">
        <f>ROUND(N(data!C144),0)</f>
        <v>497</v>
      </c>
      <c r="X2" s="198">
        <f>ROUND(N(data!C145),0)</f>
        <v>0</v>
      </c>
      <c r="Y2" s="198">
        <f>ROUND(N(data!B154),0)</f>
        <v>11059</v>
      </c>
      <c r="Z2" s="198">
        <f>ROUND(N(data!B155),0)</f>
        <v>59387</v>
      </c>
      <c r="AA2" s="198">
        <f>ROUND(N(data!B156),0)</f>
        <v>149848</v>
      </c>
      <c r="AB2" s="198">
        <f>ROUND(N(data!B157),0)</f>
        <v>964464227</v>
      </c>
      <c r="AC2" s="198">
        <f>ROUND(N(data!B158),0)</f>
        <v>1286703504</v>
      </c>
      <c r="AD2" s="198">
        <f>ROUND(N(data!C154),0)</f>
        <v>5303</v>
      </c>
      <c r="AE2" s="198">
        <f>ROUND(N(data!C155),0)</f>
        <v>25092</v>
      </c>
      <c r="AF2" s="198">
        <f>ROUND(N(data!C156),0)</f>
        <v>64325</v>
      </c>
      <c r="AG2" s="198">
        <f>ROUND(N(data!C157),0)</f>
        <v>432927419</v>
      </c>
      <c r="AH2" s="198">
        <f>ROUND(N(data!C158),0)</f>
        <v>653939293</v>
      </c>
      <c r="AI2" s="198">
        <f>ROUND(N(data!D154),0)</f>
        <v>8427</v>
      </c>
      <c r="AJ2" s="198">
        <f>ROUND(N(data!D155),0)</f>
        <v>39873</v>
      </c>
      <c r="AK2" s="198">
        <f>ROUND(N(data!D156),0)</f>
        <v>194326</v>
      </c>
      <c r="AL2" s="198">
        <f>ROUND(N(data!D157),0)</f>
        <v>539583467</v>
      </c>
      <c r="AM2" s="198">
        <f>ROUND(N(data!D158),0)</f>
        <v>1344097567</v>
      </c>
      <c r="AN2" s="198">
        <f>ROUND(N(data!B160),0)</f>
        <v>0</v>
      </c>
      <c r="AO2" s="198">
        <f>ROUND(N(data!B161),0)</f>
        <v>0</v>
      </c>
      <c r="AP2" s="198">
        <f>ROUND(N(data!B162),0)</f>
        <v>0</v>
      </c>
      <c r="AQ2" s="198">
        <f>ROUND(N(data!B163),0)</f>
        <v>0</v>
      </c>
      <c r="AR2" s="198">
        <f>ROUND(N(data!B164),0)</f>
        <v>0</v>
      </c>
      <c r="AS2" s="198">
        <f>ROUND(N(data!C160),0)</f>
        <v>0</v>
      </c>
      <c r="AT2" s="198">
        <f>ROUND(N(data!C161),0)</f>
        <v>0</v>
      </c>
      <c r="AU2" s="198">
        <f>ROUND(N(data!C162),0)</f>
        <v>0</v>
      </c>
      <c r="AV2" s="198">
        <f>ROUND(N(data!C163),0)</f>
        <v>0</v>
      </c>
      <c r="AW2" s="198">
        <f>ROUND(N(data!C164),0)</f>
        <v>0</v>
      </c>
      <c r="AX2" s="198">
        <f>ROUND(N(data!D160),0)</f>
        <v>0</v>
      </c>
      <c r="AY2" s="198">
        <f>ROUND(N(data!D161),0)</f>
        <v>0</v>
      </c>
      <c r="AZ2" s="198">
        <f>ROUND(N(data!D162),0)</f>
        <v>0</v>
      </c>
      <c r="BA2" s="198">
        <f>ROUND(N(data!D163),0)</f>
        <v>0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0</v>
      </c>
      <c r="BS2" s="198">
        <f>ROUND(N(data!C173),0)</f>
        <v>0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workbookViewId="0">
      <selection activeCell="B17" sqref="B17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7" width="8.6640625" style="9" customWidth="1"/>
    <col min="118" max="16384" width="8.6640625" style="9"/>
  </cols>
  <sheetData>
    <row r="1" spans="1:112" s="10" customFormat="1" ht="12.75" customHeight="1" x14ac:dyDescent="0.25">
      <c r="A1" s="10" t="s">
        <v>1232</v>
      </c>
      <c r="B1" s="12" t="s">
        <v>1233</v>
      </c>
      <c r="C1" s="12" t="s">
        <v>1234</v>
      </c>
      <c r="D1" s="10" t="s">
        <v>1235</v>
      </c>
      <c r="E1" s="10" t="s">
        <v>1236</v>
      </c>
      <c r="F1" s="10" t="s">
        <v>1237</v>
      </c>
      <c r="G1" s="10" t="s">
        <v>1238</v>
      </c>
      <c r="H1" s="10" t="s">
        <v>1239</v>
      </c>
      <c r="I1" s="10" t="s">
        <v>1240</v>
      </c>
      <c r="J1" s="10" t="s">
        <v>1241</v>
      </c>
      <c r="K1" s="10" t="s">
        <v>1242</v>
      </c>
      <c r="L1" s="10" t="s">
        <v>1243</v>
      </c>
      <c r="M1" s="10" t="s">
        <v>1244</v>
      </c>
      <c r="N1" s="10" t="s">
        <v>1245</v>
      </c>
      <c r="O1" s="10" t="s">
        <v>1246</v>
      </c>
      <c r="P1" s="10" t="s">
        <v>1247</v>
      </c>
      <c r="Q1" s="10" t="s">
        <v>1248</v>
      </c>
      <c r="R1" s="10" t="s">
        <v>1249</v>
      </c>
      <c r="S1" s="10" t="s">
        <v>1250</v>
      </c>
      <c r="T1" s="10" t="s">
        <v>1251</v>
      </c>
      <c r="U1" s="10" t="s">
        <v>1252</v>
      </c>
      <c r="V1" s="10" t="s">
        <v>1253</v>
      </c>
      <c r="W1" s="10" t="s">
        <v>1254</v>
      </c>
      <c r="X1" s="10" t="s">
        <v>1255</v>
      </c>
      <c r="Y1" s="10" t="s">
        <v>1256</v>
      </c>
      <c r="Z1" s="10" t="s">
        <v>1257</v>
      </c>
      <c r="AA1" s="10" t="s">
        <v>1258</v>
      </c>
      <c r="AB1" s="10" t="s">
        <v>1259</v>
      </c>
      <c r="AC1" s="10" t="s">
        <v>1260</v>
      </c>
      <c r="AD1" s="10" t="s">
        <v>1261</v>
      </c>
      <c r="AE1" s="10" t="s">
        <v>1262</v>
      </c>
      <c r="AF1" s="10" t="s">
        <v>1263</v>
      </c>
      <c r="AG1" s="10" t="s">
        <v>1264</v>
      </c>
      <c r="AH1" s="10" t="s">
        <v>1265</v>
      </c>
      <c r="AI1" s="10" t="s">
        <v>1266</v>
      </c>
      <c r="AJ1" s="10" t="s">
        <v>1267</v>
      </c>
      <c r="AK1" s="10" t="s">
        <v>1268</v>
      </c>
      <c r="AL1" s="10" t="s">
        <v>1269</v>
      </c>
      <c r="AM1" s="10" t="s">
        <v>1270</v>
      </c>
      <c r="AN1" s="10" t="s">
        <v>1271</v>
      </c>
      <c r="AO1" s="10" t="s">
        <v>1272</v>
      </c>
      <c r="AP1" s="10" t="s">
        <v>1273</v>
      </c>
      <c r="AQ1" s="10" t="s">
        <v>1274</v>
      </c>
      <c r="AR1" s="10" t="s">
        <v>1275</v>
      </c>
      <c r="AS1" s="10" t="s">
        <v>1276</v>
      </c>
      <c r="AT1" s="10" t="s">
        <v>1277</v>
      </c>
      <c r="AU1" s="10" t="s">
        <v>1278</v>
      </c>
      <c r="AV1" s="10" t="s">
        <v>1279</v>
      </c>
      <c r="AW1" s="10" t="s">
        <v>1280</v>
      </c>
      <c r="AX1" s="10" t="s">
        <v>1281</v>
      </c>
      <c r="AY1" s="10" t="s">
        <v>1282</v>
      </c>
      <c r="AZ1" s="10" t="s">
        <v>1283</v>
      </c>
      <c r="BA1" s="10" t="s">
        <v>1284</v>
      </c>
      <c r="BB1" s="10" t="s">
        <v>1285</v>
      </c>
      <c r="BC1" s="10" t="s">
        <v>1286</v>
      </c>
      <c r="BD1" s="10" t="s">
        <v>1287</v>
      </c>
      <c r="BE1" s="10" t="s">
        <v>1288</v>
      </c>
      <c r="BF1" s="10" t="s">
        <v>1289</v>
      </c>
      <c r="BG1" s="10" t="s">
        <v>1290</v>
      </c>
      <c r="BH1" s="10" t="s">
        <v>1291</v>
      </c>
      <c r="BI1" s="10" t="s">
        <v>1292</v>
      </c>
      <c r="BJ1" s="10" t="s">
        <v>1293</v>
      </c>
      <c r="BK1" s="10" t="s">
        <v>1294</v>
      </c>
      <c r="BL1" s="10" t="s">
        <v>1295</v>
      </c>
      <c r="BM1" s="10" t="s">
        <v>1296</v>
      </c>
      <c r="BN1" s="10" t="s">
        <v>1297</v>
      </c>
      <c r="BO1" s="10" t="s">
        <v>1298</v>
      </c>
      <c r="BP1" s="10" t="s">
        <v>1299</v>
      </c>
      <c r="BQ1" s="10" t="s">
        <v>1300</v>
      </c>
      <c r="BR1" s="10" t="s">
        <v>1301</v>
      </c>
      <c r="BS1" s="10" t="s">
        <v>1302</v>
      </c>
      <c r="BT1" s="10" t="s">
        <v>1303</v>
      </c>
      <c r="BU1" s="10" t="s">
        <v>1304</v>
      </c>
      <c r="BV1" s="10" t="s">
        <v>1305</v>
      </c>
      <c r="BW1" s="10" t="s">
        <v>1306</v>
      </c>
      <c r="BX1" s="10" t="s">
        <v>1307</v>
      </c>
      <c r="BY1" s="10" t="s">
        <v>1308</v>
      </c>
      <c r="BZ1" s="10" t="s">
        <v>1309</v>
      </c>
      <c r="CA1" s="10" t="s">
        <v>1310</v>
      </c>
      <c r="CB1" s="10" t="s">
        <v>1311</v>
      </c>
      <c r="CC1" s="10" t="s">
        <v>1312</v>
      </c>
      <c r="CD1" s="10" t="s">
        <v>1313</v>
      </c>
      <c r="CE1" s="10" t="s">
        <v>1314</v>
      </c>
      <c r="CF1" s="10" t="s">
        <v>1315</v>
      </c>
      <c r="CG1" s="10" t="s">
        <v>1316</v>
      </c>
      <c r="CH1" s="10" t="s">
        <v>1317</v>
      </c>
      <c r="CI1" s="10" t="s">
        <v>1318</v>
      </c>
      <c r="CJ1" s="10" t="s">
        <v>1319</v>
      </c>
      <c r="CK1" s="10" t="s">
        <v>1320</v>
      </c>
      <c r="CL1" s="10" t="s">
        <v>1321</v>
      </c>
      <c r="CM1" s="10" t="s">
        <v>1322</v>
      </c>
      <c r="CN1" s="10" t="s">
        <v>1323</v>
      </c>
      <c r="CO1" s="10" t="s">
        <v>1324</v>
      </c>
      <c r="CP1" s="10" t="s">
        <v>1325</v>
      </c>
      <c r="CQ1" s="197" t="s">
        <v>1326</v>
      </c>
      <c r="CR1" s="197" t="s">
        <v>1327</v>
      </c>
      <c r="CS1" s="197" t="s">
        <v>1328</v>
      </c>
      <c r="CT1" s="197" t="s">
        <v>1329</v>
      </c>
      <c r="CU1" s="197" t="s">
        <v>1330</v>
      </c>
      <c r="CV1" s="197" t="s">
        <v>1331</v>
      </c>
      <c r="CW1" s="197" t="s">
        <v>1332</v>
      </c>
      <c r="CX1" s="197" t="s">
        <v>1333</v>
      </c>
      <c r="CY1" s="197" t="s">
        <v>1334</v>
      </c>
      <c r="CZ1" s="197" t="s">
        <v>1335</v>
      </c>
      <c r="DA1" s="197" t="s">
        <v>1336</v>
      </c>
      <c r="DB1" s="197" t="s">
        <v>1337</v>
      </c>
      <c r="DC1" s="197" t="s">
        <v>1338</v>
      </c>
      <c r="DD1" s="197" t="s">
        <v>1339</v>
      </c>
      <c r="DE1" s="10" t="s">
        <v>1340</v>
      </c>
      <c r="DF1" s="10" t="s">
        <v>1341</v>
      </c>
      <c r="DG1" s="10" t="s">
        <v>1342</v>
      </c>
      <c r="DH1" s="10" t="s">
        <v>1343</v>
      </c>
    </row>
    <row r="2" spans="1:112" s="169" customFormat="1" ht="12.6" customHeight="1" x14ac:dyDescent="0.25">
      <c r="A2" s="199" t="str">
        <f>RIGHT(data!C97,3)</f>
        <v>176</v>
      </c>
      <c r="B2" s="200" t="str">
        <f>RIGHT(data!C96,4)</f>
        <v>2024</v>
      </c>
      <c r="C2" s="12" t="s">
        <v>1160</v>
      </c>
      <c r="D2" s="198">
        <f>ROUND(N(data!C266),0)</f>
        <v>0</v>
      </c>
      <c r="E2" s="198">
        <f>ROUND(N(data!C267),0)</f>
        <v>0</v>
      </c>
      <c r="F2" s="198">
        <f>ROUND(N(data!C268),0)</f>
        <v>729601994</v>
      </c>
      <c r="G2" s="198">
        <f>ROUND(N(data!C269),0)</f>
        <v>507020040</v>
      </c>
      <c r="H2" s="198">
        <f>ROUND(N(data!C270),0)</f>
        <v>0</v>
      </c>
      <c r="I2" s="198">
        <f>ROUND(N(data!C271),0)</f>
        <v>3708761</v>
      </c>
      <c r="J2" s="198">
        <f>ROUND(N(data!C272),0)</f>
        <v>0</v>
      </c>
      <c r="K2" s="198">
        <f>ROUND(N(data!C273),0)</f>
        <v>18751155</v>
      </c>
      <c r="L2" s="198">
        <f>ROUND(N(data!C274),0)</f>
        <v>3350249</v>
      </c>
      <c r="M2" s="198">
        <f>ROUND(N(data!C275),0)</f>
        <v>0</v>
      </c>
      <c r="N2" s="198">
        <f>ROUND(N(data!C278),0)</f>
        <v>0</v>
      </c>
      <c r="O2" s="198">
        <f>ROUND(N(data!C279),0)</f>
        <v>0</v>
      </c>
      <c r="P2" s="198">
        <f>ROUND(N(data!C280),0)</f>
        <v>0</v>
      </c>
      <c r="Q2" s="198">
        <f>ROUND(N(data!C283),0)</f>
        <v>7581710</v>
      </c>
      <c r="R2" s="198">
        <f>ROUND(N(data!C284),0)</f>
        <v>4702752</v>
      </c>
      <c r="S2" s="198">
        <f>ROUND(N(data!C285),0)</f>
        <v>636673170</v>
      </c>
      <c r="T2" s="198">
        <f>ROUND(N(data!C286),0)</f>
        <v>0</v>
      </c>
      <c r="U2" s="198">
        <f>ROUND(N(data!C287),0)</f>
        <v>0</v>
      </c>
      <c r="V2" s="198">
        <f>ROUND(N(data!C288),0)</f>
        <v>237017186</v>
      </c>
      <c r="W2" s="198">
        <f>ROUND(N(data!C289),0)</f>
        <v>14630078</v>
      </c>
      <c r="X2" s="198">
        <f>ROUND(N(data!C290),0)</f>
        <v>14507920</v>
      </c>
      <c r="Y2" s="198">
        <f>ROUND(N(data!C291),0)</f>
        <v>0</v>
      </c>
      <c r="Z2" s="198">
        <f>ROUND(N(data!C292),0)</f>
        <v>554354361</v>
      </c>
      <c r="AA2" s="198">
        <f>ROUND(N(data!C295),0)</f>
        <v>0</v>
      </c>
      <c r="AB2" s="198">
        <f>ROUND(N(data!C296),0)</f>
        <v>0</v>
      </c>
      <c r="AC2" s="198">
        <f>ROUND(N(data!C297),0)</f>
        <v>0</v>
      </c>
      <c r="AD2" s="198">
        <f>ROUND(N(data!C298),0)</f>
        <v>106907</v>
      </c>
      <c r="AE2" s="198">
        <f>ROUND(N(data!C302),0)</f>
        <v>0</v>
      </c>
      <c r="AF2" s="198">
        <f>ROUND(N(data!C303),0)</f>
        <v>0</v>
      </c>
      <c r="AG2" s="198">
        <f>ROUND(N(data!C304),0)</f>
        <v>0</v>
      </c>
      <c r="AH2" s="198">
        <f>ROUND(N(data!C305),0)</f>
        <v>0</v>
      </c>
      <c r="AI2" s="198">
        <f>ROUND(N(data!C314),0)</f>
        <v>0</v>
      </c>
      <c r="AJ2" s="198">
        <f>ROUND(N(data!C315),0)</f>
        <v>47388129</v>
      </c>
      <c r="AK2" s="198">
        <f>ROUND(N(data!C316),0)</f>
        <v>320884569</v>
      </c>
      <c r="AL2" s="198">
        <f>ROUND(N(data!C317),0)</f>
        <v>0</v>
      </c>
      <c r="AM2" s="198">
        <f>ROUND(N(data!C318),0)</f>
        <v>0</v>
      </c>
      <c r="AN2" s="198">
        <f>ROUND(N(data!C319),0)</f>
        <v>11536658</v>
      </c>
      <c r="AO2" s="198">
        <f>ROUND(N(data!C320),0)</f>
        <v>1400000</v>
      </c>
      <c r="AP2" s="198">
        <f>ROUND(N(data!C321),0)</f>
        <v>0</v>
      </c>
      <c r="AQ2" s="198">
        <f>ROUND(N(data!C322),0)</f>
        <v>0</v>
      </c>
      <c r="AR2" s="198">
        <f>ROUND(N(data!C323),0)</f>
        <v>0</v>
      </c>
      <c r="AS2" s="198">
        <f>ROUND(N(data!C326),0)</f>
        <v>0</v>
      </c>
      <c r="AT2" s="198">
        <f>ROUND(N(data!C327),0)</f>
        <v>0</v>
      </c>
      <c r="AU2" s="198">
        <f>ROUND(N(data!C328),0)</f>
        <v>0</v>
      </c>
      <c r="AV2" s="198">
        <f>ROUND(N(data!C331),0)</f>
        <v>0</v>
      </c>
      <c r="AW2" s="198">
        <f>ROUND(N(data!C332),0)</f>
        <v>0</v>
      </c>
      <c r="AX2" s="198">
        <f>ROUND(N(data!C333),0)</f>
        <v>0</v>
      </c>
      <c r="AY2" s="198">
        <f>ROUND(N(data!C334),0)</f>
        <v>0</v>
      </c>
      <c r="AZ2" s="198">
        <f>ROUND(N(data!C335),0)</f>
        <v>0</v>
      </c>
      <c r="BA2" s="198">
        <f>ROUND(N(data!C336),0)</f>
        <v>0</v>
      </c>
      <c r="BB2" s="198">
        <f>ROUND(N(data!C337),0)</f>
        <v>0</v>
      </c>
      <c r="BC2" s="198">
        <f>ROUND(N(data!C338),0)</f>
        <v>0</v>
      </c>
      <c r="BD2" s="198">
        <f>ROUND(N(data!C339),0)</f>
        <v>0</v>
      </c>
      <c r="BE2" s="198">
        <f>ROUND(N(data!C343),0)</f>
        <v>228048124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0</v>
      </c>
      <c r="BJ2" s="198">
        <f>ROUND(N(data!C349),0)</f>
        <v>0</v>
      </c>
      <c r="BK2" s="198">
        <f>ROUND(N(data!CE60),2)</f>
        <v>3829</v>
      </c>
      <c r="BL2" s="198">
        <f>ROUND(N(data!C358),0)</f>
        <v>1936975113</v>
      </c>
      <c r="BM2" s="198">
        <f>ROUND(N(data!C359),0)</f>
        <v>3284740364</v>
      </c>
      <c r="BN2" s="198">
        <f>ROUND(N(data!C363),0)</f>
        <v>3597348630</v>
      </c>
      <c r="BO2" s="198">
        <f>ROUND(N(data!C364),0)</f>
        <v>91878361</v>
      </c>
      <c r="BP2" s="198">
        <f>ROUND(N(data!C365),0)</f>
        <v>57896484</v>
      </c>
      <c r="BQ2" s="198">
        <f>ROUND(N(data!D381),0)</f>
        <v>102034884</v>
      </c>
      <c r="BR2" s="198">
        <f>ROUND(N(data!C370),0)</f>
        <v>0</v>
      </c>
      <c r="BS2" s="198">
        <f>ROUND(N(data!C371),0)</f>
        <v>760216</v>
      </c>
      <c r="BT2" s="198">
        <f>ROUND(N(data!C372),0)</f>
        <v>0</v>
      </c>
      <c r="BU2" s="198">
        <f>ROUND(N(data!C373),0)</f>
        <v>0</v>
      </c>
      <c r="BV2" s="198">
        <f>ROUND(N(data!C374),0)</f>
        <v>0</v>
      </c>
      <c r="BW2" s="198">
        <f>ROUND(N(data!C375),0)</f>
        <v>0</v>
      </c>
      <c r="BX2" s="198">
        <f>ROUND(N(data!C376),0)</f>
        <v>0</v>
      </c>
      <c r="BY2" s="198">
        <f>ROUND(N(data!C377),0)</f>
        <v>94968699</v>
      </c>
      <c r="BZ2" s="198">
        <f>ROUND(N(data!C378),0)</f>
        <v>41431</v>
      </c>
      <c r="CA2" s="198">
        <f>ROUND(N(data!C379),0)</f>
        <v>21637</v>
      </c>
      <c r="CB2" s="198">
        <f>ROUND(N(data!C380),0)</f>
        <v>6242901</v>
      </c>
      <c r="CC2" s="198">
        <f>ROUND(N(data!C382),0)</f>
        <v>0</v>
      </c>
      <c r="CD2" s="198">
        <f>ROUND(N(data!C389),0)</f>
        <v>388880580</v>
      </c>
      <c r="CE2" s="198">
        <f>ROUND(N(data!C390),0)</f>
        <v>86477484</v>
      </c>
      <c r="CF2" s="198">
        <f>ROUND(N(data!C391),0)</f>
        <v>54367529</v>
      </c>
      <c r="CG2" s="198">
        <f>ROUND(N(data!C392),0)</f>
        <v>348030151</v>
      </c>
      <c r="CH2" s="198">
        <f>ROUND(N(data!C393),0)</f>
        <v>0</v>
      </c>
      <c r="CI2" s="198">
        <f>ROUND(N(data!C394),0)</f>
        <v>319683489</v>
      </c>
      <c r="CJ2" s="198">
        <f>ROUND(N(data!C395),0)</f>
        <v>20429356</v>
      </c>
      <c r="CK2" s="198">
        <f>ROUND(N(data!C396),0)</f>
        <v>9920201</v>
      </c>
      <c r="CL2" s="198">
        <f>ROUND(N(data!C397),0)</f>
        <v>0</v>
      </c>
      <c r="CM2" s="198">
        <f>ROUND(N(data!C398),0)</f>
        <v>0</v>
      </c>
      <c r="CN2" s="198">
        <f>ROUND(N(data!C399),0)</f>
        <v>17999066</v>
      </c>
      <c r="CO2" s="198">
        <f>ROUND(N(data!C362),0)</f>
        <v>30913861</v>
      </c>
      <c r="CP2" s="198">
        <f>ROUND(N(data!D415),0)</f>
        <v>247205856</v>
      </c>
      <c r="CQ2" s="52">
        <f>ROUND(N(data!C401),0)</f>
        <v>3941236</v>
      </c>
      <c r="CR2" s="52">
        <f>ROUND(N(data!C402),0)</f>
        <v>29285977</v>
      </c>
      <c r="CS2" s="52">
        <f>ROUND(N(data!C403),0)</f>
        <v>2062320</v>
      </c>
      <c r="CT2" s="52">
        <f>ROUND(N(data!C404),0)</f>
        <v>14844643</v>
      </c>
      <c r="CU2" s="52">
        <f>ROUND(N(data!C405),0)</f>
        <v>2737088</v>
      </c>
      <c r="CV2" s="52">
        <f>ROUND(N(data!C406),0)</f>
        <v>58784</v>
      </c>
      <c r="CW2" s="52">
        <f>ROUND(N(data!C407),0)</f>
        <v>0</v>
      </c>
      <c r="CX2" s="52">
        <f>ROUND(N(data!C408),0)</f>
        <v>3856214</v>
      </c>
      <c r="CY2" s="52">
        <f>ROUND(N(data!C409),0)</f>
        <v>115737946</v>
      </c>
      <c r="CZ2" s="52">
        <f>ROUND(N(data!C410),0)</f>
        <v>35547</v>
      </c>
      <c r="DA2" s="52">
        <f>ROUND(N(data!C411),0)</f>
        <v>340198</v>
      </c>
      <c r="DB2" s="52">
        <f>ROUND(N(data!C412),0)</f>
        <v>9217340</v>
      </c>
      <c r="DC2" s="52">
        <f>ROUND(N(data!C413),0)</f>
        <v>2364917</v>
      </c>
      <c r="DD2" s="52">
        <f>ROUND(N(data!C414),0)</f>
        <v>62723646</v>
      </c>
      <c r="DE2" s="52">
        <f>ROUND(N(data!C419),0)</f>
        <v>0</v>
      </c>
      <c r="DF2" s="198">
        <f>ROUND(N(data!D420),0)</f>
        <v>0</v>
      </c>
      <c r="DG2" s="198">
        <f>ROUND(N(data!C422),0)</f>
        <v>0</v>
      </c>
      <c r="DH2" s="198">
        <f>ROUND(N(data!C423),0)</f>
        <v>0</v>
      </c>
    </row>
  </sheetData>
  <sheetProtection algorithmName="SHA-512" hashValue="jdLy0GDRBL3JOj1mHSMU4B21FFMweAzg0Ya0SqzdF+YszovNWYc3dm7Ml+YjWnVuLaxMdlyod1WYGXAcfIIQjw==" saltValue="mxeYvV2c22TtkQcwoXHPNA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2" width="8.6640625" style="9" customWidth="1"/>
    <col min="43" max="16384" width="8.6640625" style="9"/>
  </cols>
  <sheetData>
    <row r="1" spans="1:89" s="10" customFormat="1" ht="12.6" customHeight="1" x14ac:dyDescent="0.25">
      <c r="A1" s="10" t="s">
        <v>1344</v>
      </c>
      <c r="B1" s="12" t="s">
        <v>1345</v>
      </c>
      <c r="C1" s="10" t="s">
        <v>1346</v>
      </c>
      <c r="D1" s="12" t="s">
        <v>1347</v>
      </c>
      <c r="E1" s="10" t="s">
        <v>1348</v>
      </c>
      <c r="F1" s="10" t="s">
        <v>1349</v>
      </c>
      <c r="G1" s="10" t="s">
        <v>1350</v>
      </c>
      <c r="H1" s="10" t="s">
        <v>1351</v>
      </c>
      <c r="I1" s="10" t="s">
        <v>1352</v>
      </c>
      <c r="J1" s="10" t="s">
        <v>1353</v>
      </c>
      <c r="K1" s="10" t="s">
        <v>1354</v>
      </c>
      <c r="L1" s="10" t="s">
        <v>1355</v>
      </c>
      <c r="M1" s="10" t="s">
        <v>1356</v>
      </c>
      <c r="N1" s="10" t="s">
        <v>1357</v>
      </c>
      <c r="O1" s="10" t="s">
        <v>1358</v>
      </c>
      <c r="P1" s="10" t="s">
        <v>1326</v>
      </c>
      <c r="Q1" s="10" t="s">
        <v>1327</v>
      </c>
      <c r="R1" s="10" t="s">
        <v>1328</v>
      </c>
      <c r="S1" s="10" t="s">
        <v>1329</v>
      </c>
      <c r="T1" s="10" t="s">
        <v>1330</v>
      </c>
      <c r="U1" s="10" t="s">
        <v>1331</v>
      </c>
      <c r="V1" s="10" t="s">
        <v>1332</v>
      </c>
      <c r="W1" s="10" t="s">
        <v>1333</v>
      </c>
      <c r="X1" s="10" t="s">
        <v>1334</v>
      </c>
      <c r="Y1" s="10" t="s">
        <v>1335</v>
      </c>
      <c r="Z1" s="10" t="s">
        <v>1336</v>
      </c>
      <c r="AA1" s="10" t="s">
        <v>1337</v>
      </c>
      <c r="AB1" s="10" t="s">
        <v>1338</v>
      </c>
      <c r="AC1" s="10" t="s">
        <v>1339</v>
      </c>
      <c r="AD1" s="10" t="s">
        <v>1359</v>
      </c>
      <c r="AE1" s="10" t="s">
        <v>1360</v>
      </c>
      <c r="AF1" s="10" t="s">
        <v>1361</v>
      </c>
      <c r="AG1" s="10" t="s">
        <v>1362</v>
      </c>
      <c r="AH1" s="10" t="s">
        <v>1363</v>
      </c>
      <c r="AI1" s="10" t="s">
        <v>1364</v>
      </c>
      <c r="AJ1" s="10" t="s">
        <v>1365</v>
      </c>
      <c r="AK1" s="10" t="s">
        <v>1366</v>
      </c>
      <c r="AM1" s="14"/>
      <c r="AN1" s="14"/>
      <c r="AO1" s="14"/>
      <c r="AP1" s="14"/>
    </row>
    <row r="2" spans="1:89" s="169" customFormat="1" ht="12.6" customHeight="1" x14ac:dyDescent="0.25">
      <c r="A2" s="12" t="str">
        <f>RIGHT(data!$C$97,3)</f>
        <v>176</v>
      </c>
      <c r="B2" s="200" t="str">
        <f>RIGHT(data!$C$96,4)</f>
        <v>2024</v>
      </c>
      <c r="C2" s="12" t="str">
        <f>data!C$55</f>
        <v>6010</v>
      </c>
      <c r="D2" s="12" t="s">
        <v>1160</v>
      </c>
      <c r="E2" s="198">
        <f>ROUND(N(data!C59), 0)</f>
        <v>65197</v>
      </c>
      <c r="F2" s="271">
        <f>ROUND(N(data!C60), 2)</f>
        <v>589</v>
      </c>
      <c r="G2" s="198">
        <f>ROUND(N(data!C61), 0)</f>
        <v>63438896</v>
      </c>
      <c r="H2" s="198">
        <f>ROUND(N(data!C62), 0)</f>
        <v>14429986</v>
      </c>
      <c r="I2" s="198">
        <f>ROUND(N(data!C63), 0)</f>
        <v>11861637</v>
      </c>
      <c r="J2" s="198">
        <f>ROUND(N(data!C64), 0)</f>
        <v>7091509</v>
      </c>
      <c r="K2" s="198">
        <f>ROUND(N(data!C65), 0)</f>
        <v>0</v>
      </c>
      <c r="L2" s="198">
        <f>ROUND(N(data!C66), 0)</f>
        <v>36596691</v>
      </c>
      <c r="M2" s="198">
        <f>ROUND(N(data!C67), 0)</f>
        <v>2357155</v>
      </c>
      <c r="N2" s="198">
        <f>ROUND(N(data!C68), 0)</f>
        <v>197664</v>
      </c>
      <c r="O2" s="198">
        <f>ROUND(N(data!C69), 0)</f>
        <v>9710809</v>
      </c>
      <c r="P2" s="198">
        <f>ROUND(N(data!C70), 0)</f>
        <v>0</v>
      </c>
      <c r="Q2" s="198">
        <f>ROUND(N(data!C71), 0)</f>
        <v>5135315</v>
      </c>
      <c r="R2" s="198">
        <f>ROUND(N(data!C72), 0)</f>
        <v>4142</v>
      </c>
      <c r="S2" s="198">
        <f>ROUND(N(data!C73), 0)</f>
        <v>1344504</v>
      </c>
      <c r="T2" s="198">
        <f>ROUND(N(data!C74), 0)</f>
        <v>348158</v>
      </c>
      <c r="U2" s="198">
        <f>ROUND(N(data!C75), 0)</f>
        <v>0</v>
      </c>
      <c r="V2" s="198">
        <f>ROUND(N(data!C76), 0)</f>
        <v>0</v>
      </c>
      <c r="W2" s="198">
        <f>ROUND(N(data!C77), 0)</f>
        <v>101279</v>
      </c>
      <c r="X2" s="198">
        <f>ROUND(N(data!C78), 0)</f>
        <v>2153973</v>
      </c>
      <c r="Y2" s="198">
        <f>ROUND(N(data!C79), 0)</f>
        <v>33984</v>
      </c>
      <c r="Z2" s="198">
        <f>ROUND(N(data!C80), 0)</f>
        <v>60877</v>
      </c>
      <c r="AA2" s="198">
        <f>ROUND(N(data!C81), 0)</f>
        <v>0</v>
      </c>
      <c r="AB2" s="198">
        <f>ROUND(N(data!C82), 0)</f>
        <v>325276</v>
      </c>
      <c r="AC2" s="198">
        <f>ROUND(N(data!C83), 0)</f>
        <v>203300</v>
      </c>
      <c r="AD2" s="198">
        <f>ROUND(N(data!C84), 0)</f>
        <v>21870</v>
      </c>
      <c r="AE2" s="198">
        <f>ROUND(N(data!C89), 0)</f>
        <v>324470671</v>
      </c>
      <c r="AF2" s="198">
        <f>ROUND(N(data!C87), 0)</f>
        <v>303319734</v>
      </c>
      <c r="AG2" s="198">
        <f>ROUND(N(data!C90), 0)</f>
        <v>74017</v>
      </c>
      <c r="AH2" s="198">
        <f>ROUND(N(data!C91), 0)</f>
        <v>65516</v>
      </c>
      <c r="AI2" s="198">
        <f>ROUND(N(data!C92), 0)</f>
        <v>22153</v>
      </c>
      <c r="AJ2" s="198">
        <f>ROUND(N(data!C93), 0)</f>
        <v>564504</v>
      </c>
      <c r="AK2" s="271">
        <f>ROUND(N(data!C94), 2)</f>
        <v>407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RIGHT(data!$C$97,3)</f>
        <v>176</v>
      </c>
      <c r="B3" s="200" t="str">
        <f>RIGHT(data!$C$96,4)</f>
        <v>2024</v>
      </c>
      <c r="C3" s="12" t="str">
        <f>data!D$55</f>
        <v>6030</v>
      </c>
      <c r="D3" s="12" t="s">
        <v>1160</v>
      </c>
      <c r="E3" s="198">
        <f>ROUND(N(data!D59), 0)</f>
        <v>30173</v>
      </c>
      <c r="F3" s="271">
        <f>ROUND(N(data!D60), 2)</f>
        <v>446</v>
      </c>
      <c r="G3" s="198">
        <f>ROUND(N(data!D61), 0)</f>
        <v>61184402</v>
      </c>
      <c r="H3" s="198">
        <f>ROUND(N(data!D62), 0)</f>
        <v>11056411</v>
      </c>
      <c r="I3" s="198">
        <f>ROUND(N(data!D63), 0)</f>
        <v>479238</v>
      </c>
      <c r="J3" s="198">
        <f>ROUND(N(data!D64), 0)</f>
        <v>29537114</v>
      </c>
      <c r="K3" s="198">
        <f>ROUND(N(data!D65), 0)</f>
        <v>0</v>
      </c>
      <c r="L3" s="198">
        <f>ROUND(N(data!D66), 0)</f>
        <v>31249636</v>
      </c>
      <c r="M3" s="198">
        <f>ROUND(N(data!D67), 0)</f>
        <v>2913989</v>
      </c>
      <c r="N3" s="198">
        <f>ROUND(N(data!D68), 0)</f>
        <v>539189</v>
      </c>
      <c r="O3" s="198">
        <f>ROUND(N(data!D69), 0)</f>
        <v>11250817</v>
      </c>
      <c r="P3" s="198">
        <f>ROUND(N(data!D70), 0)</f>
        <v>0</v>
      </c>
      <c r="Q3" s="198">
        <f>ROUND(N(data!D71), 0)</f>
        <v>5595812</v>
      </c>
      <c r="R3" s="198">
        <f>ROUND(N(data!D72), 0)</f>
        <v>443635</v>
      </c>
      <c r="S3" s="198">
        <f>ROUND(N(data!D73), 0)</f>
        <v>1713967</v>
      </c>
      <c r="T3" s="198">
        <f>ROUND(N(data!D74), 0)</f>
        <v>293644</v>
      </c>
      <c r="U3" s="198">
        <f>ROUND(N(data!D75), 0)</f>
        <v>0</v>
      </c>
      <c r="V3" s="198">
        <f>ROUND(N(data!D76), 0)</f>
        <v>0</v>
      </c>
      <c r="W3" s="198">
        <f>ROUND(N(data!D77), 0)</f>
        <v>115713</v>
      </c>
      <c r="X3" s="198">
        <f>ROUND(N(data!D78), 0)</f>
        <v>2341125</v>
      </c>
      <c r="Y3" s="198">
        <f>ROUND(N(data!D79), 0)</f>
        <v>9807</v>
      </c>
      <c r="Z3" s="198">
        <f>ROUND(N(data!D80), 0)</f>
        <v>37471</v>
      </c>
      <c r="AA3" s="198">
        <f>ROUND(N(data!D81), 0)</f>
        <v>0</v>
      </c>
      <c r="AB3" s="198">
        <f>ROUND(N(data!D82), 0)</f>
        <v>440999</v>
      </c>
      <c r="AC3" s="198">
        <f>ROUND(N(data!D83), 0)</f>
        <v>258644</v>
      </c>
      <c r="AD3" s="198">
        <f>ROUND(N(data!D84), 0)</f>
        <v>29757</v>
      </c>
      <c r="AE3" s="198">
        <f>ROUND(N(data!D89), 0)</f>
        <v>626758748</v>
      </c>
      <c r="AF3" s="198">
        <f>ROUND(N(data!D87), 0)</f>
        <v>226644641</v>
      </c>
      <c r="AG3" s="198">
        <f>ROUND(N(data!D90), 0)</f>
        <v>9879</v>
      </c>
      <c r="AH3" s="198">
        <f>ROUND(N(data!D91), 0)</f>
        <v>27776</v>
      </c>
      <c r="AI3" s="198">
        <f>ROUND(N(data!D92), 0)</f>
        <v>1492</v>
      </c>
      <c r="AJ3" s="198">
        <f>ROUND(N(data!D93), 0)</f>
        <v>464016</v>
      </c>
      <c r="AK3" s="271">
        <f>ROUND(N(data!D94), 2)</f>
        <v>243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RIGHT(data!$C$97,3)</f>
        <v>176</v>
      </c>
      <c r="B4" s="200" t="str">
        <f>RIGHT(data!$C$96,4)</f>
        <v>2024</v>
      </c>
      <c r="C4" s="12" t="str">
        <f>data!E$55</f>
        <v>6070</v>
      </c>
      <c r="D4" s="12" t="s">
        <v>1160</v>
      </c>
      <c r="E4" s="198">
        <f>ROUND(N(data!E59), 0)</f>
        <v>7524</v>
      </c>
      <c r="F4" s="271">
        <f>ROUND(N(data!E60), 2)</f>
        <v>95</v>
      </c>
      <c r="G4" s="198">
        <f>ROUND(N(data!E61), 0)</f>
        <v>13351851</v>
      </c>
      <c r="H4" s="198">
        <f>ROUND(N(data!E62), 0)</f>
        <v>2204547</v>
      </c>
      <c r="I4" s="198">
        <f>ROUND(N(data!E63), 0)</f>
        <v>-228209</v>
      </c>
      <c r="J4" s="198">
        <f>ROUND(N(data!E64), 0)</f>
        <v>1749908</v>
      </c>
      <c r="K4" s="198">
        <f>ROUND(N(data!E65), 0)</f>
        <v>0</v>
      </c>
      <c r="L4" s="198">
        <f>ROUND(N(data!E66), 0)</f>
        <v>1160203</v>
      </c>
      <c r="M4" s="198">
        <f>ROUND(N(data!E67), 0)</f>
        <v>415670</v>
      </c>
      <c r="N4" s="198">
        <f>ROUND(N(data!E68), 0)</f>
        <v>34638</v>
      </c>
      <c r="O4" s="198">
        <f>ROUND(N(data!E69), 0)</f>
        <v>-988747</v>
      </c>
      <c r="P4" s="198">
        <f>ROUND(N(data!E70), 0)</f>
        <v>0</v>
      </c>
      <c r="Q4" s="198">
        <f>ROUND(N(data!E71), 0)</f>
        <v>0</v>
      </c>
      <c r="R4" s="198">
        <f>ROUND(N(data!E72), 0)</f>
        <v>2627</v>
      </c>
      <c r="S4" s="198">
        <f>ROUND(N(data!E73), 0)</f>
        <v>263298</v>
      </c>
      <c r="T4" s="198">
        <f>ROUND(N(data!E74), 0)</f>
        <v>10220</v>
      </c>
      <c r="U4" s="198">
        <f>ROUND(N(data!E75), 0)</f>
        <v>22910</v>
      </c>
      <c r="V4" s="198">
        <f>ROUND(N(data!E76), 0)</f>
        <v>0</v>
      </c>
      <c r="W4" s="198">
        <f>ROUND(N(data!E77), 0)</f>
        <v>1060</v>
      </c>
      <c r="X4" s="198">
        <f>ROUND(N(data!E78), 0)</f>
        <v>-1431722</v>
      </c>
      <c r="Y4" s="198">
        <f>ROUND(N(data!E79), 0)</f>
        <v>9239</v>
      </c>
      <c r="Z4" s="198">
        <f>ROUND(N(data!E80), 0)</f>
        <v>3847</v>
      </c>
      <c r="AA4" s="198">
        <f>ROUND(N(data!E81), 0)</f>
        <v>20759</v>
      </c>
      <c r="AB4" s="198">
        <f>ROUND(N(data!E82), 0)</f>
        <v>20354</v>
      </c>
      <c r="AC4" s="198">
        <f>ROUND(N(data!E83), 0)</f>
        <v>88661</v>
      </c>
      <c r="AD4" s="198">
        <f>ROUND(N(data!E84), 0)</f>
        <v>11626</v>
      </c>
      <c r="AE4" s="198">
        <f>ROUND(N(data!E89), 0)</f>
        <v>55023469</v>
      </c>
      <c r="AF4" s="198">
        <f>ROUND(N(data!E87), 0)</f>
        <v>7059795</v>
      </c>
      <c r="AG4" s="198">
        <f>ROUND(N(data!E90), 0)</f>
        <v>41581</v>
      </c>
      <c r="AH4" s="198">
        <f>ROUND(N(data!E91), 0)</f>
        <v>159787</v>
      </c>
      <c r="AI4" s="198">
        <f>ROUND(N(data!E92), 0)</f>
        <v>19508</v>
      </c>
      <c r="AJ4" s="198">
        <f>ROUND(N(data!E93), 0)</f>
        <v>36628</v>
      </c>
      <c r="AK4" s="271">
        <f>ROUND(N(data!E94), 2)</f>
        <v>4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RIGHT(data!$C$97,3)</f>
        <v>176</v>
      </c>
      <c r="B5" s="200" t="str">
        <f>RIGHT(data!$C$96,4)</f>
        <v>2024</v>
      </c>
      <c r="C5" s="12" t="str">
        <f>data!F$55</f>
        <v>6100</v>
      </c>
      <c r="D5" s="12" t="s">
        <v>1160</v>
      </c>
      <c r="E5" s="198">
        <f>ROUND(N(data!F59), 0)</f>
        <v>9241</v>
      </c>
      <c r="F5" s="271">
        <f>ROUND(N(data!F60), 2)</f>
        <v>62</v>
      </c>
      <c r="G5" s="198">
        <f>ROUND(N(data!F61), 0)</f>
        <v>5772018</v>
      </c>
      <c r="H5" s="198">
        <f>ROUND(N(data!F62), 0)</f>
        <v>1276363</v>
      </c>
      <c r="I5" s="198">
        <f>ROUND(N(data!F63), 0)</f>
        <v>205509</v>
      </c>
      <c r="J5" s="198">
        <f>ROUND(N(data!F64), 0)</f>
        <v>287182</v>
      </c>
      <c r="K5" s="198">
        <f>ROUND(N(data!F65), 0)</f>
        <v>0</v>
      </c>
      <c r="L5" s="198">
        <f>ROUND(N(data!F66), 0)</f>
        <v>2860397</v>
      </c>
      <c r="M5" s="198">
        <f>ROUND(N(data!F67), 0)</f>
        <v>1972</v>
      </c>
      <c r="N5" s="198">
        <f>ROUND(N(data!F68), 0)</f>
        <v>0</v>
      </c>
      <c r="O5" s="198">
        <f>ROUND(N(data!F69), 0)</f>
        <v>409497</v>
      </c>
      <c r="P5" s="198">
        <f>ROUND(N(data!F70), 0)</f>
        <v>0</v>
      </c>
      <c r="Q5" s="198">
        <f>ROUND(N(data!F71), 0)</f>
        <v>8807</v>
      </c>
      <c r="R5" s="198">
        <f>ROUND(N(data!F72), 0)</f>
        <v>204</v>
      </c>
      <c r="S5" s="198">
        <f>ROUND(N(data!F73), 0)</f>
        <v>157743</v>
      </c>
      <c r="T5" s="198">
        <f>ROUND(N(data!F74), 0)</f>
        <v>65869</v>
      </c>
      <c r="U5" s="198">
        <f>ROUND(N(data!F75), 0)</f>
        <v>0</v>
      </c>
      <c r="V5" s="198">
        <f>ROUND(N(data!F76), 0)</f>
        <v>0</v>
      </c>
      <c r="W5" s="198">
        <f>ROUND(N(data!F77), 0)</f>
        <v>3525</v>
      </c>
      <c r="X5" s="198">
        <f>ROUND(N(data!F78), 0)</f>
        <v>156662</v>
      </c>
      <c r="Y5" s="198">
        <f>ROUND(N(data!F79), 0)</f>
        <v>0</v>
      </c>
      <c r="Z5" s="198">
        <f>ROUND(N(data!F80), 0)</f>
        <v>7546</v>
      </c>
      <c r="AA5" s="198">
        <f>ROUND(N(data!F81), 0)</f>
        <v>0</v>
      </c>
      <c r="AB5" s="198">
        <f>ROUND(N(data!F82), 0)</f>
        <v>0</v>
      </c>
      <c r="AC5" s="198">
        <f>ROUND(N(data!F83), 0)</f>
        <v>9141</v>
      </c>
      <c r="AD5" s="198">
        <f>ROUND(N(data!F84), 0)</f>
        <v>4906</v>
      </c>
      <c r="AE5" s="198">
        <f>ROUND(N(data!F89), 0)</f>
        <v>26907916</v>
      </c>
      <c r="AF5" s="198">
        <f>ROUND(N(data!F87), 0)</f>
        <v>26895778</v>
      </c>
      <c r="AG5" s="198">
        <f>ROUND(N(data!F90), 0)</f>
        <v>0</v>
      </c>
      <c r="AH5" s="198">
        <f>ROUND(N(data!F91), 0)</f>
        <v>0</v>
      </c>
      <c r="AI5" s="198">
        <f>ROUND(N(data!F92), 0)</f>
        <v>0</v>
      </c>
      <c r="AJ5" s="198">
        <f>ROUND(N(data!F93), 0)</f>
        <v>81125</v>
      </c>
      <c r="AK5" s="271">
        <f>ROUND(N(data!F94), 2)</f>
        <v>46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RIGHT(data!$C$97,3)</f>
        <v>176</v>
      </c>
      <c r="B6" s="200" t="str">
        <f>RIGHT(data!$C$96,4)</f>
        <v>2024</v>
      </c>
      <c r="C6" s="12" t="str">
        <f>data!G$55</f>
        <v>6120</v>
      </c>
      <c r="D6" s="12" t="s">
        <v>1160</v>
      </c>
      <c r="E6" s="198">
        <f>ROUND(N(data!G59), 0)</f>
        <v>0</v>
      </c>
      <c r="F6" s="271">
        <f>ROUND(N(data!G60), 2)</f>
        <v>0</v>
      </c>
      <c r="G6" s="198">
        <f>ROUND(N(data!G61), 0)</f>
        <v>0</v>
      </c>
      <c r="H6" s="198">
        <f>ROUND(N(data!G62), 0)</f>
        <v>0</v>
      </c>
      <c r="I6" s="198">
        <f>ROUND(N(data!G63), 0)</f>
        <v>0</v>
      </c>
      <c r="J6" s="198">
        <f>ROUND(N(data!G64), 0)</f>
        <v>0</v>
      </c>
      <c r="K6" s="198">
        <f>ROUND(N(data!G65), 0)</f>
        <v>0</v>
      </c>
      <c r="L6" s="198">
        <f>ROUND(N(data!G66), 0)</f>
        <v>0</v>
      </c>
      <c r="M6" s="198">
        <f>ROUND(N(data!G67), 0)</f>
        <v>0</v>
      </c>
      <c r="N6" s="198">
        <f>ROUND(N(data!G68), 0)</f>
        <v>0</v>
      </c>
      <c r="O6" s="198">
        <f>ROUND(N(data!G69), 0)</f>
        <v>0</v>
      </c>
      <c r="P6" s="198">
        <f>ROUND(N(data!G70), 0)</f>
        <v>0</v>
      </c>
      <c r="Q6" s="198">
        <f>ROUND(N(data!G71), 0)</f>
        <v>0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0</v>
      </c>
      <c r="X6" s="198">
        <f>ROUND(N(data!G78), 0)</f>
        <v>0</v>
      </c>
      <c r="Y6" s="198">
        <f>ROUND(N(data!G79), 0)</f>
        <v>0</v>
      </c>
      <c r="Z6" s="198">
        <f>ROUND(N(data!G80), 0)</f>
        <v>0</v>
      </c>
      <c r="AA6" s="198">
        <f>ROUND(N(data!G81), 0)</f>
        <v>0</v>
      </c>
      <c r="AB6" s="198">
        <f>ROUND(N(data!G82), 0)</f>
        <v>0</v>
      </c>
      <c r="AC6" s="198">
        <f>ROUND(N(data!G83), 0)</f>
        <v>0</v>
      </c>
      <c r="AD6" s="198">
        <f>ROUND(N(data!G84), 0)</f>
        <v>0</v>
      </c>
      <c r="AE6" s="198">
        <f>ROUND(N(data!G89), 0)</f>
        <v>0</v>
      </c>
      <c r="AF6" s="198">
        <f>ROUND(N(data!G87), 0)</f>
        <v>0</v>
      </c>
      <c r="AG6" s="198">
        <f>ROUND(N(data!G90), 0)</f>
        <v>0</v>
      </c>
      <c r="AH6" s="198">
        <f>ROUND(N(data!G91), 0)</f>
        <v>0</v>
      </c>
      <c r="AI6" s="198">
        <f>ROUND(N(data!G92), 0)</f>
        <v>0</v>
      </c>
      <c r="AJ6" s="198">
        <f>ROUND(N(data!G93), 0)</f>
        <v>0</v>
      </c>
      <c r="AK6" s="271">
        <f>ROUND(N(data!G94),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RIGHT(data!$C$97,3)</f>
        <v>176</v>
      </c>
      <c r="B7" s="200" t="str">
        <f>RIGHT(data!$C$96,4)</f>
        <v>2024</v>
      </c>
      <c r="C7" s="12" t="str">
        <f>data!H$55</f>
        <v>6140</v>
      </c>
      <c r="D7" s="12" t="s">
        <v>1160</v>
      </c>
      <c r="E7" s="198">
        <f>ROUND(N(data!H59), 0)</f>
        <v>7066</v>
      </c>
      <c r="F7" s="271">
        <f>ROUND(N(data!H60), 2)</f>
        <v>86</v>
      </c>
      <c r="G7" s="198">
        <f>ROUND(N(data!H61), 0)</f>
        <v>7228270</v>
      </c>
      <c r="H7" s="198">
        <f>ROUND(N(data!H62), 0)</f>
        <v>1628943</v>
      </c>
      <c r="I7" s="198">
        <f>ROUND(N(data!H63), 0)</f>
        <v>1060331</v>
      </c>
      <c r="J7" s="198">
        <f>ROUND(N(data!H64), 0)</f>
        <v>86987</v>
      </c>
      <c r="K7" s="198">
        <f>ROUND(N(data!H65), 0)</f>
        <v>0</v>
      </c>
      <c r="L7" s="198">
        <f>ROUND(N(data!H66), 0)</f>
        <v>2477744</v>
      </c>
      <c r="M7" s="198">
        <f>ROUND(N(data!H67), 0)</f>
        <v>230018</v>
      </c>
      <c r="N7" s="198">
        <f>ROUND(N(data!H68), 0)</f>
        <v>112201</v>
      </c>
      <c r="O7" s="198">
        <f>ROUND(N(data!H69), 0)</f>
        <v>1288632</v>
      </c>
      <c r="P7" s="198">
        <f>ROUND(N(data!H70), 0)</f>
        <v>0</v>
      </c>
      <c r="Q7" s="198">
        <f>ROUND(N(data!H71), 0)</f>
        <v>861280</v>
      </c>
      <c r="R7" s="198">
        <f>ROUND(N(data!H72), 0)</f>
        <v>19120</v>
      </c>
      <c r="S7" s="198">
        <f>ROUND(N(data!H73), 0)</f>
        <v>275</v>
      </c>
      <c r="T7" s="198">
        <f>ROUND(N(data!H74), 0)</f>
        <v>26993</v>
      </c>
      <c r="U7" s="198">
        <f>ROUND(N(data!H75), 0)</f>
        <v>11698</v>
      </c>
      <c r="V7" s="198">
        <f>ROUND(N(data!H76), 0)</f>
        <v>0</v>
      </c>
      <c r="W7" s="198">
        <f>ROUND(N(data!H77), 0)</f>
        <v>2557</v>
      </c>
      <c r="X7" s="198">
        <f>ROUND(N(data!H78), 0)</f>
        <v>262778</v>
      </c>
      <c r="Y7" s="198">
        <f>ROUND(N(data!H79), 0)</f>
        <v>2385</v>
      </c>
      <c r="Z7" s="198">
        <f>ROUND(N(data!H80), 0)</f>
        <v>3669</v>
      </c>
      <c r="AA7" s="198">
        <f>ROUND(N(data!H81), 0)</f>
        <v>0</v>
      </c>
      <c r="AB7" s="198">
        <f>ROUND(N(data!H82), 0)</f>
        <v>45850</v>
      </c>
      <c r="AC7" s="198">
        <f>ROUND(N(data!H83), 0)</f>
        <v>52027</v>
      </c>
      <c r="AD7" s="198">
        <f>ROUND(N(data!H84), 0)</f>
        <v>61991</v>
      </c>
      <c r="AE7" s="198">
        <f>ROUND(N(data!H89), 0)</f>
        <v>50908192</v>
      </c>
      <c r="AF7" s="198">
        <f>ROUND(N(data!H87), 0)</f>
        <v>46883912</v>
      </c>
      <c r="AG7" s="198">
        <f>ROUND(N(data!H90), 0)</f>
        <v>15030</v>
      </c>
      <c r="AH7" s="198">
        <f>ROUND(N(data!H91), 0)</f>
        <v>38767</v>
      </c>
      <c r="AI7" s="198">
        <f>ROUND(N(data!H92), 0)</f>
        <v>0</v>
      </c>
      <c r="AJ7" s="198">
        <f>ROUND(N(data!H93), 0)</f>
        <v>33110</v>
      </c>
      <c r="AK7" s="271">
        <f>ROUND(N(data!H94), 2)</f>
        <v>27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RIGHT(data!$C$97,3)</f>
        <v>176</v>
      </c>
      <c r="B8" s="200" t="str">
        <f>RIGHT(data!$C$96,4)</f>
        <v>2024</v>
      </c>
      <c r="C8" s="12" t="str">
        <f>data!I$55</f>
        <v>6150</v>
      </c>
      <c r="D8" s="12" t="s">
        <v>1160</v>
      </c>
      <c r="E8" s="198">
        <f>ROUND(N(data!I59), 0)</f>
        <v>0</v>
      </c>
      <c r="F8" s="271">
        <f>ROUND(N(data!I60), 2)</f>
        <v>0</v>
      </c>
      <c r="G8" s="198">
        <f>ROUND(N(data!I61), 0)</f>
        <v>0</v>
      </c>
      <c r="H8" s="198">
        <f>ROUND(N(data!I62), 0)</f>
        <v>0</v>
      </c>
      <c r="I8" s="198">
        <f>ROUND(N(data!I63), 0)</f>
        <v>0</v>
      </c>
      <c r="J8" s="198">
        <f>ROUND(N(data!I64), 0)</f>
        <v>0</v>
      </c>
      <c r="K8" s="198">
        <f>ROUND(N(data!I65), 0)</f>
        <v>0</v>
      </c>
      <c r="L8" s="198">
        <f>ROUND(N(data!I66), 0)</f>
        <v>0</v>
      </c>
      <c r="M8" s="198">
        <f>ROUND(N(data!I67), 0)</f>
        <v>0</v>
      </c>
      <c r="N8" s="198">
        <f>ROUND(N(data!I68), 0)</f>
        <v>0</v>
      </c>
      <c r="O8" s="198">
        <f>ROUND(N(data!I69), 0)</f>
        <v>0</v>
      </c>
      <c r="P8" s="198">
        <f>ROUND(N(data!I70), 0)</f>
        <v>0</v>
      </c>
      <c r="Q8" s="198">
        <f>ROUND(N(data!I71), 0)</f>
        <v>0</v>
      </c>
      <c r="R8" s="198">
        <f>ROUND(N(data!I72), 0)</f>
        <v>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0</v>
      </c>
      <c r="Y8" s="198">
        <f>ROUND(N(data!I79), 0)</f>
        <v>0</v>
      </c>
      <c r="Z8" s="198">
        <f>ROUND(N(data!I80), 0)</f>
        <v>0</v>
      </c>
      <c r="AA8" s="198">
        <f>ROUND(N(data!I81), 0)</f>
        <v>0</v>
      </c>
      <c r="AB8" s="198">
        <f>ROUND(N(data!I82), 0)</f>
        <v>0</v>
      </c>
      <c r="AC8" s="198">
        <f>ROUND(N(data!I83), 0)</f>
        <v>0</v>
      </c>
      <c r="AD8" s="198">
        <f>ROUND(N(data!I84), 0)</f>
        <v>0</v>
      </c>
      <c r="AE8" s="198">
        <f>ROUND(N(data!I89), 0)</f>
        <v>0</v>
      </c>
      <c r="AF8" s="198">
        <f>ROUND(N(data!I87), 0)</f>
        <v>0</v>
      </c>
      <c r="AG8" s="198">
        <f>ROUND(N(data!I90), 0)</f>
        <v>0</v>
      </c>
      <c r="AH8" s="198">
        <f>ROUND(N(data!I91), 0)</f>
        <v>0</v>
      </c>
      <c r="AI8" s="198">
        <f>ROUND(N(data!I92), 0)</f>
        <v>0</v>
      </c>
      <c r="AJ8" s="198">
        <f>ROUND(N(data!I93), 0)</f>
        <v>0</v>
      </c>
      <c r="AK8" s="271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RIGHT(data!$C$97,3)</f>
        <v>176</v>
      </c>
      <c r="B9" s="200" t="str">
        <f>RIGHT(data!$C$96,4)</f>
        <v>2024</v>
      </c>
      <c r="C9" s="12" t="str">
        <f>data!J$55</f>
        <v>6170</v>
      </c>
      <c r="D9" s="12" t="s">
        <v>1160</v>
      </c>
      <c r="E9" s="198">
        <f>ROUND(N(data!J59), 0)</f>
        <v>5218</v>
      </c>
      <c r="F9" s="271">
        <f>ROUND(N(data!J60), 2)</f>
        <v>0</v>
      </c>
      <c r="G9" s="198">
        <f>ROUND(N(data!J61), 0)</f>
        <v>0</v>
      </c>
      <c r="H9" s="198">
        <f>ROUND(N(data!J62), 0)</f>
        <v>0</v>
      </c>
      <c r="I9" s="198">
        <f>ROUND(N(data!J63), 0)</f>
        <v>0</v>
      </c>
      <c r="J9" s="198">
        <f>ROUND(N(data!J64), 0)</f>
        <v>0</v>
      </c>
      <c r="K9" s="198">
        <f>ROUND(N(data!J65), 0)</f>
        <v>0</v>
      </c>
      <c r="L9" s="198">
        <f>ROUND(N(data!J66), 0)</f>
        <v>0</v>
      </c>
      <c r="M9" s="198">
        <f>ROUND(N(data!J67), 0)</f>
        <v>0</v>
      </c>
      <c r="N9" s="198">
        <f>ROUND(N(data!J68), 0)</f>
        <v>0</v>
      </c>
      <c r="O9" s="198">
        <f>ROUND(N(data!J69), 0)</f>
        <v>0</v>
      </c>
      <c r="P9" s="198">
        <f>ROUND(N(data!J70), 0)</f>
        <v>0</v>
      </c>
      <c r="Q9" s="198">
        <f>ROUND(N(data!J71), 0)</f>
        <v>0</v>
      </c>
      <c r="R9" s="198">
        <f>ROUND(N(data!J72), 0)</f>
        <v>0</v>
      </c>
      <c r="S9" s="198">
        <f>ROUND(N(data!J73), 0)</f>
        <v>0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0</v>
      </c>
      <c r="X9" s="198">
        <f>ROUND(N(data!J78), 0)</f>
        <v>0</v>
      </c>
      <c r="Y9" s="198">
        <f>ROUND(N(data!J79), 0)</f>
        <v>0</v>
      </c>
      <c r="Z9" s="198">
        <f>ROUND(N(data!J80), 0)</f>
        <v>0</v>
      </c>
      <c r="AA9" s="198">
        <f>ROUND(N(data!J81), 0)</f>
        <v>0</v>
      </c>
      <c r="AB9" s="198">
        <f>ROUND(N(data!J82), 0)</f>
        <v>0</v>
      </c>
      <c r="AC9" s="198">
        <f>ROUND(N(data!J83), 0)</f>
        <v>0</v>
      </c>
      <c r="AD9" s="198">
        <f>ROUND(N(data!J84), 0)</f>
        <v>0</v>
      </c>
      <c r="AE9" s="198">
        <f>ROUND(N(data!J89), 0)</f>
        <v>0</v>
      </c>
      <c r="AF9" s="198">
        <f>ROUND(N(data!J87), 0)</f>
        <v>0</v>
      </c>
      <c r="AG9" s="198">
        <f>ROUND(N(data!J90), 0)</f>
        <v>0</v>
      </c>
      <c r="AH9" s="198">
        <f>ROUND(N(data!J91), 0)</f>
        <v>0</v>
      </c>
      <c r="AI9" s="198">
        <f>ROUND(N(data!J92), 0)</f>
        <v>0</v>
      </c>
      <c r="AJ9" s="198">
        <f>ROUND(N(data!J93), 0)</f>
        <v>0</v>
      </c>
      <c r="AK9" s="271">
        <f>ROUND(N(data!J94), 2)</f>
        <v>0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RIGHT(data!$C$97,3)</f>
        <v>176</v>
      </c>
      <c r="B10" s="200" t="str">
        <f>RIGHT(data!$C$96,4)</f>
        <v>2024</v>
      </c>
      <c r="C10" s="12" t="str">
        <f>data!K$55</f>
        <v>6200</v>
      </c>
      <c r="D10" s="12" t="s">
        <v>1160</v>
      </c>
      <c r="E10" s="198">
        <f>ROUND(N(data!K59), 0)</f>
        <v>0</v>
      </c>
      <c r="F10" s="271">
        <f>ROUND(N(data!K60), 2)</f>
        <v>0</v>
      </c>
      <c r="G10" s="198">
        <f>ROUND(N(data!K61), 0)</f>
        <v>0</v>
      </c>
      <c r="H10" s="198">
        <f>ROUND(N(data!K62), 0)</f>
        <v>0</v>
      </c>
      <c r="I10" s="198">
        <f>ROUND(N(data!K63), 0)</f>
        <v>0</v>
      </c>
      <c r="J10" s="198">
        <f>ROUND(N(data!K64), 0)</f>
        <v>0</v>
      </c>
      <c r="K10" s="198">
        <f>ROUND(N(data!K65), 0)</f>
        <v>0</v>
      </c>
      <c r="L10" s="198">
        <f>ROUND(N(data!K66), 0)</f>
        <v>0</v>
      </c>
      <c r="M10" s="198">
        <f>ROUND(N(data!K67), 0)</f>
        <v>0</v>
      </c>
      <c r="N10" s="198">
        <f>ROUND(N(data!K68), 0)</f>
        <v>0</v>
      </c>
      <c r="O10" s="198">
        <f>ROUND(N(data!K69), 0)</f>
        <v>0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>
        <f>ROUND(N(data!K82), 0)</f>
        <v>0</v>
      </c>
      <c r="AC10" s="198">
        <f>ROUND(N(data!K83), 0)</f>
        <v>0</v>
      </c>
      <c r="AD10" s="198">
        <f>ROUND(N(data!K84), 0)</f>
        <v>0</v>
      </c>
      <c r="AE10" s="198">
        <f>ROUND(N(data!K89), 0)</f>
        <v>0</v>
      </c>
      <c r="AF10" s="198">
        <f>ROUND(N(data!K87), 0)</f>
        <v>0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271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RIGHT(data!$C$97,3)</f>
        <v>176</v>
      </c>
      <c r="B11" s="200" t="str">
        <f>RIGHT(data!$C$96,4)</f>
        <v>2024</v>
      </c>
      <c r="C11" s="12" t="str">
        <f>data!L$55</f>
        <v>6210</v>
      </c>
      <c r="D11" s="12" t="s">
        <v>1160</v>
      </c>
      <c r="E11" s="198">
        <f>ROUND(N(data!L59), 0)</f>
        <v>0</v>
      </c>
      <c r="F11" s="271">
        <f>ROUND(N(data!L60), 2)</f>
        <v>0</v>
      </c>
      <c r="G11" s="198">
        <f>ROUND(N(data!L61), 0)</f>
        <v>0</v>
      </c>
      <c r="H11" s="198">
        <f>ROUND(N(data!L62), 0)</f>
        <v>0</v>
      </c>
      <c r="I11" s="198">
        <f>ROUND(N(data!L63), 0)</f>
        <v>0</v>
      </c>
      <c r="J11" s="198">
        <f>ROUND(N(data!L64), 0)</f>
        <v>0</v>
      </c>
      <c r="K11" s="198">
        <f>ROUND(N(data!L65), 0)</f>
        <v>0</v>
      </c>
      <c r="L11" s="198">
        <f>ROUND(N(data!L66), 0)</f>
        <v>0</v>
      </c>
      <c r="M11" s="198">
        <f>ROUND(N(data!L67), 0)</f>
        <v>0</v>
      </c>
      <c r="N11" s="198">
        <f>ROUND(N(data!L68), 0)</f>
        <v>0</v>
      </c>
      <c r="O11" s="198">
        <f>ROUND(N(data!L69), 0)</f>
        <v>0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0</v>
      </c>
      <c r="AA11" s="198">
        <f>ROUND(N(data!L81), 0)</f>
        <v>0</v>
      </c>
      <c r="AB11" s="198">
        <f>ROUND(N(data!L82), 0)</f>
        <v>0</v>
      </c>
      <c r="AC11" s="198">
        <f>ROUND(N(data!L83), 0)</f>
        <v>0</v>
      </c>
      <c r="AD11" s="198">
        <f>ROUND(N(data!L84), 0)</f>
        <v>0</v>
      </c>
      <c r="AE11" s="198">
        <f>ROUND(N(data!L89), 0)</f>
        <v>0</v>
      </c>
      <c r="AF11" s="198">
        <f>ROUND(N(data!L87), 0)</f>
        <v>0</v>
      </c>
      <c r="AG11" s="198">
        <f>ROUND(N(data!L90), 0)</f>
        <v>0</v>
      </c>
      <c r="AH11" s="198">
        <f>ROUND(N(data!L91), 0)</f>
        <v>0</v>
      </c>
      <c r="AI11" s="198">
        <f>ROUND(N(data!L92), 0)</f>
        <v>0</v>
      </c>
      <c r="AJ11" s="198">
        <f>ROUND(N(data!L93), 0)</f>
        <v>0</v>
      </c>
      <c r="AK11" s="271">
        <f>ROUND(N(data!L94), 2)</f>
        <v>0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RIGHT(data!$C$97,3)</f>
        <v>176</v>
      </c>
      <c r="B12" s="200" t="str">
        <f>RIGHT(data!$C$96,4)</f>
        <v>2024</v>
      </c>
      <c r="C12" s="12" t="str">
        <f>data!M$55</f>
        <v>6330</v>
      </c>
      <c r="D12" s="12" t="s">
        <v>1160</v>
      </c>
      <c r="E12" s="198">
        <f>ROUND(N(data!M59), 0)</f>
        <v>422</v>
      </c>
      <c r="F12" s="271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271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RIGHT(data!$C$97,3)</f>
        <v>176</v>
      </c>
      <c r="B13" s="200" t="str">
        <f>RIGHT(data!$C$96,4)</f>
        <v>2024</v>
      </c>
      <c r="C13" s="12" t="str">
        <f>data!N$55</f>
        <v>6400</v>
      </c>
      <c r="D13" s="12" t="s">
        <v>1160</v>
      </c>
      <c r="E13" s="198">
        <f>ROUND(N(data!N59), 0)</f>
        <v>4729</v>
      </c>
      <c r="F13" s="271">
        <f>ROUND(N(data!N60), 2)</f>
        <v>0</v>
      </c>
      <c r="G13" s="198">
        <f>ROUND(N(data!N61), 0)</f>
        <v>0</v>
      </c>
      <c r="H13" s="198">
        <f>ROUND(N(data!N62), 0)</f>
        <v>0</v>
      </c>
      <c r="I13" s="198">
        <f>ROUND(N(data!N63), 0)</f>
        <v>0</v>
      </c>
      <c r="J13" s="198">
        <f>ROUND(N(data!N64), 0)</f>
        <v>0</v>
      </c>
      <c r="K13" s="198">
        <f>ROUND(N(data!N65), 0)</f>
        <v>0</v>
      </c>
      <c r="L13" s="198">
        <f>ROUND(N(data!N66), 0)</f>
        <v>0</v>
      </c>
      <c r="M13" s="198">
        <f>ROUND(N(data!N67), 0)</f>
        <v>0</v>
      </c>
      <c r="N13" s="198">
        <f>ROUND(N(data!N68), 0)</f>
        <v>0</v>
      </c>
      <c r="O13" s="198">
        <f>ROUND(N(data!N69), 0)</f>
        <v>0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0</v>
      </c>
      <c r="AD13" s="198">
        <f>ROUND(N(data!N84), 0)</f>
        <v>0</v>
      </c>
      <c r="AE13" s="198">
        <f>ROUND(N(data!N89), 0)</f>
        <v>0</v>
      </c>
      <c r="AF13" s="198">
        <f>ROUND(N(data!N87), 0)</f>
        <v>0</v>
      </c>
      <c r="AG13" s="198">
        <f>ROUND(N(data!N90), 0)</f>
        <v>0</v>
      </c>
      <c r="AH13" s="198">
        <f>ROUND(N(data!N91), 0)</f>
        <v>0</v>
      </c>
      <c r="AI13" s="198">
        <f>ROUND(N(data!N92), 0)</f>
        <v>0</v>
      </c>
      <c r="AJ13" s="198">
        <f>ROUND(N(data!N93), 0)</f>
        <v>0</v>
      </c>
      <c r="AK13" s="271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RIGHT(data!$C$97,3)</f>
        <v>176</v>
      </c>
      <c r="B14" s="200" t="str">
        <f>RIGHT(data!$C$96,4)</f>
        <v>2024</v>
      </c>
      <c r="C14" s="12" t="str">
        <f>data!O$55</f>
        <v>7010</v>
      </c>
      <c r="D14" s="12" t="s">
        <v>1160</v>
      </c>
      <c r="E14" s="198">
        <f>ROUND(N(data!O59), 0)</f>
        <v>3396</v>
      </c>
      <c r="F14" s="271">
        <f>ROUND(N(data!O60), 2)</f>
        <v>156</v>
      </c>
      <c r="G14" s="198">
        <f>ROUND(N(data!O61), 0)</f>
        <v>18992882</v>
      </c>
      <c r="H14" s="198">
        <f>ROUND(N(data!O62), 0)</f>
        <v>3577772</v>
      </c>
      <c r="I14" s="198">
        <f>ROUND(N(data!O63), 0)</f>
        <v>2564842</v>
      </c>
      <c r="J14" s="198">
        <f>ROUND(N(data!O64), 0)</f>
        <v>2216429</v>
      </c>
      <c r="K14" s="198">
        <f>ROUND(N(data!O65), 0)</f>
        <v>0</v>
      </c>
      <c r="L14" s="198">
        <f>ROUND(N(data!O66), 0)</f>
        <v>9128608</v>
      </c>
      <c r="M14" s="198">
        <f>ROUND(N(data!O67), 0)</f>
        <v>1348654</v>
      </c>
      <c r="N14" s="198">
        <f>ROUND(N(data!O68), 0)</f>
        <v>463713</v>
      </c>
      <c r="O14" s="198">
        <f>ROUND(N(data!O69), 0)</f>
        <v>-168940</v>
      </c>
      <c r="P14" s="198">
        <f>ROUND(N(data!O70), 0)</f>
        <v>0</v>
      </c>
      <c r="Q14" s="198">
        <f>ROUND(N(data!O71), 0)</f>
        <v>1639299</v>
      </c>
      <c r="R14" s="198">
        <f>ROUND(N(data!O72), 0)</f>
        <v>66391</v>
      </c>
      <c r="S14" s="198">
        <f>ROUND(N(data!O73), 0)</f>
        <v>485297</v>
      </c>
      <c r="T14" s="198">
        <f>ROUND(N(data!O74), 0)</f>
        <v>170858</v>
      </c>
      <c r="U14" s="198">
        <f>ROUND(N(data!O75), 0)</f>
        <v>0</v>
      </c>
      <c r="V14" s="198">
        <f>ROUND(N(data!O76), 0)</f>
        <v>0</v>
      </c>
      <c r="W14" s="198">
        <f>ROUND(N(data!O77), 0)</f>
        <v>27974</v>
      </c>
      <c r="X14" s="198">
        <f>ROUND(N(data!O78), 0)</f>
        <v>-2878331</v>
      </c>
      <c r="Y14" s="198">
        <f>ROUND(N(data!O79), 0)</f>
        <v>0</v>
      </c>
      <c r="Z14" s="198">
        <f>ROUND(N(data!O80), 0)</f>
        <v>16458</v>
      </c>
      <c r="AA14" s="198">
        <f>ROUND(N(data!O81), 0)</f>
        <v>0</v>
      </c>
      <c r="AB14" s="198">
        <f>ROUND(N(data!O82), 0)</f>
        <v>167428</v>
      </c>
      <c r="AC14" s="198">
        <f>ROUND(N(data!O83), 0)</f>
        <v>135686</v>
      </c>
      <c r="AD14" s="198">
        <f>ROUND(N(data!O84), 0)</f>
        <v>39376</v>
      </c>
      <c r="AE14" s="198">
        <f>ROUND(N(data!O89), 0)</f>
        <v>88746171</v>
      </c>
      <c r="AF14" s="198">
        <f>ROUND(N(data!O87), 0)</f>
        <v>56416847</v>
      </c>
      <c r="AG14" s="198">
        <f>ROUND(N(data!O90), 0)</f>
        <v>45475</v>
      </c>
      <c r="AH14" s="198">
        <f>ROUND(N(data!O91), 0)</f>
        <v>20434</v>
      </c>
      <c r="AI14" s="198">
        <f>ROUND(N(data!O92), 0)</f>
        <v>16513</v>
      </c>
      <c r="AJ14" s="198">
        <f>ROUND(N(data!O93), 0)</f>
        <v>222635</v>
      </c>
      <c r="AK14" s="271">
        <f>ROUND(N(data!O94), 2)</f>
        <v>88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RIGHT(data!$C$97,3)</f>
        <v>176</v>
      </c>
      <c r="B15" s="200" t="str">
        <f>RIGHT(data!$C$96,4)</f>
        <v>2024</v>
      </c>
      <c r="C15" s="12" t="str">
        <f>data!P$55</f>
        <v>7020</v>
      </c>
      <c r="D15" s="12" t="s">
        <v>1160</v>
      </c>
      <c r="E15" s="198">
        <f>ROUND(N(data!P59), 0)</f>
        <v>8392125</v>
      </c>
      <c r="F15" s="271">
        <f>ROUND(N(data!P60), 2)</f>
        <v>366</v>
      </c>
      <c r="G15" s="198">
        <f>ROUND(N(data!P61), 0)</f>
        <v>39169985</v>
      </c>
      <c r="H15" s="198">
        <f>ROUND(N(data!P62), 0)</f>
        <v>8307900</v>
      </c>
      <c r="I15" s="198">
        <f>ROUND(N(data!P63), 0)</f>
        <v>19469641</v>
      </c>
      <c r="J15" s="198">
        <f>ROUND(N(data!P64), 0)</f>
        <v>84276266</v>
      </c>
      <c r="K15" s="198">
        <f>ROUND(N(data!P65), 0)</f>
        <v>0</v>
      </c>
      <c r="L15" s="198">
        <f>ROUND(N(data!P66), 0)</f>
        <v>43052772</v>
      </c>
      <c r="M15" s="198">
        <f>ROUND(N(data!P67), 0)</f>
        <v>4056168</v>
      </c>
      <c r="N15" s="198">
        <f>ROUND(N(data!P68), 0)</f>
        <v>3978154</v>
      </c>
      <c r="O15" s="198">
        <f>ROUND(N(data!P69), 0)</f>
        <v>11376451</v>
      </c>
      <c r="P15" s="198">
        <f>ROUND(N(data!P70), 0)</f>
        <v>0</v>
      </c>
      <c r="Q15" s="198">
        <f>ROUND(N(data!P71), 0)</f>
        <v>2751016</v>
      </c>
      <c r="R15" s="198">
        <f>ROUND(N(data!P72), 0)</f>
        <v>662475</v>
      </c>
      <c r="S15" s="198">
        <f>ROUND(N(data!P73), 0)</f>
        <v>2571120</v>
      </c>
      <c r="T15" s="198">
        <f>ROUND(N(data!P74), 0)</f>
        <v>414892</v>
      </c>
      <c r="U15" s="198">
        <f>ROUND(N(data!P75), 0)</f>
        <v>0</v>
      </c>
      <c r="V15" s="198">
        <f>ROUND(N(data!P76), 0)</f>
        <v>0</v>
      </c>
      <c r="W15" s="198">
        <f>ROUND(N(data!P77), 0)</f>
        <v>604004</v>
      </c>
      <c r="X15" s="198">
        <f>ROUND(N(data!P78), 0)</f>
        <v>3655193</v>
      </c>
      <c r="Y15" s="198">
        <f>ROUND(N(data!P79), 0)</f>
        <v>0</v>
      </c>
      <c r="Z15" s="198">
        <f>ROUND(N(data!P80), 0)</f>
        <v>24009</v>
      </c>
      <c r="AA15" s="198">
        <f>ROUND(N(data!P81), 0)</f>
        <v>80099</v>
      </c>
      <c r="AB15" s="198">
        <f>ROUND(N(data!P82), 0)</f>
        <v>345590</v>
      </c>
      <c r="AC15" s="198">
        <f>ROUND(N(data!P83), 0)</f>
        <v>268052</v>
      </c>
      <c r="AD15" s="198">
        <f>ROUND(N(data!P84), 0)</f>
        <v>-3556</v>
      </c>
      <c r="AE15" s="198">
        <f>ROUND(N(data!P89), 0)</f>
        <v>1081419154</v>
      </c>
      <c r="AF15" s="198">
        <f>ROUND(N(data!P87), 0)</f>
        <v>528045990</v>
      </c>
      <c r="AG15" s="198">
        <f>ROUND(N(data!P90), 0)</f>
        <v>56536</v>
      </c>
      <c r="AH15" s="198">
        <f>ROUND(N(data!P91), 0)</f>
        <v>23308</v>
      </c>
      <c r="AI15" s="198">
        <f>ROUND(N(data!P92), 0)</f>
        <v>39374</v>
      </c>
      <c r="AJ15" s="198">
        <f>ROUND(N(data!P93), 0)</f>
        <v>428392</v>
      </c>
      <c r="AK15" s="271">
        <f>ROUND(N(data!P94), 2)</f>
        <v>184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RIGHT(data!$C$97,3)</f>
        <v>176</v>
      </c>
      <c r="B16" s="200" t="str">
        <f>RIGHT(data!$C$96,4)</f>
        <v>2024</v>
      </c>
      <c r="C16" s="12" t="str">
        <f>data!Q$55</f>
        <v>7030</v>
      </c>
      <c r="D16" s="12" t="s">
        <v>1160</v>
      </c>
      <c r="E16" s="198">
        <f>ROUND(N(data!Q59), 0)</f>
        <v>2892920</v>
      </c>
      <c r="F16" s="271">
        <f>ROUND(N(data!Q60), 2)</f>
        <v>20</v>
      </c>
      <c r="G16" s="198">
        <f>ROUND(N(data!Q61), 0)</f>
        <v>2142765</v>
      </c>
      <c r="H16" s="198">
        <f>ROUND(N(data!Q62), 0)</f>
        <v>505724</v>
      </c>
      <c r="I16" s="198">
        <f>ROUND(N(data!Q63), 0)</f>
        <v>1500</v>
      </c>
      <c r="J16" s="198">
        <f>ROUND(N(data!Q64), 0)</f>
        <v>492188</v>
      </c>
      <c r="K16" s="198">
        <f>ROUND(N(data!Q65), 0)</f>
        <v>0</v>
      </c>
      <c r="L16" s="198">
        <f>ROUND(N(data!Q66), 0)</f>
        <v>1068577</v>
      </c>
      <c r="M16" s="198">
        <f>ROUND(N(data!Q67), 0)</f>
        <v>69549</v>
      </c>
      <c r="N16" s="198">
        <f>ROUND(N(data!Q68), 0)</f>
        <v>0</v>
      </c>
      <c r="O16" s="198">
        <f>ROUND(N(data!Q69), 0)</f>
        <v>168553</v>
      </c>
      <c r="P16" s="198">
        <f>ROUND(N(data!Q70), 0)</f>
        <v>0</v>
      </c>
      <c r="Q16" s="198">
        <f>ROUND(N(data!Q71), 0)</f>
        <v>0</v>
      </c>
      <c r="R16" s="198">
        <f>ROUND(N(data!Q72), 0)</f>
        <v>210</v>
      </c>
      <c r="S16" s="198">
        <f>ROUND(N(data!Q73), 0)</f>
        <v>57723</v>
      </c>
      <c r="T16" s="198">
        <f>ROUND(N(data!Q74), 0)</f>
        <v>0</v>
      </c>
      <c r="U16" s="198">
        <f>ROUND(N(data!Q75), 0)</f>
        <v>0</v>
      </c>
      <c r="V16" s="198">
        <f>ROUND(N(data!Q76), 0)</f>
        <v>0</v>
      </c>
      <c r="W16" s="198">
        <f>ROUND(N(data!Q77), 0)</f>
        <v>333</v>
      </c>
      <c r="X16" s="198">
        <f>ROUND(N(data!Q78), 0)</f>
        <v>85770</v>
      </c>
      <c r="Y16" s="198">
        <f>ROUND(N(data!Q79), 0)</f>
        <v>0</v>
      </c>
      <c r="Z16" s="198">
        <f>ROUND(N(data!Q80), 0)</f>
        <v>2120</v>
      </c>
      <c r="AA16" s="198">
        <f>ROUND(N(data!Q81), 0)</f>
        <v>0</v>
      </c>
      <c r="AB16" s="198">
        <f>ROUND(N(data!Q82), 0)</f>
        <v>14754</v>
      </c>
      <c r="AC16" s="198">
        <f>ROUND(N(data!Q83), 0)</f>
        <v>7643</v>
      </c>
      <c r="AD16" s="198">
        <f>ROUND(N(data!Q84), 0)</f>
        <v>0</v>
      </c>
      <c r="AE16" s="198">
        <f>ROUND(N(data!Q89), 0)</f>
        <v>18658311</v>
      </c>
      <c r="AF16" s="198">
        <f>ROUND(N(data!Q87), 0)</f>
        <v>3715471</v>
      </c>
      <c r="AG16" s="198">
        <f>ROUND(N(data!Q90), 0)</f>
        <v>0</v>
      </c>
      <c r="AH16" s="198">
        <f>ROUND(N(data!Q91), 0)</f>
        <v>0</v>
      </c>
      <c r="AI16" s="198">
        <f>ROUND(N(data!Q92), 0)</f>
        <v>0</v>
      </c>
      <c r="AJ16" s="198">
        <f>ROUND(N(data!Q93), 0)</f>
        <v>0</v>
      </c>
      <c r="AK16" s="271">
        <f>ROUND(N(data!Q94), 2)</f>
        <v>15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RIGHT(data!$C$97,3)</f>
        <v>176</v>
      </c>
      <c r="B17" s="200" t="str">
        <f>RIGHT(data!$C$96,4)</f>
        <v>2024</v>
      </c>
      <c r="C17" s="12" t="str">
        <f>data!R$55</f>
        <v>7040</v>
      </c>
      <c r="D17" s="12" t="s">
        <v>1160</v>
      </c>
      <c r="E17" s="198">
        <f>ROUND(N(data!R59), 0)</f>
        <v>0</v>
      </c>
      <c r="F17" s="271">
        <f>ROUND(N(data!R60), 2)</f>
        <v>98</v>
      </c>
      <c r="G17" s="198">
        <f>ROUND(N(data!R61), 0)</f>
        <v>11049021</v>
      </c>
      <c r="H17" s="198">
        <f>ROUND(N(data!R62), 0)</f>
        <v>2273999</v>
      </c>
      <c r="I17" s="198">
        <f>ROUND(N(data!R63), 0)</f>
        <v>1000</v>
      </c>
      <c r="J17" s="198">
        <f>ROUND(N(data!R64), 0)</f>
        <v>731257</v>
      </c>
      <c r="K17" s="198">
        <f>ROUND(N(data!R65), 0)</f>
        <v>0</v>
      </c>
      <c r="L17" s="198">
        <f>ROUND(N(data!R66), 0)</f>
        <v>4636028</v>
      </c>
      <c r="M17" s="198">
        <f>ROUND(N(data!R67), 0)</f>
        <v>270819</v>
      </c>
      <c r="N17" s="198">
        <f>ROUND(N(data!R68), 0)</f>
        <v>878</v>
      </c>
      <c r="O17" s="198">
        <f>ROUND(N(data!R69), 0)</f>
        <v>638837</v>
      </c>
      <c r="P17" s="198">
        <f>ROUND(N(data!R70), 0)</f>
        <v>0</v>
      </c>
      <c r="Q17" s="198">
        <f>ROUND(N(data!R71), 0)</f>
        <v>13074</v>
      </c>
      <c r="R17" s="198">
        <f>ROUND(N(data!R72), 0)</f>
        <v>0</v>
      </c>
      <c r="S17" s="198">
        <f>ROUND(N(data!R73), 0)</f>
        <v>228789</v>
      </c>
      <c r="T17" s="198">
        <f>ROUND(N(data!R74), 0)</f>
        <v>48706</v>
      </c>
      <c r="U17" s="198">
        <f>ROUND(N(data!R75), 0)</f>
        <v>0</v>
      </c>
      <c r="V17" s="198">
        <f>ROUND(N(data!R76), 0)</f>
        <v>0</v>
      </c>
      <c r="W17" s="198">
        <f>ROUND(N(data!R77), 0)</f>
        <v>3708</v>
      </c>
      <c r="X17" s="198">
        <f>ROUND(N(data!R78), 0)</f>
        <v>249545</v>
      </c>
      <c r="Y17" s="198">
        <f>ROUND(N(data!R79), 0)</f>
        <v>0</v>
      </c>
      <c r="Z17" s="198">
        <f>ROUND(N(data!R80), 0)</f>
        <v>9076</v>
      </c>
      <c r="AA17" s="198">
        <f>ROUND(N(data!R81), 0)</f>
        <v>0</v>
      </c>
      <c r="AB17" s="198">
        <f>ROUND(N(data!R82), 0)</f>
        <v>64691</v>
      </c>
      <c r="AC17" s="198">
        <f>ROUND(N(data!R83), 0)</f>
        <v>21248</v>
      </c>
      <c r="AD17" s="198">
        <f>ROUND(N(data!R84), 0)</f>
        <v>0</v>
      </c>
      <c r="AE17" s="198">
        <f>ROUND(N(data!R89), 0)</f>
        <v>113197194</v>
      </c>
      <c r="AF17" s="198">
        <f>ROUND(N(data!R87), 0)</f>
        <v>43868147</v>
      </c>
      <c r="AG17" s="198">
        <f>ROUND(N(data!R90), 0)</f>
        <v>13487</v>
      </c>
      <c r="AH17" s="198">
        <f>ROUND(N(data!R91), 0)</f>
        <v>1080</v>
      </c>
      <c r="AI17" s="198">
        <f>ROUND(N(data!R92), 0)</f>
        <v>0</v>
      </c>
      <c r="AJ17" s="198">
        <f>ROUND(N(data!R93), 0)</f>
        <v>77154</v>
      </c>
      <c r="AK17" s="271">
        <f>ROUND(N(data!R94), 2)</f>
        <v>75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RIGHT(data!$C$97,3)</f>
        <v>176</v>
      </c>
      <c r="B18" s="200" t="str">
        <f>RIGHT(data!$C$96,4)</f>
        <v>2024</v>
      </c>
      <c r="C18" s="12" t="str">
        <f>data!S$55</f>
        <v>7050</v>
      </c>
      <c r="D18" s="12" t="s">
        <v>1160</v>
      </c>
      <c r="E18" s="198">
        <f>ROUND(N(data!S59), 0)</f>
        <v>0</v>
      </c>
      <c r="F18" s="271">
        <f>ROUND(N(data!S60), 2)</f>
        <v>61</v>
      </c>
      <c r="G18" s="198">
        <f>ROUND(N(data!S61), 0)</f>
        <v>4093212</v>
      </c>
      <c r="H18" s="198">
        <f>ROUND(N(data!S62), 0)</f>
        <v>1357290</v>
      </c>
      <c r="I18" s="198">
        <f>ROUND(N(data!S63), 0)</f>
        <v>322690</v>
      </c>
      <c r="J18" s="198">
        <f>ROUND(N(data!S64), 0)</f>
        <v>2148145</v>
      </c>
      <c r="K18" s="198">
        <f>ROUND(N(data!S65), 0)</f>
        <v>0</v>
      </c>
      <c r="L18" s="198">
        <f>ROUND(N(data!S66), 0)</f>
        <v>-8334814</v>
      </c>
      <c r="M18" s="198">
        <f>ROUND(N(data!S67), 0)</f>
        <v>563784</v>
      </c>
      <c r="N18" s="198">
        <f>ROUND(N(data!S68), 0)</f>
        <v>33</v>
      </c>
      <c r="O18" s="198">
        <f>ROUND(N(data!S69), 0)</f>
        <v>4381263</v>
      </c>
      <c r="P18" s="198">
        <f>ROUND(N(data!S70), 0)</f>
        <v>0</v>
      </c>
      <c r="Q18" s="198">
        <f>ROUND(N(data!S71), 0)</f>
        <v>2434081</v>
      </c>
      <c r="R18" s="198">
        <f>ROUND(N(data!S72), 0)</f>
        <v>617</v>
      </c>
      <c r="S18" s="198">
        <f>ROUND(N(data!S73), 0)</f>
        <v>155453</v>
      </c>
      <c r="T18" s="198">
        <f>ROUND(N(data!S74), 0)</f>
        <v>590852</v>
      </c>
      <c r="U18" s="198">
        <f>ROUND(N(data!S75), 0)</f>
        <v>0</v>
      </c>
      <c r="V18" s="198">
        <f>ROUND(N(data!S76), 0)</f>
        <v>0</v>
      </c>
      <c r="W18" s="198">
        <f>ROUND(N(data!S77), 0)</f>
        <v>1118792</v>
      </c>
      <c r="X18" s="198">
        <f>ROUND(N(data!S78), 0)</f>
        <v>0</v>
      </c>
      <c r="Y18" s="198">
        <f>ROUND(N(data!S79), 0)</f>
        <v>0</v>
      </c>
      <c r="Z18" s="198">
        <f>ROUND(N(data!S80), 0)</f>
        <v>74</v>
      </c>
      <c r="AA18" s="198">
        <f>ROUND(N(data!S81), 0)</f>
        <v>0</v>
      </c>
      <c r="AB18" s="198">
        <f>ROUND(N(data!S82), 0)</f>
        <v>50436</v>
      </c>
      <c r="AC18" s="198">
        <f>ROUND(N(data!S83), 0)</f>
        <v>30957</v>
      </c>
      <c r="AD18" s="198">
        <f>ROUND(N(data!S84), 0)</f>
        <v>0</v>
      </c>
      <c r="AE18" s="198">
        <f>ROUND(N(data!S89), 0)</f>
        <v>0</v>
      </c>
      <c r="AF18" s="198">
        <f>ROUND(N(data!S87), 0)</f>
        <v>0</v>
      </c>
      <c r="AG18" s="198">
        <f>ROUND(N(data!S90), 0)</f>
        <v>10581</v>
      </c>
      <c r="AH18" s="198">
        <f>ROUND(N(data!S91), 0)</f>
        <v>0</v>
      </c>
      <c r="AI18" s="198">
        <f>ROUND(N(data!S92), 0)</f>
        <v>1848</v>
      </c>
      <c r="AJ18" s="198">
        <f>ROUND(N(data!S93), 0)</f>
        <v>501842</v>
      </c>
      <c r="AK18" s="271">
        <f>ROUND(N(data!S94),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RIGHT(data!$C$97,3)</f>
        <v>176</v>
      </c>
      <c r="B19" s="200" t="str">
        <f>RIGHT(data!$C$96,4)</f>
        <v>2024</v>
      </c>
      <c r="C19" s="12" t="str">
        <f>data!T$55</f>
        <v>7060</v>
      </c>
      <c r="D19" s="12" t="s">
        <v>1160</v>
      </c>
      <c r="E19" s="198">
        <f>ROUND(N(data!T59), 0)</f>
        <v>0</v>
      </c>
      <c r="F19" s="271">
        <f>ROUND(N(data!T60), 2)</f>
        <v>0</v>
      </c>
      <c r="G19" s="198">
        <f>ROUND(N(data!T61), 0)</f>
        <v>0</v>
      </c>
      <c r="H19" s="198">
        <f>ROUND(N(data!T62), 0)</f>
        <v>0</v>
      </c>
      <c r="I19" s="198">
        <f>ROUND(N(data!T63), 0)</f>
        <v>0</v>
      </c>
      <c r="J19" s="198">
        <f>ROUND(N(data!T64), 0)</f>
        <v>0</v>
      </c>
      <c r="K19" s="198">
        <f>ROUND(N(data!T65), 0)</f>
        <v>0</v>
      </c>
      <c r="L19" s="198">
        <f>ROUND(N(data!T66), 0)</f>
        <v>0</v>
      </c>
      <c r="M19" s="198">
        <f>ROUND(N(data!T67), 0)</f>
        <v>0</v>
      </c>
      <c r="N19" s="198">
        <f>ROUND(N(data!T68), 0)</f>
        <v>0</v>
      </c>
      <c r="O19" s="198">
        <f>ROUND(N(data!T69), 0)</f>
        <v>0</v>
      </c>
      <c r="P19" s="198">
        <f>ROUND(N(data!T70), 0)</f>
        <v>0</v>
      </c>
      <c r="Q19" s="198">
        <f>ROUND(N(data!T71), 0)</f>
        <v>0</v>
      </c>
      <c r="R19" s="198">
        <f>ROUND(N(data!T72), 0)</f>
        <v>0</v>
      </c>
      <c r="S19" s="198">
        <f>ROUND(N(data!T73), 0)</f>
        <v>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0</v>
      </c>
      <c r="X19" s="198">
        <f>ROUND(N(data!T78), 0)</f>
        <v>0</v>
      </c>
      <c r="Y19" s="198">
        <f>ROUND(N(data!T79), 0)</f>
        <v>0</v>
      </c>
      <c r="Z19" s="198">
        <f>ROUND(N(data!T80), 0)</f>
        <v>0</v>
      </c>
      <c r="AA19" s="198">
        <f>ROUND(N(data!T81), 0)</f>
        <v>0</v>
      </c>
      <c r="AB19" s="198">
        <f>ROUND(N(data!T82), 0)</f>
        <v>0</v>
      </c>
      <c r="AC19" s="198">
        <f>ROUND(N(data!T83), 0)</f>
        <v>0</v>
      </c>
      <c r="AD19" s="198">
        <f>ROUND(N(data!T84), 0)</f>
        <v>0</v>
      </c>
      <c r="AE19" s="198">
        <f>ROUND(N(data!T89), 0)</f>
        <v>0</v>
      </c>
      <c r="AF19" s="198">
        <f>ROUND(N(data!T87), 0)</f>
        <v>0</v>
      </c>
      <c r="AG19" s="198">
        <f>ROUND(N(data!T90), 0)</f>
        <v>864</v>
      </c>
      <c r="AH19" s="198">
        <f>ROUND(N(data!T91), 0)</f>
        <v>0</v>
      </c>
      <c r="AI19" s="198">
        <f>ROUND(N(data!T92), 0)</f>
        <v>0</v>
      </c>
      <c r="AJ19" s="198">
        <f>ROUND(N(data!T93), 0)</f>
        <v>0</v>
      </c>
      <c r="AK19" s="271">
        <f>ROUND(N(data!T94), 2)</f>
        <v>0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RIGHT(data!$C$97,3)</f>
        <v>176</v>
      </c>
      <c r="B20" s="200" t="str">
        <f>RIGHT(data!$C$96,4)</f>
        <v>2024</v>
      </c>
      <c r="C20" s="12" t="str">
        <f>data!U$55</f>
        <v>7070</v>
      </c>
      <c r="D20" s="12" t="s">
        <v>1160</v>
      </c>
      <c r="E20" s="198">
        <f>ROUND(N(data!U59), 0)</f>
        <v>1873775</v>
      </c>
      <c r="F20" s="271">
        <f>ROUND(N(data!U60), 2)</f>
        <v>405</v>
      </c>
      <c r="G20" s="198">
        <f>ROUND(N(data!U61), 0)</f>
        <v>26048792</v>
      </c>
      <c r="H20" s="198">
        <f>ROUND(N(data!U62), 0)</f>
        <v>8241244</v>
      </c>
      <c r="I20" s="198">
        <f>ROUND(N(data!U63), 0)</f>
        <v>0</v>
      </c>
      <c r="J20" s="198">
        <f>ROUND(N(data!U64), 0)</f>
        <v>42598705</v>
      </c>
      <c r="K20" s="198">
        <f>ROUND(N(data!U65), 0)</f>
        <v>0</v>
      </c>
      <c r="L20" s="198">
        <f>ROUND(N(data!U66), 0)</f>
        <v>150883061</v>
      </c>
      <c r="M20" s="198">
        <f>ROUND(N(data!U67), 0)</f>
        <v>719977</v>
      </c>
      <c r="N20" s="198">
        <f>ROUND(N(data!U68), 0)</f>
        <v>545573</v>
      </c>
      <c r="O20" s="198">
        <f>ROUND(N(data!U69), 0)</f>
        <v>7434895</v>
      </c>
      <c r="P20" s="198">
        <f>ROUND(N(data!U70), 0)</f>
        <v>3941236</v>
      </c>
      <c r="Q20" s="198">
        <f>ROUND(N(data!U71), 0)</f>
        <v>0</v>
      </c>
      <c r="R20" s="198">
        <f>ROUND(N(data!U72), 0)</f>
        <v>40754</v>
      </c>
      <c r="S20" s="198">
        <f>ROUND(N(data!U73), 0)</f>
        <v>1347230</v>
      </c>
      <c r="T20" s="198">
        <f>ROUND(N(data!U74), 0)</f>
        <v>28787</v>
      </c>
      <c r="U20" s="198">
        <f>ROUND(N(data!U75), 0)</f>
        <v>0</v>
      </c>
      <c r="V20" s="198">
        <f>ROUND(N(data!U76), 0)</f>
        <v>0</v>
      </c>
      <c r="W20" s="198">
        <f>ROUND(N(data!U77), 0)</f>
        <v>66192</v>
      </c>
      <c r="X20" s="198">
        <f>ROUND(N(data!U78), 0)</f>
        <v>1573136</v>
      </c>
      <c r="Y20" s="198">
        <f>ROUND(N(data!U79), 0)</f>
        <v>0</v>
      </c>
      <c r="Z20" s="198">
        <f>ROUND(N(data!U80), 0)</f>
        <v>10155</v>
      </c>
      <c r="AA20" s="198">
        <f>ROUND(N(data!U81), 0)</f>
        <v>2759</v>
      </c>
      <c r="AB20" s="198">
        <f>ROUND(N(data!U82), 0)</f>
        <v>109398</v>
      </c>
      <c r="AC20" s="198">
        <f>ROUND(N(data!U83), 0)</f>
        <v>315248</v>
      </c>
      <c r="AD20" s="198">
        <f>ROUND(N(data!U84), 0)</f>
        <v>96290057</v>
      </c>
      <c r="AE20" s="198">
        <f>ROUND(N(data!U89), 0)</f>
        <v>497874051</v>
      </c>
      <c r="AF20" s="198">
        <f>ROUND(N(data!U87), 0)</f>
        <v>82553978</v>
      </c>
      <c r="AG20" s="198">
        <f>ROUND(N(data!U90), 0)</f>
        <v>21447</v>
      </c>
      <c r="AH20" s="198">
        <f>ROUND(N(data!U91), 0)</f>
        <v>0</v>
      </c>
      <c r="AI20" s="198">
        <f>ROUND(N(data!U92), 0)</f>
        <v>711</v>
      </c>
      <c r="AJ20" s="198">
        <f>ROUND(N(data!U93), 0)</f>
        <v>19297</v>
      </c>
      <c r="AK20" s="271">
        <f>ROUND(N(data!U94), 2)</f>
        <v>18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RIGHT(data!$C$97,3)</f>
        <v>176</v>
      </c>
      <c r="B21" s="200" t="str">
        <f>RIGHT(data!$C$96,4)</f>
        <v>2024</v>
      </c>
      <c r="C21" s="12" t="str">
        <f>data!V$55</f>
        <v>7110</v>
      </c>
      <c r="D21" s="12" t="s">
        <v>1160</v>
      </c>
      <c r="E21" s="198">
        <f>ROUND(N(data!V59), 0)</f>
        <v>0</v>
      </c>
      <c r="F21" s="271">
        <f>ROUND(N(data!V60), 2)</f>
        <v>0</v>
      </c>
      <c r="G21" s="198">
        <f>ROUND(N(data!V61), 0)</f>
        <v>0</v>
      </c>
      <c r="H21" s="198">
        <f>ROUND(N(data!V62), 0)</f>
        <v>0</v>
      </c>
      <c r="I21" s="198">
        <f>ROUND(N(data!V63), 0)</f>
        <v>0</v>
      </c>
      <c r="J21" s="198">
        <f>ROUND(N(data!V64), 0)</f>
        <v>0</v>
      </c>
      <c r="K21" s="198">
        <f>ROUND(N(data!V65), 0)</f>
        <v>0</v>
      </c>
      <c r="L21" s="198">
        <f>ROUND(N(data!V66), 0)</f>
        <v>0</v>
      </c>
      <c r="M21" s="198">
        <f>ROUND(N(data!V67), 0)</f>
        <v>0</v>
      </c>
      <c r="N21" s="198">
        <f>ROUND(N(data!V68), 0)</f>
        <v>0</v>
      </c>
      <c r="O21" s="198">
        <f>ROUND(N(data!V69), 0)</f>
        <v>0</v>
      </c>
      <c r="P21" s="198">
        <f>ROUND(N(data!V70), 0)</f>
        <v>0</v>
      </c>
      <c r="Q21" s="198">
        <f>ROUND(N(data!V71), 0)</f>
        <v>0</v>
      </c>
      <c r="R21" s="198">
        <f>ROUND(N(data!V72), 0)</f>
        <v>0</v>
      </c>
      <c r="S21" s="198">
        <f>ROUND(N(data!V73), 0)</f>
        <v>0</v>
      </c>
      <c r="T21" s="198">
        <f>ROUND(N(data!V74), 0)</f>
        <v>0</v>
      </c>
      <c r="U21" s="198">
        <f>ROUND(N(data!V75), 0)</f>
        <v>0</v>
      </c>
      <c r="V21" s="198">
        <f>ROUND(N(data!V76), 0)</f>
        <v>0</v>
      </c>
      <c r="W21" s="198">
        <f>ROUND(N(data!V77), 0)</f>
        <v>0</v>
      </c>
      <c r="X21" s="198">
        <f>ROUND(N(data!V78), 0)</f>
        <v>0</v>
      </c>
      <c r="Y21" s="198">
        <f>ROUND(N(data!V79), 0)</f>
        <v>0</v>
      </c>
      <c r="Z21" s="198">
        <f>ROUND(N(data!V80), 0)</f>
        <v>0</v>
      </c>
      <c r="AA21" s="198">
        <f>ROUND(N(data!V81), 0)</f>
        <v>0</v>
      </c>
      <c r="AB21" s="198">
        <f>ROUND(N(data!V82), 0)</f>
        <v>0</v>
      </c>
      <c r="AC21" s="198">
        <f>ROUND(N(data!V83), 0)</f>
        <v>0</v>
      </c>
      <c r="AD21" s="198">
        <f>ROUND(N(data!V84), 0)</f>
        <v>0</v>
      </c>
      <c r="AE21" s="198">
        <f>ROUND(N(data!V89), 0)</f>
        <v>0</v>
      </c>
      <c r="AF21" s="198">
        <f>ROUND(N(data!V87), 0)</f>
        <v>0</v>
      </c>
      <c r="AG21" s="198">
        <f>ROUND(N(data!V90), 0)</f>
        <v>0</v>
      </c>
      <c r="AH21" s="198">
        <f>ROUND(N(data!V91), 0)</f>
        <v>0</v>
      </c>
      <c r="AI21" s="198">
        <f>ROUND(N(data!V92), 0)</f>
        <v>0</v>
      </c>
      <c r="AJ21" s="198">
        <f>ROUND(N(data!V93), 0)</f>
        <v>0</v>
      </c>
      <c r="AK21" s="271">
        <f>ROUND(N(data!V94), 2)</f>
        <v>0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RIGHT(data!$C$97,3)</f>
        <v>176</v>
      </c>
      <c r="B22" s="200" t="str">
        <f>RIGHT(data!$C$96,4)</f>
        <v>2024</v>
      </c>
      <c r="C22" s="12" t="str">
        <f>data!W$55</f>
        <v>7120</v>
      </c>
      <c r="D22" s="12" t="s">
        <v>1160</v>
      </c>
      <c r="E22" s="198">
        <f>ROUND(N(data!W59), 0)</f>
        <v>49529</v>
      </c>
      <c r="F22" s="271">
        <f>ROUND(N(data!W60), 2)</f>
        <v>47</v>
      </c>
      <c r="G22" s="198">
        <f>ROUND(N(data!W61), 0)</f>
        <v>4556704</v>
      </c>
      <c r="H22" s="198">
        <f>ROUND(N(data!W62), 0)</f>
        <v>1031582</v>
      </c>
      <c r="I22" s="198">
        <f>ROUND(N(data!W63), 0)</f>
        <v>0</v>
      </c>
      <c r="J22" s="198">
        <f>ROUND(N(data!W64), 0)</f>
        <v>592182</v>
      </c>
      <c r="K22" s="198">
        <f>ROUND(N(data!W65), 0)</f>
        <v>0</v>
      </c>
      <c r="L22" s="198">
        <f>ROUND(N(data!W66), 0)</f>
        <v>2483734</v>
      </c>
      <c r="M22" s="198">
        <f>ROUND(N(data!W67), 0)</f>
        <v>840537</v>
      </c>
      <c r="N22" s="198">
        <f>ROUND(N(data!W68), 0)</f>
        <v>514046</v>
      </c>
      <c r="O22" s="198">
        <f>ROUND(N(data!W69), 0)</f>
        <v>670549</v>
      </c>
      <c r="P22" s="198">
        <f>ROUND(N(data!W70), 0)</f>
        <v>0</v>
      </c>
      <c r="Q22" s="198">
        <f>ROUND(N(data!W71), 0)</f>
        <v>311345</v>
      </c>
      <c r="R22" s="198">
        <f>ROUND(N(data!W72), 0)</f>
        <v>742</v>
      </c>
      <c r="S22" s="198">
        <f>ROUND(N(data!W73), 0)</f>
        <v>133810</v>
      </c>
      <c r="T22" s="198">
        <f>ROUND(N(data!W74), 0)</f>
        <v>3494</v>
      </c>
      <c r="U22" s="198">
        <f>ROUND(N(data!W75), 0)</f>
        <v>0</v>
      </c>
      <c r="V22" s="198">
        <f>ROUND(N(data!W76), 0)</f>
        <v>0</v>
      </c>
      <c r="W22" s="198">
        <f>ROUND(N(data!W77), 0)</f>
        <v>42281</v>
      </c>
      <c r="X22" s="198">
        <f>ROUND(N(data!W78), 0)</f>
        <v>146611</v>
      </c>
      <c r="Y22" s="198">
        <f>ROUND(N(data!W79), 0)</f>
        <v>0</v>
      </c>
      <c r="Z22" s="198">
        <f>ROUND(N(data!W80), 0)</f>
        <v>2064</v>
      </c>
      <c r="AA22" s="198">
        <f>ROUND(N(data!W81), 0)</f>
        <v>251</v>
      </c>
      <c r="AB22" s="198">
        <f>ROUND(N(data!W82), 0)</f>
        <v>18551</v>
      </c>
      <c r="AC22" s="198">
        <f>ROUND(N(data!W83), 0)</f>
        <v>11400</v>
      </c>
      <c r="AD22" s="198">
        <f>ROUND(N(data!W84), 0)</f>
        <v>0</v>
      </c>
      <c r="AE22" s="198">
        <f>ROUND(N(data!W89), 0)</f>
        <v>122425623</v>
      </c>
      <c r="AF22" s="198">
        <f>ROUND(N(data!W87), 0)</f>
        <v>25325860</v>
      </c>
      <c r="AG22" s="198">
        <f>ROUND(N(data!W90), 0)</f>
        <v>16161</v>
      </c>
      <c r="AH22" s="198">
        <f>ROUND(N(data!W91), 0)</f>
        <v>0</v>
      </c>
      <c r="AI22" s="198">
        <f>ROUND(N(data!W92), 0)</f>
        <v>4190</v>
      </c>
      <c r="AJ22" s="198">
        <f>ROUND(N(data!W93), 0)</f>
        <v>23782</v>
      </c>
      <c r="AK22" s="271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RIGHT(data!$C$97,3)</f>
        <v>176</v>
      </c>
      <c r="B23" s="200" t="str">
        <f>RIGHT(data!$C$96,4)</f>
        <v>2024</v>
      </c>
      <c r="C23" s="12" t="str">
        <f>data!X$55</f>
        <v>7130</v>
      </c>
      <c r="D23" s="12" t="s">
        <v>1160</v>
      </c>
      <c r="E23" s="198">
        <f>ROUND(N(data!X59), 0)</f>
        <v>83810</v>
      </c>
      <c r="F23" s="271">
        <f>ROUND(N(data!X60), 2)</f>
        <v>39</v>
      </c>
      <c r="G23" s="198">
        <f>ROUND(N(data!X61), 0)</f>
        <v>3363756</v>
      </c>
      <c r="H23" s="198">
        <f>ROUND(N(data!X62), 0)</f>
        <v>772852</v>
      </c>
      <c r="I23" s="198">
        <f>ROUND(N(data!X63), 0)</f>
        <v>0</v>
      </c>
      <c r="J23" s="198">
        <f>ROUND(N(data!X64), 0)</f>
        <v>2661262</v>
      </c>
      <c r="K23" s="198">
        <f>ROUND(N(data!X65), 0)</f>
        <v>0</v>
      </c>
      <c r="L23" s="198">
        <f>ROUND(N(data!X66), 0)</f>
        <v>9201976</v>
      </c>
      <c r="M23" s="198">
        <f>ROUND(N(data!X67), 0)</f>
        <v>338410</v>
      </c>
      <c r="N23" s="198">
        <f>ROUND(N(data!X68), 0)</f>
        <v>0</v>
      </c>
      <c r="O23" s="198">
        <f>ROUND(N(data!X69), 0)</f>
        <v>1254872</v>
      </c>
      <c r="P23" s="198">
        <f>ROUND(N(data!X70), 0)</f>
        <v>0</v>
      </c>
      <c r="Q23" s="198">
        <f>ROUND(N(data!X71), 0)</f>
        <v>830063</v>
      </c>
      <c r="R23" s="198">
        <f>ROUND(N(data!X72), 0)</f>
        <v>210</v>
      </c>
      <c r="S23" s="198">
        <f>ROUND(N(data!X73), 0)</f>
        <v>100864</v>
      </c>
      <c r="T23" s="198">
        <f>ROUND(N(data!X74), 0)</f>
        <v>109429</v>
      </c>
      <c r="U23" s="198">
        <f>ROUND(N(data!X75), 0)</f>
        <v>0</v>
      </c>
      <c r="V23" s="198">
        <f>ROUND(N(data!X76), 0)</f>
        <v>0</v>
      </c>
      <c r="W23" s="198">
        <f>ROUND(N(data!X77), 0)</f>
        <v>21224</v>
      </c>
      <c r="X23" s="198">
        <f>ROUND(N(data!X78), 0)</f>
        <v>163292</v>
      </c>
      <c r="Y23" s="198">
        <f>ROUND(N(data!X79), 0)</f>
        <v>0</v>
      </c>
      <c r="Z23" s="198">
        <f>ROUND(N(data!X80), 0)</f>
        <v>2059</v>
      </c>
      <c r="AA23" s="198">
        <f>ROUND(N(data!X81), 0)</f>
        <v>0</v>
      </c>
      <c r="AB23" s="198">
        <f>ROUND(N(data!X82), 0)</f>
        <v>13939</v>
      </c>
      <c r="AC23" s="198">
        <f>ROUND(N(data!X83), 0)</f>
        <v>13792</v>
      </c>
      <c r="AD23" s="198">
        <f>ROUND(N(data!X84), 0)</f>
        <v>0</v>
      </c>
      <c r="AE23" s="198">
        <f>ROUND(N(data!X89), 0)</f>
        <v>289458388</v>
      </c>
      <c r="AF23" s="198">
        <f>ROUND(N(data!X87), 0)</f>
        <v>97367554</v>
      </c>
      <c r="AG23" s="198">
        <f>ROUND(N(data!X90), 0)</f>
        <v>2798</v>
      </c>
      <c r="AH23" s="198">
        <f>ROUND(N(data!X91), 0)</f>
        <v>0</v>
      </c>
      <c r="AI23" s="198">
        <f>ROUND(N(data!X92), 0)</f>
        <v>0</v>
      </c>
      <c r="AJ23" s="198">
        <f>ROUND(N(data!X93), 0)</f>
        <v>173085</v>
      </c>
      <c r="AK23" s="271">
        <f>ROUND(N(data!X94), 2)</f>
        <v>0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RIGHT(data!$C$97,3)</f>
        <v>176</v>
      </c>
      <c r="B24" s="200" t="str">
        <f>RIGHT(data!$C$96,4)</f>
        <v>2024</v>
      </c>
      <c r="C24" s="12" t="str">
        <f>data!Y$55</f>
        <v>7140</v>
      </c>
      <c r="D24" s="12" t="s">
        <v>1160</v>
      </c>
      <c r="E24" s="198">
        <f>ROUND(N(data!Y59), 0)</f>
        <v>246741</v>
      </c>
      <c r="F24" s="271">
        <f>ROUND(N(data!Y60), 2)</f>
        <v>106</v>
      </c>
      <c r="G24" s="198">
        <f>ROUND(N(data!Y61), 0)</f>
        <v>9993113</v>
      </c>
      <c r="H24" s="198">
        <f>ROUND(N(data!Y62), 0)</f>
        <v>2211965</v>
      </c>
      <c r="I24" s="198">
        <f>ROUND(N(data!Y63), 0)</f>
        <v>6915</v>
      </c>
      <c r="J24" s="198">
        <f>ROUND(N(data!Y64), 0)</f>
        <v>6966384</v>
      </c>
      <c r="K24" s="198">
        <f>ROUND(N(data!Y65), 0)</f>
        <v>0</v>
      </c>
      <c r="L24" s="198">
        <f>ROUND(N(data!Y66), 0)</f>
        <v>7879500</v>
      </c>
      <c r="M24" s="198">
        <f>ROUND(N(data!Y67), 0)</f>
        <v>1081630</v>
      </c>
      <c r="N24" s="198">
        <f>ROUND(N(data!Y68), 0)</f>
        <v>41</v>
      </c>
      <c r="O24" s="198">
        <f>ROUND(N(data!Y69), 0)</f>
        <v>2672857</v>
      </c>
      <c r="P24" s="198">
        <f>ROUND(N(data!Y70), 0)</f>
        <v>0</v>
      </c>
      <c r="Q24" s="198">
        <f>ROUND(N(data!Y71), 0)</f>
        <v>1608024</v>
      </c>
      <c r="R24" s="198">
        <f>ROUND(N(data!Y72), 0)</f>
        <v>630</v>
      </c>
      <c r="S24" s="198">
        <f>ROUND(N(data!Y73), 0)</f>
        <v>355639</v>
      </c>
      <c r="T24" s="198">
        <f>ROUND(N(data!Y74), 0)</f>
        <v>87462</v>
      </c>
      <c r="U24" s="198">
        <f>ROUND(N(data!Y75), 0)</f>
        <v>0</v>
      </c>
      <c r="V24" s="198">
        <f>ROUND(N(data!Y76), 0)</f>
        <v>0</v>
      </c>
      <c r="W24" s="198">
        <f>ROUND(N(data!Y77), 0)</f>
        <v>8582</v>
      </c>
      <c r="X24" s="198">
        <f>ROUND(N(data!Y78), 0)</f>
        <v>449080</v>
      </c>
      <c r="Y24" s="198">
        <f>ROUND(N(data!Y79), 0)</f>
        <v>0</v>
      </c>
      <c r="Z24" s="198">
        <f>ROUND(N(data!Y80), 0)</f>
        <v>7764</v>
      </c>
      <c r="AA24" s="198">
        <f>ROUND(N(data!Y81), 0)</f>
        <v>0</v>
      </c>
      <c r="AB24" s="198">
        <f>ROUND(N(data!Y82), 0)</f>
        <v>95591</v>
      </c>
      <c r="AC24" s="198">
        <f>ROUND(N(data!Y83), 0)</f>
        <v>60086</v>
      </c>
      <c r="AD24" s="198">
        <f>ROUND(N(data!Y84), 0)</f>
        <v>0</v>
      </c>
      <c r="AE24" s="198">
        <f>ROUND(N(data!Y89), 0)</f>
        <v>202704004</v>
      </c>
      <c r="AF24" s="198">
        <f>ROUND(N(data!Y87), 0)</f>
        <v>109752077</v>
      </c>
      <c r="AG24" s="198">
        <f>ROUND(N(data!Y90), 0)</f>
        <v>13122</v>
      </c>
      <c r="AH24" s="198">
        <f>ROUND(N(data!Y91), 0)</f>
        <v>102</v>
      </c>
      <c r="AI24" s="198">
        <f>ROUND(N(data!Y92), 0)</f>
        <v>6225</v>
      </c>
      <c r="AJ24" s="198">
        <f>ROUND(N(data!Y93), 0)</f>
        <v>150955</v>
      </c>
      <c r="AK24" s="271">
        <f>ROUND(N(data!Y94), 2)</f>
        <v>13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RIGHT(data!$C$97,3)</f>
        <v>176</v>
      </c>
      <c r="B25" s="200" t="str">
        <f>RIGHT(data!$C$96,4)</f>
        <v>2024</v>
      </c>
      <c r="C25" s="12" t="str">
        <f>data!Z$55</f>
        <v>7150</v>
      </c>
      <c r="D25" s="12" t="s">
        <v>1160</v>
      </c>
      <c r="E25" s="198">
        <f>ROUND(N(data!Z59), 0)</f>
        <v>0</v>
      </c>
      <c r="F25" s="271">
        <f>ROUND(N(data!Z60), 2)</f>
        <v>0</v>
      </c>
      <c r="G25" s="198">
        <f>ROUND(N(data!Z61), 0)</f>
        <v>0</v>
      </c>
      <c r="H25" s="198">
        <f>ROUND(N(data!Z62), 0)</f>
        <v>0</v>
      </c>
      <c r="I25" s="198">
        <f>ROUND(N(data!Z63), 0)</f>
        <v>0</v>
      </c>
      <c r="J25" s="198">
        <f>ROUND(N(data!Z64), 0)</f>
        <v>0</v>
      </c>
      <c r="K25" s="198">
        <f>ROUND(N(data!Z65), 0)</f>
        <v>0</v>
      </c>
      <c r="L25" s="198">
        <f>ROUND(N(data!Z66), 0)</f>
        <v>0</v>
      </c>
      <c r="M25" s="198">
        <f>ROUND(N(data!Z67), 0)</f>
        <v>0</v>
      </c>
      <c r="N25" s="198">
        <f>ROUND(N(data!Z68), 0)</f>
        <v>0</v>
      </c>
      <c r="O25" s="198">
        <f>ROUND(N(data!Z69), 0)</f>
        <v>0</v>
      </c>
      <c r="P25" s="198">
        <f>ROUND(N(data!Z70), 0)</f>
        <v>0</v>
      </c>
      <c r="Q25" s="198">
        <f>ROUND(N(data!Z71), 0)</f>
        <v>0</v>
      </c>
      <c r="R25" s="198">
        <f>ROUND(N(data!Z72), 0)</f>
        <v>0</v>
      </c>
      <c r="S25" s="198">
        <f>ROUND(N(data!Z73), 0)</f>
        <v>0</v>
      </c>
      <c r="T25" s="198">
        <f>ROUND(N(data!Z74), 0)</f>
        <v>0</v>
      </c>
      <c r="U25" s="198">
        <f>ROUND(N(data!Z75), 0)</f>
        <v>0</v>
      </c>
      <c r="V25" s="198">
        <f>ROUND(N(data!Z76), 0)</f>
        <v>0</v>
      </c>
      <c r="W25" s="198">
        <f>ROUND(N(data!Z77), 0)</f>
        <v>0</v>
      </c>
      <c r="X25" s="198">
        <f>ROUND(N(data!Z78), 0)</f>
        <v>0</v>
      </c>
      <c r="Y25" s="198">
        <f>ROUND(N(data!Z79), 0)</f>
        <v>0</v>
      </c>
      <c r="Z25" s="198">
        <f>ROUND(N(data!Z80), 0)</f>
        <v>0</v>
      </c>
      <c r="AA25" s="198">
        <f>ROUND(N(data!Z81), 0)</f>
        <v>0</v>
      </c>
      <c r="AB25" s="198">
        <f>ROUND(N(data!Z82), 0)</f>
        <v>0</v>
      </c>
      <c r="AC25" s="198">
        <f>ROUND(N(data!Z83), 0)</f>
        <v>0</v>
      </c>
      <c r="AD25" s="198">
        <f>ROUND(N(data!Z84), 0)</f>
        <v>0</v>
      </c>
      <c r="AE25" s="198">
        <f>ROUND(N(data!Z89), 0)</f>
        <v>0</v>
      </c>
      <c r="AF25" s="198">
        <f>ROUND(N(data!Z87), 0)</f>
        <v>0</v>
      </c>
      <c r="AG25" s="198">
        <f>ROUND(N(data!Z90), 0)</f>
        <v>18342</v>
      </c>
      <c r="AH25" s="198">
        <f>ROUND(N(data!Z91), 0)</f>
        <v>2</v>
      </c>
      <c r="AI25" s="198">
        <f>ROUND(N(data!Z92), 0)</f>
        <v>0</v>
      </c>
      <c r="AJ25" s="198">
        <f>ROUND(N(data!Z93), 0)</f>
        <v>0</v>
      </c>
      <c r="AK25" s="271">
        <f>ROUND(N(data!Z94), 2)</f>
        <v>0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RIGHT(data!$C$97,3)</f>
        <v>176</v>
      </c>
      <c r="B26" s="200" t="str">
        <f>RIGHT(data!$C$96,4)</f>
        <v>2024</v>
      </c>
      <c r="C26" s="12" t="str">
        <f>data!AA$55</f>
        <v>7160</v>
      </c>
      <c r="D26" s="12" t="s">
        <v>1160</v>
      </c>
      <c r="E26" s="198">
        <f>ROUND(N(data!AA59), 0)</f>
        <v>2165</v>
      </c>
      <c r="F26" s="271">
        <f>ROUND(N(data!AA60), 2)</f>
        <v>6</v>
      </c>
      <c r="G26" s="198">
        <f>ROUND(N(data!AA61), 0)</f>
        <v>750348</v>
      </c>
      <c r="H26" s="198">
        <f>ROUND(N(data!AA62), 0)</f>
        <v>147537</v>
      </c>
      <c r="I26" s="198">
        <f>ROUND(N(data!AA63), 0)</f>
        <v>0</v>
      </c>
      <c r="J26" s="198">
        <f>ROUND(N(data!AA64), 0)</f>
        <v>652724</v>
      </c>
      <c r="K26" s="198">
        <f>ROUND(N(data!AA65), 0)</f>
        <v>0</v>
      </c>
      <c r="L26" s="198">
        <f>ROUND(N(data!AA66), 0)</f>
        <v>505713</v>
      </c>
      <c r="M26" s="198">
        <f>ROUND(N(data!AA67), 0)</f>
        <v>22943</v>
      </c>
      <c r="N26" s="198">
        <f>ROUND(N(data!AA68), 0)</f>
        <v>0</v>
      </c>
      <c r="O26" s="198">
        <f>ROUND(N(data!AA69), 0)</f>
        <v>74246</v>
      </c>
      <c r="P26" s="198">
        <f>ROUND(N(data!AA70), 0)</f>
        <v>0</v>
      </c>
      <c r="Q26" s="198">
        <f>ROUND(N(data!AA71), 0)</f>
        <v>0</v>
      </c>
      <c r="R26" s="198">
        <f>ROUND(N(data!AA72), 0)</f>
        <v>0</v>
      </c>
      <c r="S26" s="198">
        <f>ROUND(N(data!AA73), 0)</f>
        <v>29540</v>
      </c>
      <c r="T26" s="198">
        <f>ROUND(N(data!AA74), 0)</f>
        <v>0</v>
      </c>
      <c r="U26" s="198">
        <f>ROUND(N(data!AA75), 0)</f>
        <v>0</v>
      </c>
      <c r="V26" s="198">
        <f>ROUND(N(data!AA76), 0)</f>
        <v>0</v>
      </c>
      <c r="W26" s="198">
        <f>ROUND(N(data!AA77), 0)</f>
        <v>520</v>
      </c>
      <c r="X26" s="198">
        <f>ROUND(N(data!AA78), 0)</f>
        <v>36037</v>
      </c>
      <c r="Y26" s="198">
        <f>ROUND(N(data!AA79), 0)</f>
        <v>0</v>
      </c>
      <c r="Z26" s="198">
        <f>ROUND(N(data!AA80), 0)</f>
        <v>469</v>
      </c>
      <c r="AA26" s="198">
        <f>ROUND(N(data!AA81), 0)</f>
        <v>0</v>
      </c>
      <c r="AB26" s="198">
        <f>ROUND(N(data!AA82), 0)</f>
        <v>5809</v>
      </c>
      <c r="AC26" s="198">
        <f>ROUND(N(data!AA83), 0)</f>
        <v>1871</v>
      </c>
      <c r="AD26" s="198">
        <f>ROUND(N(data!AA84), 0)</f>
        <v>0</v>
      </c>
      <c r="AE26" s="198">
        <f>ROUND(N(data!AA89), 0)</f>
        <v>8913047</v>
      </c>
      <c r="AF26" s="198">
        <f>ROUND(N(data!AA87), 0)</f>
        <v>3117870</v>
      </c>
      <c r="AG26" s="198">
        <f>ROUND(N(data!AA90), 0)</f>
        <v>1709</v>
      </c>
      <c r="AH26" s="198">
        <f>ROUND(N(data!AA91), 0)</f>
        <v>0</v>
      </c>
      <c r="AI26" s="198">
        <f>ROUND(N(data!AA92), 0)</f>
        <v>0</v>
      </c>
      <c r="AJ26" s="198">
        <f>ROUND(N(data!AA93), 0)</f>
        <v>0</v>
      </c>
      <c r="AK26" s="271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RIGHT(data!$C$97,3)</f>
        <v>176</v>
      </c>
      <c r="B27" s="200" t="str">
        <f>RIGHT(data!$C$96,4)</f>
        <v>2024</v>
      </c>
      <c r="C27" s="12" t="str">
        <f>data!AB$55</f>
        <v>7170</v>
      </c>
      <c r="D27" s="12" t="s">
        <v>1160</v>
      </c>
      <c r="E27" s="198">
        <f>ROUND(N(data!AB59), 0)</f>
        <v>0</v>
      </c>
      <c r="F27" s="271">
        <f>ROUND(N(data!AB60), 2)</f>
        <v>213</v>
      </c>
      <c r="G27" s="198">
        <f>ROUND(N(data!AB61), 0)</f>
        <v>21318106</v>
      </c>
      <c r="H27" s="198">
        <f>ROUND(N(data!AB62), 0)</f>
        <v>4920628</v>
      </c>
      <c r="I27" s="198">
        <f>ROUND(N(data!AB63), 0)</f>
        <v>6500</v>
      </c>
      <c r="J27" s="198">
        <f>ROUND(N(data!AB64), 0)</f>
        <v>156095502</v>
      </c>
      <c r="K27" s="198">
        <f>ROUND(N(data!AB65), 0)</f>
        <v>0</v>
      </c>
      <c r="L27" s="198">
        <f>ROUND(N(data!AB66), 0)</f>
        <v>29458881</v>
      </c>
      <c r="M27" s="198">
        <f>ROUND(N(data!AB67), 0)</f>
        <v>715313</v>
      </c>
      <c r="N27" s="198">
        <f>ROUND(N(data!AB68), 0)</f>
        <v>214622</v>
      </c>
      <c r="O27" s="198">
        <f>ROUND(N(data!AB69), 0)</f>
        <v>6569734</v>
      </c>
      <c r="P27" s="198">
        <f>ROUND(N(data!AB70), 0)</f>
        <v>0</v>
      </c>
      <c r="Q27" s="198">
        <f>ROUND(N(data!AB71), 0)</f>
        <v>0</v>
      </c>
      <c r="R27" s="198">
        <f>ROUND(N(data!AB72), 0)</f>
        <v>221125</v>
      </c>
      <c r="S27" s="198">
        <f>ROUND(N(data!AB73), 0)</f>
        <v>2677934</v>
      </c>
      <c r="T27" s="198">
        <f>ROUND(N(data!AB74), 0)</f>
        <v>25652</v>
      </c>
      <c r="U27" s="198">
        <f>ROUND(N(data!AB75), 0)</f>
        <v>0</v>
      </c>
      <c r="V27" s="198">
        <f>ROUND(N(data!AB76), 0)</f>
        <v>0</v>
      </c>
      <c r="W27" s="198">
        <f>ROUND(N(data!AB77), 0)</f>
        <v>45912</v>
      </c>
      <c r="X27" s="198">
        <f>ROUND(N(data!AB78), 0)</f>
        <v>3364842</v>
      </c>
      <c r="Y27" s="198">
        <f>ROUND(N(data!AB79), 0)</f>
        <v>277</v>
      </c>
      <c r="Z27" s="198">
        <f>ROUND(N(data!AB80), 0)</f>
        <v>15496</v>
      </c>
      <c r="AA27" s="198">
        <f>ROUND(N(data!AB81), 0)</f>
        <v>0</v>
      </c>
      <c r="AB27" s="198">
        <f>ROUND(N(data!AB82), 0)</f>
        <v>56998</v>
      </c>
      <c r="AC27" s="198">
        <f>ROUND(N(data!AB83), 0)</f>
        <v>161497</v>
      </c>
      <c r="AD27" s="198">
        <f>ROUND(N(data!AB84), 0)</f>
        <v>93288</v>
      </c>
      <c r="AE27" s="198">
        <f>ROUND(N(data!AB89), 0)</f>
        <v>945534596</v>
      </c>
      <c r="AF27" s="198">
        <f>ROUND(N(data!AB87), 0)</f>
        <v>130823460</v>
      </c>
      <c r="AG27" s="198">
        <f>ROUND(N(data!AB90), 0)</f>
        <v>13426</v>
      </c>
      <c r="AH27" s="198">
        <f>ROUND(N(data!AB91), 0)</f>
        <v>0</v>
      </c>
      <c r="AI27" s="198">
        <f>ROUND(N(data!AB92), 0)</f>
        <v>1265</v>
      </c>
      <c r="AJ27" s="198">
        <f>ROUND(N(data!AB93), 0)</f>
        <v>21318</v>
      </c>
      <c r="AK27" s="271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RIGHT(data!$C$97,3)</f>
        <v>176</v>
      </c>
      <c r="B28" s="200" t="str">
        <f>RIGHT(data!$C$96,4)</f>
        <v>2024</v>
      </c>
      <c r="C28" s="12" t="str">
        <f>data!AC$55</f>
        <v>7180</v>
      </c>
      <c r="D28" s="12" t="s">
        <v>1160</v>
      </c>
      <c r="E28" s="198">
        <f>ROUND(N(data!AC59), 0)</f>
        <v>206921</v>
      </c>
      <c r="F28" s="271">
        <f>ROUND(N(data!AC60), 2)</f>
        <v>67</v>
      </c>
      <c r="G28" s="198">
        <f>ROUND(N(data!AC61), 0)</f>
        <v>5130854</v>
      </c>
      <c r="H28" s="198">
        <f>ROUND(N(data!AC62), 0)</f>
        <v>1276820</v>
      </c>
      <c r="I28" s="198">
        <f>ROUND(N(data!AC63), 0)</f>
        <v>0</v>
      </c>
      <c r="J28" s="198">
        <f>ROUND(N(data!AC64), 0)</f>
        <v>1488349</v>
      </c>
      <c r="K28" s="198">
        <f>ROUND(N(data!AC65), 0)</f>
        <v>0</v>
      </c>
      <c r="L28" s="198">
        <f>ROUND(N(data!AC66), 0)</f>
        <v>5328137</v>
      </c>
      <c r="M28" s="198">
        <f>ROUND(N(data!AC67), 0)</f>
        <v>184359</v>
      </c>
      <c r="N28" s="198">
        <f>ROUND(N(data!AC68), 0)</f>
        <v>9907</v>
      </c>
      <c r="O28" s="198">
        <f>ROUND(N(data!AC69), 0)</f>
        <v>345988</v>
      </c>
      <c r="P28" s="198">
        <f>ROUND(N(data!AC70), 0)</f>
        <v>0</v>
      </c>
      <c r="Q28" s="198">
        <f>ROUND(N(data!AC71), 0)</f>
        <v>0</v>
      </c>
      <c r="R28" s="198">
        <f>ROUND(N(data!AC72), 0)</f>
        <v>609</v>
      </c>
      <c r="S28" s="198">
        <f>ROUND(N(data!AC73), 0)</f>
        <v>164403</v>
      </c>
      <c r="T28" s="198">
        <f>ROUND(N(data!AC74), 0)</f>
        <v>0</v>
      </c>
      <c r="U28" s="198">
        <f>ROUND(N(data!AC75), 0)</f>
        <v>0</v>
      </c>
      <c r="V28" s="198">
        <f>ROUND(N(data!AC76), 0)</f>
        <v>0</v>
      </c>
      <c r="W28" s="198">
        <f>ROUND(N(data!AC77), 0)</f>
        <v>11189</v>
      </c>
      <c r="X28" s="198">
        <f>ROUND(N(data!AC78), 0)</f>
        <v>179634</v>
      </c>
      <c r="Y28" s="198">
        <f>ROUND(N(data!AC79), 0)</f>
        <v>0</v>
      </c>
      <c r="Z28" s="198">
        <f>ROUND(N(data!AC80), 0)</f>
        <v>10348</v>
      </c>
      <c r="AA28" s="198">
        <f>ROUND(N(data!AC81), 0)</f>
        <v>0</v>
      </c>
      <c r="AB28" s="198">
        <f>ROUND(N(data!AC82), 0)</f>
        <v>7874</v>
      </c>
      <c r="AC28" s="198">
        <f>ROUND(N(data!AC83), 0)</f>
        <v>-28069</v>
      </c>
      <c r="AD28" s="198">
        <f>ROUND(N(data!AC84), 0)</f>
        <v>0</v>
      </c>
      <c r="AE28" s="198">
        <f>ROUND(N(data!AC89), 0)</f>
        <v>66283619</v>
      </c>
      <c r="AF28" s="198">
        <f>ROUND(N(data!AC87), 0)</f>
        <v>64164746</v>
      </c>
      <c r="AG28" s="198">
        <f>ROUND(N(data!AC90), 0)</f>
        <v>2307</v>
      </c>
      <c r="AH28" s="198">
        <f>ROUND(N(data!AC91), 0)</f>
        <v>0</v>
      </c>
      <c r="AI28" s="198">
        <f>ROUND(N(data!AC92), 0)</f>
        <v>0</v>
      </c>
      <c r="AJ28" s="198">
        <f>ROUND(N(data!AC93), 0)</f>
        <v>1517</v>
      </c>
      <c r="AK28" s="271">
        <f>ROUND(N(data!AC94), 2)</f>
        <v>0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RIGHT(data!$C$97,3)</f>
        <v>176</v>
      </c>
      <c r="B29" s="200" t="str">
        <f>RIGHT(data!$C$96,4)</f>
        <v>2024</v>
      </c>
      <c r="C29" s="12" t="str">
        <f>data!AD$55</f>
        <v>7190</v>
      </c>
      <c r="D29" s="12" t="s">
        <v>1160</v>
      </c>
      <c r="E29" s="198">
        <f>ROUND(N(data!AD59), 0)</f>
        <v>0</v>
      </c>
      <c r="F29" s="271">
        <f>ROUND(N(data!AD60), 2)</f>
        <v>0</v>
      </c>
      <c r="G29" s="198">
        <f>ROUND(N(data!AD61), 0)</f>
        <v>0</v>
      </c>
      <c r="H29" s="198">
        <f>ROUND(N(data!AD62), 0)</f>
        <v>0</v>
      </c>
      <c r="I29" s="198">
        <f>ROUND(N(data!AD63), 0)</f>
        <v>0</v>
      </c>
      <c r="J29" s="198">
        <f>ROUND(N(data!AD64), 0)</f>
        <v>20667</v>
      </c>
      <c r="K29" s="198">
        <f>ROUND(N(data!AD65), 0)</f>
        <v>0</v>
      </c>
      <c r="L29" s="198">
        <f>ROUND(N(data!AD66), 0)</f>
        <v>3102665</v>
      </c>
      <c r="M29" s="198">
        <f>ROUND(N(data!AD67), 0)</f>
        <v>4128</v>
      </c>
      <c r="N29" s="198">
        <f>ROUND(N(data!AD68), 0)</f>
        <v>0</v>
      </c>
      <c r="O29" s="198">
        <f>ROUND(N(data!AD69), 0)</f>
        <v>110678</v>
      </c>
      <c r="P29" s="198">
        <f>ROUND(N(data!AD70), 0)</f>
        <v>0</v>
      </c>
      <c r="Q29" s="198">
        <f>ROUND(N(data!AD71), 0)</f>
        <v>0</v>
      </c>
      <c r="R29" s="198">
        <f>ROUND(N(data!AD72), 0)</f>
        <v>0</v>
      </c>
      <c r="S29" s="198">
        <f>ROUND(N(data!AD73), 0)</f>
        <v>37544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13953</v>
      </c>
      <c r="X29" s="198">
        <f>ROUND(N(data!AD78), 0)</f>
        <v>57854</v>
      </c>
      <c r="Y29" s="198">
        <f>ROUND(N(data!AD79), 0)</f>
        <v>0</v>
      </c>
      <c r="Z29" s="198">
        <f>ROUND(N(data!AD80), 0)</f>
        <v>0</v>
      </c>
      <c r="AA29" s="198">
        <f>ROUND(N(data!AD81), 0)</f>
        <v>0</v>
      </c>
      <c r="AB29" s="198">
        <f>ROUND(N(data!AD82), 0)</f>
        <v>1008</v>
      </c>
      <c r="AC29" s="198">
        <f>ROUND(N(data!AD83), 0)</f>
        <v>319</v>
      </c>
      <c r="AD29" s="198">
        <f>ROUND(N(data!AD84), 0)</f>
        <v>0</v>
      </c>
      <c r="AE29" s="198">
        <f>ROUND(N(data!AD89), 0)</f>
        <v>5118676</v>
      </c>
      <c r="AF29" s="198">
        <f>ROUND(N(data!AD87), 0)</f>
        <v>4969073</v>
      </c>
      <c r="AG29" s="198">
        <f>ROUND(N(data!AD90), 0)</f>
        <v>327</v>
      </c>
      <c r="AH29" s="198">
        <f>ROUND(N(data!AD91), 0)</f>
        <v>0</v>
      </c>
      <c r="AI29" s="198">
        <f>ROUND(N(data!AD92), 0)</f>
        <v>0</v>
      </c>
      <c r="AJ29" s="198">
        <f>ROUND(N(data!AD93), 0)</f>
        <v>0</v>
      </c>
      <c r="AK29" s="271">
        <f>ROUND(N(data!AD94),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RIGHT(data!$C$97,3)</f>
        <v>176</v>
      </c>
      <c r="B30" s="200" t="str">
        <f>RIGHT(data!$C$96,4)</f>
        <v>2024</v>
      </c>
      <c r="C30" s="12" t="str">
        <f>data!AE$55</f>
        <v>7200</v>
      </c>
      <c r="D30" s="12" t="s">
        <v>1160</v>
      </c>
      <c r="E30" s="198">
        <f>ROUND(N(data!AE59), 0)</f>
        <v>0</v>
      </c>
      <c r="F30" s="271">
        <f>ROUND(N(data!AE60), 2)</f>
        <v>0</v>
      </c>
      <c r="G30" s="198">
        <f>ROUND(N(data!AE61), 0)</f>
        <v>0</v>
      </c>
      <c r="H30" s="198">
        <f>ROUND(N(data!AE62), 0)</f>
        <v>0</v>
      </c>
      <c r="I30" s="198">
        <f>ROUND(N(data!AE63), 0)</f>
        <v>0</v>
      </c>
      <c r="J30" s="198">
        <f>ROUND(N(data!AE64), 0)</f>
        <v>0</v>
      </c>
      <c r="K30" s="198">
        <f>ROUND(N(data!AE65), 0)</f>
        <v>0</v>
      </c>
      <c r="L30" s="198">
        <f>ROUND(N(data!AE66), 0)</f>
        <v>0</v>
      </c>
      <c r="M30" s="198">
        <f>ROUND(N(data!AE67), 0)</f>
        <v>14208</v>
      </c>
      <c r="N30" s="198">
        <f>ROUND(N(data!AE68), 0)</f>
        <v>0</v>
      </c>
      <c r="O30" s="198">
        <f>ROUND(N(data!AE69), 0)</f>
        <v>610</v>
      </c>
      <c r="P30" s="198">
        <f>ROUND(N(data!AE70), 0)</f>
        <v>0</v>
      </c>
      <c r="Q30" s="198">
        <f>ROUND(N(data!AE71), 0)</f>
        <v>0</v>
      </c>
      <c r="R30" s="198">
        <f>ROUND(N(data!AE72), 0)</f>
        <v>0</v>
      </c>
      <c r="S30" s="198">
        <f>ROUND(N(data!AE73), 0)</f>
        <v>0</v>
      </c>
      <c r="T30" s="198">
        <f>ROUND(N(data!AE74), 0)</f>
        <v>0</v>
      </c>
      <c r="U30" s="198">
        <f>ROUND(N(data!AE75), 0)</f>
        <v>0</v>
      </c>
      <c r="V30" s="198">
        <f>ROUND(N(data!AE76), 0)</f>
        <v>0</v>
      </c>
      <c r="W30" s="198">
        <f>ROUND(N(data!AE77), 0)</f>
        <v>0</v>
      </c>
      <c r="X30" s="198">
        <f>ROUND(N(data!AE78), 0)</f>
        <v>0</v>
      </c>
      <c r="Y30" s="198">
        <f>ROUND(N(data!AE79), 0)</f>
        <v>0</v>
      </c>
      <c r="Z30" s="198">
        <f>ROUND(N(data!AE80), 0)</f>
        <v>0</v>
      </c>
      <c r="AA30" s="198">
        <f>ROUND(N(data!AE81), 0)</f>
        <v>0</v>
      </c>
      <c r="AB30" s="198">
        <f>ROUND(N(data!AE82), 0)</f>
        <v>213</v>
      </c>
      <c r="AC30" s="198">
        <f>ROUND(N(data!AE83), 0)</f>
        <v>397</v>
      </c>
      <c r="AD30" s="198">
        <f>ROUND(N(data!AE84), 0)</f>
        <v>0</v>
      </c>
      <c r="AE30" s="198">
        <f>ROUND(N(data!AE89), 0)</f>
        <v>0</v>
      </c>
      <c r="AF30" s="198">
        <f>ROUND(N(data!AE87), 0)</f>
        <v>0</v>
      </c>
      <c r="AG30" s="198">
        <f>ROUND(N(data!AE90), 0)</f>
        <v>1244</v>
      </c>
      <c r="AH30" s="198">
        <f>ROUND(N(data!AE91), 0)</f>
        <v>0</v>
      </c>
      <c r="AI30" s="198">
        <f>ROUND(N(data!AE92), 0)</f>
        <v>0</v>
      </c>
      <c r="AJ30" s="198">
        <f>ROUND(N(data!AE93), 0)</f>
        <v>5484</v>
      </c>
      <c r="AK30" s="271">
        <f>ROUND(N(data!AE94),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RIGHT(data!$C$97,3)</f>
        <v>176</v>
      </c>
      <c r="B31" s="200" t="str">
        <f>RIGHT(data!$C$96,4)</f>
        <v>2024</v>
      </c>
      <c r="C31" s="12" t="str">
        <f>data!AF$55</f>
        <v>7220</v>
      </c>
      <c r="D31" s="12" t="s">
        <v>1160</v>
      </c>
      <c r="E31" s="198">
        <f>ROUND(N(data!AF59), 0)</f>
        <v>0</v>
      </c>
      <c r="F31" s="271">
        <f>ROUND(N(data!AF60), 2)</f>
        <v>0</v>
      </c>
      <c r="G31" s="198">
        <f>ROUND(N(data!AF61), 0)</f>
        <v>779</v>
      </c>
      <c r="H31" s="198">
        <f>ROUND(N(data!AF62), 0)</f>
        <v>154</v>
      </c>
      <c r="I31" s="198">
        <f>ROUND(N(data!AF63), 0)</f>
        <v>0</v>
      </c>
      <c r="J31" s="198">
        <f>ROUND(N(data!AF64), 0)</f>
        <v>20</v>
      </c>
      <c r="K31" s="198">
        <f>ROUND(N(data!AF65), 0)</f>
        <v>0</v>
      </c>
      <c r="L31" s="198">
        <f>ROUND(N(data!AF66), 0)</f>
        <v>-6395</v>
      </c>
      <c r="M31" s="198">
        <f>ROUND(N(data!AF67), 0)</f>
        <v>603</v>
      </c>
      <c r="N31" s="198">
        <f>ROUND(N(data!AF68), 0)</f>
        <v>0</v>
      </c>
      <c r="O31" s="198">
        <f>ROUND(N(data!AF69), 0)</f>
        <v>3844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2189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>
        <f>ROUND(N(data!AF82), 0)</f>
        <v>1630</v>
      </c>
      <c r="AC31" s="198">
        <f>ROUND(N(data!AF83), 0)</f>
        <v>26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271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RIGHT(data!$C$97,3)</f>
        <v>176</v>
      </c>
      <c r="B32" s="200" t="str">
        <f>RIGHT(data!$C$96,4)</f>
        <v>2024</v>
      </c>
      <c r="C32" s="12" t="str">
        <f>data!AG$55</f>
        <v>7230</v>
      </c>
      <c r="D32" s="12" t="s">
        <v>1160</v>
      </c>
      <c r="E32" s="198">
        <f>ROUND(N(data!AG59), 0)</f>
        <v>136782</v>
      </c>
      <c r="F32" s="271">
        <f>ROUND(N(data!AG60), 2)</f>
        <v>269</v>
      </c>
      <c r="G32" s="198">
        <f>ROUND(N(data!AG61), 0)</f>
        <v>27011609</v>
      </c>
      <c r="H32" s="198">
        <f>ROUND(N(data!AG62), 0)</f>
        <v>6421965</v>
      </c>
      <c r="I32" s="198">
        <f>ROUND(N(data!AG63), 0)</f>
        <v>2740357</v>
      </c>
      <c r="J32" s="198">
        <f>ROUND(N(data!AG64), 0)</f>
        <v>4678573</v>
      </c>
      <c r="K32" s="198">
        <f>ROUND(N(data!AG65), 0)</f>
        <v>0</v>
      </c>
      <c r="L32" s="198">
        <f>ROUND(N(data!AG66), 0)</f>
        <v>35842860</v>
      </c>
      <c r="M32" s="198">
        <f>ROUND(N(data!AG67), 0)</f>
        <v>1990086</v>
      </c>
      <c r="N32" s="198">
        <f>ROUND(N(data!AG68), 0)</f>
        <v>906729</v>
      </c>
      <c r="O32" s="198">
        <f>ROUND(N(data!AG69), 0)</f>
        <v>4889565</v>
      </c>
      <c r="P32" s="198">
        <f>ROUND(N(data!AG70), 0)</f>
        <v>0</v>
      </c>
      <c r="Q32" s="198">
        <f>ROUND(N(data!AG71), 0)</f>
        <v>2270771</v>
      </c>
      <c r="R32" s="198">
        <f>ROUND(N(data!AG72), 0)</f>
        <v>20345</v>
      </c>
      <c r="S32" s="198">
        <f>ROUND(N(data!AG73), 0)</f>
        <v>793009</v>
      </c>
      <c r="T32" s="198">
        <f>ROUND(N(data!AG74), 0)</f>
        <v>407076</v>
      </c>
      <c r="U32" s="198">
        <f>ROUND(N(data!AG75), 0)</f>
        <v>0</v>
      </c>
      <c r="V32" s="198">
        <f>ROUND(N(data!AG76), 0)</f>
        <v>0</v>
      </c>
      <c r="W32" s="198">
        <f>ROUND(N(data!AG77), 0)</f>
        <v>41273</v>
      </c>
      <c r="X32" s="198">
        <f>ROUND(N(data!AG78), 0)</f>
        <v>985209</v>
      </c>
      <c r="Y32" s="198">
        <f>ROUND(N(data!AG79), 0)</f>
        <v>0</v>
      </c>
      <c r="Z32" s="198">
        <f>ROUND(N(data!AG80), 0)</f>
        <v>43800</v>
      </c>
      <c r="AA32" s="198">
        <f>ROUND(N(data!AG81), 0)</f>
        <v>4118</v>
      </c>
      <c r="AB32" s="198">
        <f>ROUND(N(data!AG82), 0)</f>
        <v>186889</v>
      </c>
      <c r="AC32" s="198">
        <f>ROUND(N(data!AG83), 0)</f>
        <v>137076</v>
      </c>
      <c r="AD32" s="198">
        <f>ROUND(N(data!AG84), 0)</f>
        <v>8723</v>
      </c>
      <c r="AE32" s="198">
        <f>ROUND(N(data!AG89), 0)</f>
        <v>570518208</v>
      </c>
      <c r="AF32" s="198">
        <f>ROUND(N(data!AG87), 0)</f>
        <v>121212711</v>
      </c>
      <c r="AG32" s="198">
        <f>ROUND(N(data!AG90), 0)</f>
        <v>50954</v>
      </c>
      <c r="AH32" s="198">
        <f>ROUND(N(data!AG91), 0)</f>
        <v>21523</v>
      </c>
      <c r="AI32" s="198">
        <f>ROUND(N(data!AG92), 0)</f>
        <v>16106</v>
      </c>
      <c r="AJ32" s="198">
        <f>ROUND(N(data!AG93), 0)</f>
        <v>600048</v>
      </c>
      <c r="AK32" s="271">
        <f>ROUND(N(data!AG94), 2)</f>
        <v>173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RIGHT(data!$C$97,3)</f>
        <v>176</v>
      </c>
      <c r="B33" s="200" t="str">
        <f>RIGHT(data!$C$96,4)</f>
        <v>2024</v>
      </c>
      <c r="C33" s="12" t="str">
        <f>data!AH$55</f>
        <v>7240</v>
      </c>
      <c r="D33" s="12" t="s">
        <v>1160</v>
      </c>
      <c r="E33" s="198">
        <f>ROUND(N(data!AH59), 0)</f>
        <v>0</v>
      </c>
      <c r="F33" s="271">
        <f>ROUND(N(data!AH60), 2)</f>
        <v>0</v>
      </c>
      <c r="G33" s="198">
        <f>ROUND(N(data!AH61), 0)</f>
        <v>0</v>
      </c>
      <c r="H33" s="198">
        <f>ROUND(N(data!AH62), 0)</f>
        <v>0</v>
      </c>
      <c r="I33" s="198">
        <f>ROUND(N(data!AH63), 0)</f>
        <v>0</v>
      </c>
      <c r="J33" s="198">
        <f>ROUND(N(data!AH64), 0)</f>
        <v>0</v>
      </c>
      <c r="K33" s="198">
        <f>ROUND(N(data!AH65), 0)</f>
        <v>0</v>
      </c>
      <c r="L33" s="198">
        <f>ROUND(N(data!AH66), 0)</f>
        <v>0</v>
      </c>
      <c r="M33" s="198">
        <f>ROUND(N(data!AH67), 0)</f>
        <v>0</v>
      </c>
      <c r="N33" s="198">
        <f>ROUND(N(data!AH68), 0)</f>
        <v>0</v>
      </c>
      <c r="O33" s="198">
        <f>ROUND(N(data!AH69), 0)</f>
        <v>0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0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0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0</v>
      </c>
      <c r="AB33" s="198">
        <f>ROUND(N(data!AH82), 0)</f>
        <v>0</v>
      </c>
      <c r="AC33" s="198">
        <f>ROUND(N(data!AH83), 0)</f>
        <v>0</v>
      </c>
      <c r="AD33" s="198">
        <f>ROUND(N(data!AH84), 0)</f>
        <v>0</v>
      </c>
      <c r="AE33" s="198">
        <f>ROUND(N(data!AH89), 0)</f>
        <v>0</v>
      </c>
      <c r="AF33" s="198">
        <f>ROUND(N(data!AH87), 0)</f>
        <v>0</v>
      </c>
      <c r="AG33" s="198">
        <f>ROUND(N(data!AH90), 0)</f>
        <v>0</v>
      </c>
      <c r="AH33" s="198">
        <f>ROUND(N(data!AH91), 0)</f>
        <v>0</v>
      </c>
      <c r="AI33" s="198">
        <f>ROUND(N(data!AH92), 0)</f>
        <v>0</v>
      </c>
      <c r="AJ33" s="198">
        <f>ROUND(N(data!AH93), 0)</f>
        <v>0</v>
      </c>
      <c r="AK33" s="271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RIGHT(data!$C$97,3)</f>
        <v>176</v>
      </c>
      <c r="B34" s="200" t="str">
        <f>RIGHT(data!$C$96,4)</f>
        <v>2024</v>
      </c>
      <c r="C34" s="12" t="str">
        <f>data!AI$55</f>
        <v>7250</v>
      </c>
      <c r="D34" s="12" t="s">
        <v>1160</v>
      </c>
      <c r="E34" s="198">
        <f>ROUND(N(data!AI59), 0)</f>
        <v>0</v>
      </c>
      <c r="F34" s="271">
        <f>ROUND(N(data!AI60), 2)</f>
        <v>0</v>
      </c>
      <c r="G34" s="198">
        <f>ROUND(N(data!AI61), 0)</f>
        <v>0</v>
      </c>
      <c r="H34" s="198">
        <f>ROUND(N(data!AI62), 0)</f>
        <v>0</v>
      </c>
      <c r="I34" s="198">
        <f>ROUND(N(data!AI63), 0)</f>
        <v>0</v>
      </c>
      <c r="J34" s="198">
        <f>ROUND(N(data!AI64), 0)</f>
        <v>0</v>
      </c>
      <c r="K34" s="198">
        <f>ROUND(N(data!AI65), 0)</f>
        <v>0</v>
      </c>
      <c r="L34" s="198">
        <f>ROUND(N(data!AI66), 0)</f>
        <v>0</v>
      </c>
      <c r="M34" s="198">
        <f>ROUND(N(data!AI67), 0)</f>
        <v>0</v>
      </c>
      <c r="N34" s="198">
        <f>ROUND(N(data!AI68), 0)</f>
        <v>0</v>
      </c>
      <c r="O34" s="198">
        <f>ROUND(N(data!AI69), 0)</f>
        <v>0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0</v>
      </c>
      <c r="AD34" s="198">
        <f>ROUND(N(data!AI84), 0)</f>
        <v>0</v>
      </c>
      <c r="AE34" s="198">
        <f>ROUND(N(data!AI89), 0)</f>
        <v>0</v>
      </c>
      <c r="AF34" s="198">
        <f>ROUND(N(data!AI87), 0)</f>
        <v>0</v>
      </c>
      <c r="AG34" s="198">
        <f>ROUND(N(data!AI90), 0)</f>
        <v>7806</v>
      </c>
      <c r="AH34" s="198">
        <f>ROUND(N(data!AI91), 0)</f>
        <v>10315</v>
      </c>
      <c r="AI34" s="198">
        <f>ROUND(N(data!AI92), 0)</f>
        <v>0</v>
      </c>
      <c r="AJ34" s="198">
        <f>ROUND(N(data!AI93), 0)</f>
        <v>0</v>
      </c>
      <c r="AK34" s="271">
        <f>ROUND(N(data!AI94), 2)</f>
        <v>0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RIGHT(data!$C$97,3)</f>
        <v>176</v>
      </c>
      <c r="B35" s="200" t="str">
        <f>RIGHT(data!$C$96,4)</f>
        <v>2024</v>
      </c>
      <c r="C35" s="12" t="str">
        <f>data!AJ$55</f>
        <v>7260</v>
      </c>
      <c r="D35" s="12" t="s">
        <v>1160</v>
      </c>
      <c r="E35" s="198">
        <f>ROUND(N(data!AJ59), 0)</f>
        <v>0</v>
      </c>
      <c r="F35" s="271">
        <f>ROUND(N(data!AJ60), 2)</f>
        <v>68</v>
      </c>
      <c r="G35" s="198">
        <f>ROUND(N(data!AJ61), 0)</f>
        <v>6958161</v>
      </c>
      <c r="H35" s="198">
        <f>ROUND(N(data!AJ62), 0)</f>
        <v>1541434</v>
      </c>
      <c r="I35" s="198">
        <f>ROUND(N(data!AJ63), 0)</f>
        <v>2275</v>
      </c>
      <c r="J35" s="198">
        <f>ROUND(N(data!AJ64), 0)</f>
        <v>84989</v>
      </c>
      <c r="K35" s="198">
        <f>ROUND(N(data!AJ65), 0)</f>
        <v>0</v>
      </c>
      <c r="L35" s="198">
        <f>ROUND(N(data!AJ66), 0)</f>
        <v>-4625966</v>
      </c>
      <c r="M35" s="198">
        <f>ROUND(N(data!AJ67), 0)</f>
        <v>40377</v>
      </c>
      <c r="N35" s="198">
        <f>ROUND(N(data!AJ68), 0)</f>
        <v>77798</v>
      </c>
      <c r="O35" s="198">
        <f>ROUND(N(data!AJ69), 0)</f>
        <v>-504344</v>
      </c>
      <c r="P35" s="198">
        <f>ROUND(N(data!AJ70), 0)</f>
        <v>0</v>
      </c>
      <c r="Q35" s="198">
        <f>ROUND(N(data!AJ71), 0)</f>
        <v>0</v>
      </c>
      <c r="R35" s="198">
        <f>ROUND(N(data!AJ72), 0)</f>
        <v>4191</v>
      </c>
      <c r="S35" s="198">
        <f>ROUND(N(data!AJ73), 0)</f>
        <v>115962</v>
      </c>
      <c r="T35" s="198">
        <f>ROUND(N(data!AJ74), 0)</f>
        <v>0</v>
      </c>
      <c r="U35" s="198">
        <f>ROUND(N(data!AJ75), 0)</f>
        <v>0</v>
      </c>
      <c r="V35" s="198">
        <f>ROUND(N(data!AJ76), 0)</f>
        <v>0</v>
      </c>
      <c r="W35" s="198">
        <f>ROUND(N(data!AJ77), 0)</f>
        <v>7142</v>
      </c>
      <c r="X35" s="198">
        <f>ROUND(N(data!AJ78), 0)</f>
        <v>-870962</v>
      </c>
      <c r="Y35" s="198">
        <f>ROUND(N(data!AJ79), 0)</f>
        <v>10480</v>
      </c>
      <c r="Z35" s="198">
        <f>ROUND(N(data!AJ80), 0)</f>
        <v>14957</v>
      </c>
      <c r="AA35" s="198">
        <f>ROUND(N(data!AJ81), 0)</f>
        <v>10000</v>
      </c>
      <c r="AB35" s="198">
        <f>ROUND(N(data!AJ82), 0)</f>
        <v>18083</v>
      </c>
      <c r="AC35" s="198">
        <f>ROUND(N(data!AJ83), 0)</f>
        <v>185803</v>
      </c>
      <c r="AD35" s="198">
        <f>ROUND(N(data!AJ84), 0)</f>
        <v>944681</v>
      </c>
      <c r="AE35" s="198">
        <f>ROUND(N(data!AJ89), 0)</f>
        <v>6656565</v>
      </c>
      <c r="AF35" s="198">
        <f>ROUND(N(data!AJ87), 0)</f>
        <v>3657</v>
      </c>
      <c r="AG35" s="198">
        <f>ROUND(N(data!AJ90), 0)</f>
        <v>8503</v>
      </c>
      <c r="AH35" s="198">
        <f>ROUND(N(data!AJ91), 0)</f>
        <v>20</v>
      </c>
      <c r="AI35" s="198">
        <f>ROUND(N(data!AJ92), 0)</f>
        <v>9277</v>
      </c>
      <c r="AJ35" s="198">
        <f>ROUND(N(data!AJ93), 0)</f>
        <v>101626</v>
      </c>
      <c r="AK35" s="271">
        <f>ROUND(N(data!AJ94), 2)</f>
        <v>5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RIGHT(data!$C$97,3)</f>
        <v>176</v>
      </c>
      <c r="B36" s="200" t="str">
        <f>RIGHT(data!$C$96,4)</f>
        <v>2024</v>
      </c>
      <c r="C36" s="12" t="str">
        <f>data!AK$55</f>
        <v>7310</v>
      </c>
      <c r="D36" s="12" t="s">
        <v>1160</v>
      </c>
      <c r="E36" s="198">
        <f>ROUND(N(data!AK59), 0)</f>
        <v>57077</v>
      </c>
      <c r="F36" s="271">
        <f>ROUND(N(data!AK60), 2)</f>
        <v>46</v>
      </c>
      <c r="G36" s="198">
        <f>ROUND(N(data!AK61), 0)</f>
        <v>3135099</v>
      </c>
      <c r="H36" s="198">
        <f>ROUND(N(data!AK62), 0)</f>
        <v>789217</v>
      </c>
      <c r="I36" s="198">
        <f>ROUND(N(data!AK63), 0)</f>
        <v>0</v>
      </c>
      <c r="J36" s="198">
        <f>ROUND(N(data!AK64), 0)</f>
        <v>12487</v>
      </c>
      <c r="K36" s="198">
        <f>ROUND(N(data!AK65), 0)</f>
        <v>0</v>
      </c>
      <c r="L36" s="198">
        <f>ROUND(N(data!AK66), 0)</f>
        <v>1354062</v>
      </c>
      <c r="M36" s="198">
        <f>ROUND(N(data!AK67), 0)</f>
        <v>15955</v>
      </c>
      <c r="N36" s="198">
        <f>ROUND(N(data!AK68), 0)</f>
        <v>0</v>
      </c>
      <c r="O36" s="198">
        <f>ROUND(N(data!AK69), 0)</f>
        <v>166658</v>
      </c>
      <c r="P36" s="198">
        <f>ROUND(N(data!AK70), 0)</f>
        <v>0</v>
      </c>
      <c r="Q36" s="198">
        <f>ROUND(N(data!AK71), 0)</f>
        <v>0</v>
      </c>
      <c r="R36" s="198">
        <f>ROUND(N(data!AK72), 0)</f>
        <v>0</v>
      </c>
      <c r="S36" s="198">
        <f>ROUND(N(data!AK73), 0)</f>
        <v>73180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0</v>
      </c>
      <c r="X36" s="198">
        <f>ROUND(N(data!AK78), 0)</f>
        <v>84871</v>
      </c>
      <c r="Y36" s="198">
        <f>ROUND(N(data!AK79), 0)</f>
        <v>0</v>
      </c>
      <c r="Z36" s="198">
        <f>ROUND(N(data!AK80), 0)</f>
        <v>2674</v>
      </c>
      <c r="AA36" s="198">
        <f>ROUND(N(data!AK81), 0)</f>
        <v>0</v>
      </c>
      <c r="AB36" s="198">
        <f>ROUND(N(data!AK82), 0)</f>
        <v>4372</v>
      </c>
      <c r="AC36" s="198">
        <f>ROUND(N(data!AK83), 0)</f>
        <v>1561</v>
      </c>
      <c r="AD36" s="198">
        <f>ROUND(N(data!AK84), 0)</f>
        <v>0</v>
      </c>
      <c r="AE36" s="198">
        <f>ROUND(N(data!AK89), 0)</f>
        <v>12090772</v>
      </c>
      <c r="AF36" s="198">
        <f>ROUND(N(data!AK87), 0)</f>
        <v>10955562</v>
      </c>
      <c r="AG36" s="198">
        <f>ROUND(N(data!AK90), 0)</f>
        <v>0</v>
      </c>
      <c r="AH36" s="198">
        <f>ROUND(N(data!AK91), 0)</f>
        <v>0</v>
      </c>
      <c r="AI36" s="198">
        <f>ROUND(N(data!AK92), 0)</f>
        <v>0</v>
      </c>
      <c r="AJ36" s="198">
        <f>ROUND(N(data!AK93), 0)</f>
        <v>0</v>
      </c>
      <c r="AK36" s="271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RIGHT(data!$C$97,3)</f>
        <v>176</v>
      </c>
      <c r="B37" s="200" t="str">
        <f>RIGHT(data!$C$96,4)</f>
        <v>2024</v>
      </c>
      <c r="C37" s="12" t="str">
        <f>data!AL$55</f>
        <v>7320</v>
      </c>
      <c r="D37" s="12" t="s">
        <v>1160</v>
      </c>
      <c r="E37" s="198">
        <f>ROUND(N(data!AL59), 0)</f>
        <v>9424</v>
      </c>
      <c r="F37" s="271">
        <f>ROUND(N(data!AL60), 2)</f>
        <v>11</v>
      </c>
      <c r="G37" s="198">
        <f>ROUND(N(data!AL61), 0)</f>
        <v>977481</v>
      </c>
      <c r="H37" s="198">
        <f>ROUND(N(data!AL62), 0)</f>
        <v>210837</v>
      </c>
      <c r="I37" s="198">
        <f>ROUND(N(data!AL63), 0)</f>
        <v>0</v>
      </c>
      <c r="J37" s="198">
        <f>ROUND(N(data!AL64), 0)</f>
        <v>22102</v>
      </c>
      <c r="K37" s="198">
        <f>ROUND(N(data!AL65), 0)</f>
        <v>0</v>
      </c>
      <c r="L37" s="198">
        <f>ROUND(N(data!AL66), 0)</f>
        <v>409185</v>
      </c>
      <c r="M37" s="198">
        <f>ROUND(N(data!AL67), 0)</f>
        <v>2000</v>
      </c>
      <c r="N37" s="198">
        <f>ROUND(N(data!AL68), 0)</f>
        <v>0</v>
      </c>
      <c r="O37" s="198">
        <f>ROUND(N(data!AL69), 0)</f>
        <v>46664</v>
      </c>
      <c r="P37" s="198">
        <f>ROUND(N(data!AL70), 0)</f>
        <v>0</v>
      </c>
      <c r="Q37" s="198">
        <f>ROUND(N(data!AL71), 0)</f>
        <v>0</v>
      </c>
      <c r="R37" s="198">
        <f>ROUND(N(data!AL72), 0)</f>
        <v>0</v>
      </c>
      <c r="S37" s="198">
        <f>ROUND(N(data!AL73), 0)</f>
        <v>19771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0</v>
      </c>
      <c r="X37" s="198">
        <f>ROUND(N(data!AL78), 0)</f>
        <v>26291</v>
      </c>
      <c r="Y37" s="198">
        <f>ROUND(N(data!AL79), 0)</f>
        <v>0</v>
      </c>
      <c r="Z37" s="198">
        <f>ROUND(N(data!AL80), 0)</f>
        <v>603</v>
      </c>
      <c r="AA37" s="198">
        <f>ROUND(N(data!AL81), 0)</f>
        <v>0</v>
      </c>
      <c r="AB37" s="198">
        <f>ROUND(N(data!AL82), 0)</f>
        <v>0</v>
      </c>
      <c r="AC37" s="198">
        <f>ROUND(N(data!AL83), 0)</f>
        <v>0</v>
      </c>
      <c r="AD37" s="198">
        <f>ROUND(N(data!AL84), 0)</f>
        <v>0</v>
      </c>
      <c r="AE37" s="198">
        <f>ROUND(N(data!AL89), 0)</f>
        <v>3766970</v>
      </c>
      <c r="AF37" s="198">
        <f>ROUND(N(data!AL87), 0)</f>
        <v>2862233</v>
      </c>
      <c r="AG37" s="198">
        <f>ROUND(N(data!AL90), 0)</f>
        <v>0</v>
      </c>
      <c r="AH37" s="198">
        <f>ROUND(N(data!AL91), 0)</f>
        <v>125</v>
      </c>
      <c r="AI37" s="198">
        <f>ROUND(N(data!AL92), 0)</f>
        <v>0</v>
      </c>
      <c r="AJ37" s="198">
        <f>ROUND(N(data!AL93), 0)</f>
        <v>0</v>
      </c>
      <c r="AK37" s="271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RIGHT(data!$C$97,3)</f>
        <v>176</v>
      </c>
      <c r="B38" s="200" t="str">
        <f>RIGHT(data!$C$96,4)</f>
        <v>2024</v>
      </c>
      <c r="C38" s="12" t="str">
        <f>data!AM$55</f>
        <v>7330</v>
      </c>
      <c r="D38" s="12" t="s">
        <v>1160</v>
      </c>
      <c r="E38" s="198">
        <f>ROUND(N(data!AM59), 0)</f>
        <v>0</v>
      </c>
      <c r="F38" s="271">
        <f>ROUND(N(data!AM60), 2)</f>
        <v>0</v>
      </c>
      <c r="G38" s="198">
        <f>ROUND(N(data!AM61), 0)</f>
        <v>0</v>
      </c>
      <c r="H38" s="198">
        <f>ROUND(N(data!AM62), 0)</f>
        <v>0</v>
      </c>
      <c r="I38" s="198">
        <f>ROUND(N(data!AM63), 0)</f>
        <v>0</v>
      </c>
      <c r="J38" s="198">
        <f>ROUND(N(data!AM64), 0)</f>
        <v>0</v>
      </c>
      <c r="K38" s="198">
        <f>ROUND(N(data!AM65), 0)</f>
        <v>0</v>
      </c>
      <c r="L38" s="198">
        <f>ROUND(N(data!AM66), 0)</f>
        <v>0</v>
      </c>
      <c r="M38" s="198">
        <f>ROUND(N(data!AM67), 0)</f>
        <v>0</v>
      </c>
      <c r="N38" s="198">
        <f>ROUND(N(data!AM68), 0)</f>
        <v>0</v>
      </c>
      <c r="O38" s="198">
        <f>ROUND(N(data!AM69), 0)</f>
        <v>0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0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271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RIGHT(data!$C$97,3)</f>
        <v>176</v>
      </c>
      <c r="B39" s="200" t="str">
        <f>RIGHT(data!$C$96,4)</f>
        <v>2024</v>
      </c>
      <c r="C39" s="12" t="str">
        <f>data!AN$55</f>
        <v>7340</v>
      </c>
      <c r="D39" s="12" t="s">
        <v>1160</v>
      </c>
      <c r="E39" s="198">
        <f>ROUND(N(data!AN59), 0)</f>
        <v>0</v>
      </c>
      <c r="F39" s="271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271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RIGHT(data!$C$97,3)</f>
        <v>176</v>
      </c>
      <c r="B40" s="200" t="str">
        <f>RIGHT(data!$C$96,4)</f>
        <v>2024</v>
      </c>
      <c r="C40" s="12" t="str">
        <f>data!AO$55</f>
        <v>7350</v>
      </c>
      <c r="D40" s="12" t="s">
        <v>1160</v>
      </c>
      <c r="E40" s="198">
        <f>ROUND(N(data!AO59), 0)</f>
        <v>0</v>
      </c>
      <c r="F40" s="271">
        <f>ROUND(N(data!AO60), 2)</f>
        <v>88</v>
      </c>
      <c r="G40" s="198">
        <f>ROUND(N(data!AO61), 0)</f>
        <v>13854529</v>
      </c>
      <c r="H40" s="198">
        <f>ROUND(N(data!AO62), 0)</f>
        <v>2685040</v>
      </c>
      <c r="I40" s="198">
        <f>ROUND(N(data!AO63), 0)</f>
        <v>2781203</v>
      </c>
      <c r="J40" s="198">
        <f>ROUND(N(data!AO64), 0)</f>
        <v>680970</v>
      </c>
      <c r="K40" s="198">
        <f>ROUND(N(data!AO65), 0)</f>
        <v>0</v>
      </c>
      <c r="L40" s="198">
        <f>ROUND(N(data!AO66), 0)</f>
        <v>-2106720</v>
      </c>
      <c r="M40" s="198">
        <f>ROUND(N(data!AO67), 0)</f>
        <v>193431</v>
      </c>
      <c r="N40" s="198">
        <f>ROUND(N(data!AO68), 0)</f>
        <v>1756</v>
      </c>
      <c r="O40" s="198">
        <f>ROUND(N(data!AO69), 0)</f>
        <v>1848093</v>
      </c>
      <c r="P40" s="198">
        <f>ROUND(N(data!AO70), 0)</f>
        <v>0</v>
      </c>
      <c r="Q40" s="198">
        <f>ROUND(N(data!AO71), 0)</f>
        <v>1165887</v>
      </c>
      <c r="R40" s="198">
        <f>ROUND(N(data!AO72), 0)</f>
        <v>854</v>
      </c>
      <c r="S40" s="198">
        <f>ROUND(N(data!AO73), 0)</f>
        <v>235562</v>
      </c>
      <c r="T40" s="198">
        <f>ROUND(N(data!AO74), 0)</f>
        <v>55492</v>
      </c>
      <c r="U40" s="198">
        <f>ROUND(N(data!AO75), 0)</f>
        <v>0</v>
      </c>
      <c r="V40" s="198">
        <f>ROUND(N(data!AO76), 0)</f>
        <v>0</v>
      </c>
      <c r="W40" s="198">
        <f>ROUND(N(data!AO77), 0)</f>
        <v>9926</v>
      </c>
      <c r="X40" s="198">
        <f>ROUND(N(data!AO78), 0)</f>
        <v>313922</v>
      </c>
      <c r="Y40" s="198">
        <f>ROUND(N(data!AO79), 0)</f>
        <v>0</v>
      </c>
      <c r="Z40" s="198">
        <f>ROUND(N(data!AO80), 0)</f>
        <v>6148</v>
      </c>
      <c r="AA40" s="198">
        <f>ROUND(N(data!AO81), 0)</f>
        <v>0</v>
      </c>
      <c r="AB40" s="198">
        <f>ROUND(N(data!AO82), 0)</f>
        <v>45233</v>
      </c>
      <c r="AC40" s="198">
        <f>ROUND(N(data!AO83), 0)</f>
        <v>15069</v>
      </c>
      <c r="AD40" s="198">
        <f>ROUND(N(data!AO84), 0)</f>
        <v>0</v>
      </c>
      <c r="AE40" s="198">
        <f>ROUND(N(data!AO89), 0)</f>
        <v>27350838</v>
      </c>
      <c r="AF40" s="198">
        <f>ROUND(N(data!AO87), 0)</f>
        <v>20813747</v>
      </c>
      <c r="AG40" s="198">
        <f>ROUND(N(data!AO90), 0)</f>
        <v>0</v>
      </c>
      <c r="AH40" s="198">
        <f>ROUND(N(data!AO91), 0)</f>
        <v>0</v>
      </c>
      <c r="AI40" s="198">
        <f>ROUND(N(data!AO92), 0)</f>
        <v>0</v>
      </c>
      <c r="AJ40" s="198">
        <f>ROUND(N(data!AO93), 0)</f>
        <v>72753</v>
      </c>
      <c r="AK40" s="271">
        <f>ROUND(N(data!AO94), 2)</f>
        <v>42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RIGHT(data!$C$97,3)</f>
        <v>176</v>
      </c>
      <c r="B41" s="200" t="str">
        <f>RIGHT(data!$C$96,4)</f>
        <v>2024</v>
      </c>
      <c r="C41" s="12" t="str">
        <f>data!AP$55</f>
        <v>7380</v>
      </c>
      <c r="D41" s="12" t="s">
        <v>1160</v>
      </c>
      <c r="E41" s="198">
        <f>ROUND(N(data!AP59), 0)</f>
        <v>0</v>
      </c>
      <c r="F41" s="271">
        <f>ROUND(N(data!AP60), 2)</f>
        <v>0</v>
      </c>
      <c r="G41" s="198">
        <f>ROUND(N(data!AP61), 0)</f>
        <v>0</v>
      </c>
      <c r="H41" s="198">
        <f>ROUND(N(data!AP62), 0)</f>
        <v>0</v>
      </c>
      <c r="I41" s="198">
        <f>ROUND(N(data!AP63), 0)</f>
        <v>0</v>
      </c>
      <c r="J41" s="198">
        <f>ROUND(N(data!AP64), 0)</f>
        <v>0</v>
      </c>
      <c r="K41" s="198">
        <f>ROUND(N(data!AP65), 0)</f>
        <v>0</v>
      </c>
      <c r="L41" s="198">
        <f>ROUND(N(data!AP66), 0)</f>
        <v>0</v>
      </c>
      <c r="M41" s="198">
        <f>ROUND(N(data!AP67), 0)</f>
        <v>0</v>
      </c>
      <c r="N41" s="198">
        <f>ROUND(N(data!AP68), 0)</f>
        <v>0</v>
      </c>
      <c r="O41" s="198">
        <f>ROUND(N(data!AP69), 0)</f>
        <v>0</v>
      </c>
      <c r="P41" s="198">
        <f>ROUND(N(data!AP70), 0)</f>
        <v>0</v>
      </c>
      <c r="Q41" s="198">
        <f>ROUND(N(data!AP71), 0)</f>
        <v>0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0</v>
      </c>
      <c r="Y41" s="198">
        <f>ROUND(N(data!AP79), 0)</f>
        <v>0</v>
      </c>
      <c r="Z41" s="198">
        <f>ROUND(N(data!AP80), 0)</f>
        <v>0</v>
      </c>
      <c r="AA41" s="198">
        <f>ROUND(N(data!AP81), 0)</f>
        <v>0</v>
      </c>
      <c r="AB41" s="198">
        <f>ROUND(N(data!AP82), 0)</f>
        <v>0</v>
      </c>
      <c r="AC41" s="198">
        <f>ROUND(N(data!AP83), 0)</f>
        <v>0</v>
      </c>
      <c r="AD41" s="198">
        <f>ROUND(N(data!AP84), 0)</f>
        <v>0</v>
      </c>
      <c r="AE41" s="198">
        <f>ROUND(N(data!AP89), 0)</f>
        <v>0</v>
      </c>
      <c r="AF41" s="198">
        <f>ROUND(N(data!AP87), 0)</f>
        <v>0</v>
      </c>
      <c r="AG41" s="198">
        <f>ROUND(N(data!AP90), 0)</f>
        <v>0</v>
      </c>
      <c r="AH41" s="198">
        <f>ROUND(N(data!AP91), 0)</f>
        <v>0</v>
      </c>
      <c r="AI41" s="198">
        <f>ROUND(N(data!AP92), 0)</f>
        <v>0</v>
      </c>
      <c r="AJ41" s="198">
        <f>ROUND(N(data!AP93), 0)</f>
        <v>24411</v>
      </c>
      <c r="AK41" s="271">
        <f>ROUND(N(data!AP94),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RIGHT(data!$C$97,3)</f>
        <v>176</v>
      </c>
      <c r="B42" s="200" t="str">
        <f>RIGHT(data!$C$96,4)</f>
        <v>2024</v>
      </c>
      <c r="C42" s="12" t="str">
        <f>data!AQ$55</f>
        <v>7390</v>
      </c>
      <c r="D42" s="12" t="s">
        <v>1160</v>
      </c>
      <c r="E42" s="198">
        <f>ROUND(N(data!AQ59), 0)</f>
        <v>0</v>
      </c>
      <c r="F42" s="271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271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RIGHT(data!$C$97,3)</f>
        <v>176</v>
      </c>
      <c r="B43" s="200" t="str">
        <f>RIGHT(data!$C$96,4)</f>
        <v>2024</v>
      </c>
      <c r="C43" s="12" t="str">
        <f>data!AR$55</f>
        <v>7400</v>
      </c>
      <c r="D43" s="12" t="s">
        <v>1160</v>
      </c>
      <c r="E43" s="198">
        <f>ROUND(N(data!AR59), 0)</f>
        <v>0</v>
      </c>
      <c r="F43" s="271">
        <f>ROUND(N(data!AR60), 2)</f>
        <v>0</v>
      </c>
      <c r="G43" s="198">
        <f>ROUND(N(data!AR61), 0)</f>
        <v>324</v>
      </c>
      <c r="H43" s="198">
        <f>ROUND(N(data!AR62), 0)</f>
        <v>64</v>
      </c>
      <c r="I43" s="198">
        <f>ROUND(N(data!AR63), 0)</f>
        <v>0</v>
      </c>
      <c r="J43" s="198">
        <f>ROUND(N(data!AR64), 0)</f>
        <v>0</v>
      </c>
      <c r="K43" s="198">
        <f>ROUND(N(data!AR65), 0)</f>
        <v>0</v>
      </c>
      <c r="L43" s="198">
        <f>ROUND(N(data!AR66), 0)</f>
        <v>992930</v>
      </c>
      <c r="M43" s="198">
        <f>ROUND(N(data!AR67), 0)</f>
        <v>0</v>
      </c>
      <c r="N43" s="198">
        <f>ROUND(N(data!AR68), 0)</f>
        <v>0</v>
      </c>
      <c r="O43" s="198">
        <f>ROUND(N(data!AR69), 0)</f>
        <v>16677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16677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>
        <f>ROUND(N(data!AR82), 0)</f>
        <v>0</v>
      </c>
      <c r="AC43" s="198">
        <f>ROUND(N(data!AR83), 0)</f>
        <v>0</v>
      </c>
      <c r="AD43" s="198">
        <f>ROUND(N(data!AR84), 0)</f>
        <v>0</v>
      </c>
      <c r="AE43" s="198">
        <f>ROUND(N(data!AR89), 0)</f>
        <v>1446000</v>
      </c>
      <c r="AF43" s="198">
        <f>ROUND(N(data!AR87), 0)</f>
        <v>1446000</v>
      </c>
      <c r="AG43" s="198">
        <f>ROUND(N(data!AR90), 0)</f>
        <v>0</v>
      </c>
      <c r="AH43" s="198">
        <f>ROUND(N(data!AR91), 0)</f>
        <v>0</v>
      </c>
      <c r="AI43" s="198">
        <f>ROUND(N(data!AR92), 0)</f>
        <v>0</v>
      </c>
      <c r="AJ43" s="198">
        <f>ROUND(N(data!AR93), 0)</f>
        <v>1150</v>
      </c>
      <c r="AK43" s="271">
        <f>ROUND(N(data!AR94),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RIGHT(data!$C$97,3)</f>
        <v>176</v>
      </c>
      <c r="B44" s="200" t="str">
        <f>RIGHT(data!$C$96,4)</f>
        <v>2024</v>
      </c>
      <c r="C44" s="12" t="str">
        <f>data!AS$55</f>
        <v>7410</v>
      </c>
      <c r="D44" s="12" t="s">
        <v>1160</v>
      </c>
      <c r="E44" s="198">
        <f>ROUND(N(data!AS59), 0)</f>
        <v>0</v>
      </c>
      <c r="F44" s="271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271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RIGHT(data!$C$97,3)</f>
        <v>176</v>
      </c>
      <c r="B45" s="200" t="str">
        <f>RIGHT(data!$C$96,4)</f>
        <v>2024</v>
      </c>
      <c r="C45" s="12" t="str">
        <f>data!AT$55</f>
        <v>7420</v>
      </c>
      <c r="D45" s="12" t="s">
        <v>1160</v>
      </c>
      <c r="E45" s="198">
        <f>ROUND(N(data!AT59), 0)</f>
        <v>0</v>
      </c>
      <c r="F45" s="271">
        <f>ROUND(N(data!AT60), 2)</f>
        <v>0</v>
      </c>
      <c r="G45" s="198">
        <f>ROUND(N(data!AT61), 0)</f>
        <v>0</v>
      </c>
      <c r="H45" s="198">
        <f>ROUND(N(data!AT62), 0)</f>
        <v>0</v>
      </c>
      <c r="I45" s="198">
        <f>ROUND(N(data!AT63), 0)</f>
        <v>0</v>
      </c>
      <c r="J45" s="198">
        <f>ROUND(N(data!AT64), 0)</f>
        <v>0</v>
      </c>
      <c r="K45" s="198">
        <f>ROUND(N(data!AT65), 0)</f>
        <v>0</v>
      </c>
      <c r="L45" s="198">
        <f>ROUND(N(data!AT66), 0)</f>
        <v>0</v>
      </c>
      <c r="M45" s="198">
        <f>ROUND(N(data!AT67), 0)</f>
        <v>0</v>
      </c>
      <c r="N45" s="198">
        <f>ROUND(N(data!AT68), 0)</f>
        <v>0</v>
      </c>
      <c r="O45" s="198">
        <f>ROUND(N(data!AT69), 0)</f>
        <v>0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>
        <f>ROUND(N(data!AT82), 0)</f>
        <v>0</v>
      </c>
      <c r="AC45" s="198">
        <f>ROUND(N(data!AT83), 0)</f>
        <v>0</v>
      </c>
      <c r="AD45" s="198">
        <f>ROUND(N(data!AT84), 0)</f>
        <v>0</v>
      </c>
      <c r="AE45" s="198">
        <f>ROUND(N(data!AT89), 0)</f>
        <v>0</v>
      </c>
      <c r="AF45" s="198">
        <f>ROUND(N(data!AT87), 0)</f>
        <v>0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271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RIGHT(data!$C$97,3)</f>
        <v>176</v>
      </c>
      <c r="B46" s="200" t="str">
        <f>RIGHT(data!$C$96,4)</f>
        <v>2024</v>
      </c>
      <c r="C46" s="12" t="str">
        <f>data!AU$55</f>
        <v>7430</v>
      </c>
      <c r="D46" s="12" t="s">
        <v>1160</v>
      </c>
      <c r="E46" s="198">
        <f>ROUND(N(data!AU59), 0)</f>
        <v>0</v>
      </c>
      <c r="F46" s="271">
        <f>ROUND(N(data!AU60), 2)</f>
        <v>0</v>
      </c>
      <c r="G46" s="198">
        <f>ROUND(N(data!AU61), 0)</f>
        <v>0</v>
      </c>
      <c r="H46" s="198">
        <f>ROUND(N(data!AU62), 0)</f>
        <v>0</v>
      </c>
      <c r="I46" s="198">
        <f>ROUND(N(data!AU63), 0)</f>
        <v>0</v>
      </c>
      <c r="J46" s="198">
        <f>ROUND(N(data!AU64), 0)</f>
        <v>0</v>
      </c>
      <c r="K46" s="198">
        <f>ROUND(N(data!AU65), 0)</f>
        <v>0</v>
      </c>
      <c r="L46" s="198">
        <f>ROUND(N(data!AU66), 0)</f>
        <v>0</v>
      </c>
      <c r="M46" s="198">
        <f>ROUND(N(data!AU67), 0)</f>
        <v>0</v>
      </c>
      <c r="N46" s="198">
        <f>ROUND(N(data!AU68), 0)</f>
        <v>0</v>
      </c>
      <c r="O46" s="198">
        <f>ROUND(N(data!AU69), 0)</f>
        <v>0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0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>
        <f>ROUND(N(data!AU82), 0)</f>
        <v>0</v>
      </c>
      <c r="AC46" s="198">
        <f>ROUND(N(data!AU83), 0)</f>
        <v>0</v>
      </c>
      <c r="AD46" s="198">
        <f>ROUND(N(data!AU84), 0)</f>
        <v>0</v>
      </c>
      <c r="AE46" s="198">
        <f>ROUND(N(data!AU89), 0)</f>
        <v>0</v>
      </c>
      <c r="AF46" s="198">
        <f>ROUND(N(data!AU87), 0)</f>
        <v>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271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RIGHT(data!$C$97,3)</f>
        <v>176</v>
      </c>
      <c r="B47" s="200" t="str">
        <f>RIGHT(data!$C$96,4)</f>
        <v>2024</v>
      </c>
      <c r="C47" s="12" t="str">
        <f>data!AV$55</f>
        <v>7490</v>
      </c>
      <c r="D47" s="12" t="s">
        <v>1160</v>
      </c>
      <c r="E47" s="198">
        <f>ROUND(N(data!AV59), 0)</f>
        <v>0</v>
      </c>
      <c r="F47" s="271">
        <f>ROUND(N(data!AV60), 2)</f>
        <v>34</v>
      </c>
      <c r="G47" s="198">
        <f>ROUND(N(data!AV61), 0)</f>
        <v>3936620</v>
      </c>
      <c r="H47" s="198">
        <f>ROUND(N(data!AV62), 0)</f>
        <v>819949</v>
      </c>
      <c r="I47" s="198">
        <f>ROUND(N(data!AV63), 0)</f>
        <v>686196</v>
      </c>
      <c r="J47" s="198">
        <f>ROUND(N(data!AV64), 0)</f>
        <v>2845619</v>
      </c>
      <c r="K47" s="198">
        <f>ROUND(N(data!AV65), 0)</f>
        <v>0</v>
      </c>
      <c r="L47" s="198">
        <f>ROUND(N(data!AV66), 0)</f>
        <v>3778472</v>
      </c>
      <c r="M47" s="198">
        <f>ROUND(N(data!AV67), 0)</f>
        <v>322824</v>
      </c>
      <c r="N47" s="198">
        <f>ROUND(N(data!AV68), 0)</f>
        <v>0</v>
      </c>
      <c r="O47" s="198">
        <f>ROUND(N(data!AV69), 0)</f>
        <v>448484</v>
      </c>
      <c r="P47" s="198">
        <f>ROUND(N(data!AV70), 0)</f>
        <v>0</v>
      </c>
      <c r="Q47" s="198">
        <f>ROUND(N(data!AV71), 0)</f>
        <v>32938</v>
      </c>
      <c r="R47" s="198">
        <f>ROUND(N(data!AV72), 0)</f>
        <v>90</v>
      </c>
      <c r="S47" s="198">
        <f>ROUND(N(data!AV73), 0)</f>
        <v>143351</v>
      </c>
      <c r="T47" s="198">
        <f>ROUND(N(data!AV74), 0)</f>
        <v>18797</v>
      </c>
      <c r="U47" s="198">
        <f>ROUND(N(data!AV75), 0)</f>
        <v>0</v>
      </c>
      <c r="V47" s="198">
        <f>ROUND(N(data!AV76), 0)</f>
        <v>0</v>
      </c>
      <c r="W47" s="198">
        <f>ROUND(N(data!AV77), 0)</f>
        <v>8803</v>
      </c>
      <c r="X47" s="198">
        <f>ROUND(N(data!AV78), 0)</f>
        <v>184809</v>
      </c>
      <c r="Y47" s="198">
        <f>ROUND(N(data!AV79), 0)</f>
        <v>0</v>
      </c>
      <c r="Z47" s="198">
        <f>ROUND(N(data!AV80), 0)</f>
        <v>3125</v>
      </c>
      <c r="AA47" s="198">
        <f>ROUND(N(data!AV81), 0)</f>
        <v>0</v>
      </c>
      <c r="AB47" s="198">
        <f>ROUND(N(data!AV82), 0)</f>
        <v>37274</v>
      </c>
      <c r="AC47" s="198">
        <f>ROUND(N(data!AV83), 0)</f>
        <v>19298</v>
      </c>
      <c r="AD47" s="198">
        <f>ROUND(N(data!AV84), 0)</f>
        <v>0</v>
      </c>
      <c r="AE47" s="198">
        <f>ROUND(N(data!AV89), 0)</f>
        <v>75484295</v>
      </c>
      <c r="AF47" s="198">
        <f>ROUND(N(data!AV87), 0)</f>
        <v>18756271</v>
      </c>
      <c r="AG47" s="198">
        <f>ROUND(N(data!AV90), 0)</f>
        <v>35346</v>
      </c>
      <c r="AH47" s="198">
        <f>ROUND(N(data!AV91), 0)</f>
        <v>16154</v>
      </c>
      <c r="AI47" s="198">
        <f>ROUND(N(data!AV92), 0)</f>
        <v>73353</v>
      </c>
      <c r="AJ47" s="198">
        <f>ROUND(N(data!AV93), 0)</f>
        <v>101625</v>
      </c>
      <c r="AK47" s="271">
        <f>ROUND(N(data!AV94), 2)</f>
        <v>216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RIGHT(data!$C$97,3)</f>
        <v>176</v>
      </c>
      <c r="B48" s="200" t="str">
        <f>RIGHT(data!$C$96,4)</f>
        <v>2024</v>
      </c>
      <c r="C48" s="12" t="str">
        <f>data!AW$55</f>
        <v>8200</v>
      </c>
      <c r="D48" s="12" t="s">
        <v>1160</v>
      </c>
      <c r="E48" s="198">
        <f>ROUND(N(data!AW59), 0)</f>
        <v>0</v>
      </c>
      <c r="F48" s="271">
        <f>ROUND(N(data!AW60), 2)</f>
        <v>108</v>
      </c>
      <c r="G48" s="198">
        <f>ROUND(N(data!AW61), 0)</f>
        <v>11359271</v>
      </c>
      <c r="H48" s="198">
        <f>ROUND(N(data!AW62), 0)</f>
        <v>2569024</v>
      </c>
      <c r="I48" s="198">
        <f>ROUND(N(data!AW63), 0)</f>
        <v>0</v>
      </c>
      <c r="J48" s="198">
        <f>ROUND(N(data!AW64), 0)</f>
        <v>26759</v>
      </c>
      <c r="K48" s="198">
        <f>ROUND(N(data!AW65), 0)</f>
        <v>0</v>
      </c>
      <c r="L48" s="198">
        <f>ROUND(N(data!AW66), 0)</f>
        <v>-8892299</v>
      </c>
      <c r="M48" s="198">
        <f>ROUND(N(data!AW67), 0)</f>
        <v>1290</v>
      </c>
      <c r="N48" s="198">
        <f>ROUND(N(data!AW68), 0)</f>
        <v>0</v>
      </c>
      <c r="O48" s="198">
        <f>ROUND(N(data!AW69), 0)</f>
        <v>2543194</v>
      </c>
      <c r="P48" s="198">
        <f>ROUND(N(data!AW70), 0)</f>
        <v>0</v>
      </c>
      <c r="Q48" s="198">
        <f>ROUND(N(data!AW71), 0)</f>
        <v>2264097</v>
      </c>
      <c r="R48" s="198">
        <f>ROUND(N(data!AW72), 0)</f>
        <v>7080</v>
      </c>
      <c r="S48" s="198">
        <f>ROUND(N(data!AW73), 0)</f>
        <v>163727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0</v>
      </c>
      <c r="X48" s="198">
        <f>ROUND(N(data!AW78), 0)</f>
        <v>90431</v>
      </c>
      <c r="Y48" s="198">
        <f>ROUND(N(data!AW79), 0)</f>
        <v>0</v>
      </c>
      <c r="Z48" s="198">
        <f>ROUND(N(data!AW80), 0)</f>
        <v>13762</v>
      </c>
      <c r="AA48" s="198">
        <f>ROUND(N(data!AW81), 0)</f>
        <v>0</v>
      </c>
      <c r="AB48" s="198">
        <f>ROUND(N(data!AW82), 0)</f>
        <v>305</v>
      </c>
      <c r="AC48" s="198">
        <f>ROUND(N(data!AW83), 0)</f>
        <v>3792</v>
      </c>
      <c r="AD48" s="198">
        <f>ROUND(N(data!AW84), 0)</f>
        <v>0</v>
      </c>
      <c r="AE48" s="198">
        <f>ROUND(N(data!AW89), 0)</f>
        <v>0</v>
      </c>
      <c r="AF48" s="198">
        <f>ROUND(N(data!AW87), 0)</f>
        <v>0</v>
      </c>
      <c r="AG48" s="198">
        <f>ROUND(N(data!AW90), 0)</f>
        <v>854</v>
      </c>
      <c r="AH48" s="198">
        <f>ROUND(N(data!AW91), 0)</f>
        <v>0</v>
      </c>
      <c r="AI48" s="198">
        <f>ROUND(N(data!AW92), 0)</f>
        <v>0</v>
      </c>
      <c r="AJ48" s="198">
        <f>ROUND(N(data!AW93), 0)</f>
        <v>0</v>
      </c>
      <c r="AK48" s="271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RIGHT(data!$C$97,3)</f>
        <v>176</v>
      </c>
      <c r="B49" s="200" t="str">
        <f>RIGHT(data!$C$96,4)</f>
        <v>2024</v>
      </c>
      <c r="C49" s="12" t="str">
        <f>data!AX$55</f>
        <v>8310</v>
      </c>
      <c r="D49" s="12" t="s">
        <v>1160</v>
      </c>
      <c r="E49" s="198">
        <f>ROUND(N(data!AX59), 0)</f>
        <v>0</v>
      </c>
      <c r="F49" s="271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0</v>
      </c>
      <c r="K49" s="198">
        <f>ROUND(N(data!AX65), 0)</f>
        <v>0</v>
      </c>
      <c r="L49" s="198">
        <f>ROUND(N(data!AX66), 0)</f>
        <v>0</v>
      </c>
      <c r="M49" s="198">
        <f>ROUND(N(data!AX67), 0)</f>
        <v>0</v>
      </c>
      <c r="N49" s="198">
        <f>ROUND(N(data!AX68), 0)</f>
        <v>0</v>
      </c>
      <c r="O49" s="198">
        <f>ROUND(N(data!AX69), 0)</f>
        <v>0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0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0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271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RIGHT(data!$C$97,3)</f>
        <v>176</v>
      </c>
      <c r="B50" s="200" t="str">
        <f>RIGHT(data!$C$96,4)</f>
        <v>2024</v>
      </c>
      <c r="C50" s="12" t="str">
        <f>data!AY$55</f>
        <v>8320</v>
      </c>
      <c r="D50" s="12" t="s">
        <v>1160</v>
      </c>
      <c r="E50" s="198">
        <f>ROUND(N(data!AY59), 0)</f>
        <v>384908</v>
      </c>
      <c r="F50" s="271">
        <f>ROUND(N(data!AY60), 2)</f>
        <v>26</v>
      </c>
      <c r="G50" s="198">
        <f>ROUND(N(data!AY61), 0)</f>
        <v>1010580</v>
      </c>
      <c r="H50" s="198">
        <f>ROUND(N(data!AY62), 0)</f>
        <v>350690</v>
      </c>
      <c r="I50" s="198">
        <f>ROUND(N(data!AY63), 0)</f>
        <v>0</v>
      </c>
      <c r="J50" s="198">
        <f>ROUND(N(data!AY64), 0)</f>
        <v>491667</v>
      </c>
      <c r="K50" s="198">
        <f>ROUND(N(data!AY65), 0)</f>
        <v>0</v>
      </c>
      <c r="L50" s="198">
        <f>ROUND(N(data!AY66), 0)</f>
        <v>-1415241</v>
      </c>
      <c r="M50" s="198">
        <f>ROUND(N(data!AY67), 0)</f>
        <v>141384</v>
      </c>
      <c r="N50" s="198">
        <f>ROUND(N(data!AY68), 0)</f>
        <v>0</v>
      </c>
      <c r="O50" s="198">
        <f>ROUND(N(data!AY69), 0)</f>
        <v>400918</v>
      </c>
      <c r="P50" s="198">
        <f>ROUND(N(data!AY70), 0)</f>
        <v>0</v>
      </c>
      <c r="Q50" s="198">
        <f>ROUND(N(data!AY71), 0)</f>
        <v>264224</v>
      </c>
      <c r="R50" s="198">
        <f>ROUND(N(data!AY72), 0)</f>
        <v>21513</v>
      </c>
      <c r="S50" s="198">
        <f>ROUND(N(data!AY73), 0)</f>
        <v>32056</v>
      </c>
      <c r="T50" s="198">
        <f>ROUND(N(data!AY74), 0)</f>
        <v>2697</v>
      </c>
      <c r="U50" s="198">
        <f>ROUND(N(data!AY75), 0)</f>
        <v>0</v>
      </c>
      <c r="V50" s="198">
        <f>ROUND(N(data!AY76), 0)</f>
        <v>0</v>
      </c>
      <c r="W50" s="198">
        <f>ROUND(N(data!AY77), 0)</f>
        <v>12606</v>
      </c>
      <c r="X50" s="198">
        <f>ROUND(N(data!AY78), 0)</f>
        <v>7088</v>
      </c>
      <c r="Y50" s="198">
        <f>ROUND(N(data!AY79), 0)</f>
        <v>0</v>
      </c>
      <c r="Z50" s="198">
        <f>ROUND(N(data!AY80), 0)</f>
        <v>1509</v>
      </c>
      <c r="AA50" s="198">
        <f>ROUND(N(data!AY81), 0)</f>
        <v>0</v>
      </c>
      <c r="AB50" s="198">
        <f>ROUND(N(data!AY82), 0)</f>
        <v>40403</v>
      </c>
      <c r="AC50" s="198">
        <f>ROUND(N(data!AY83), 0)</f>
        <v>18820</v>
      </c>
      <c r="AD50" s="198">
        <f>ROUND(N(data!AY84), 0)</f>
        <v>781948</v>
      </c>
      <c r="AE50" s="198">
        <f>ROUND(N(data!AY89), 0)</f>
        <v>0</v>
      </c>
      <c r="AF50" s="198">
        <f>ROUND(N(data!AY87), 0)</f>
        <v>0</v>
      </c>
      <c r="AG50" s="198">
        <f>ROUND(N(data!AY90), 0)</f>
        <v>7754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271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RIGHT(data!$C$97,3)</f>
        <v>176</v>
      </c>
      <c r="B51" s="200" t="str">
        <f>RIGHT(data!$C$96,4)</f>
        <v>2024</v>
      </c>
      <c r="C51" s="12" t="str">
        <f>data!AZ$55</f>
        <v>8330</v>
      </c>
      <c r="D51" s="12" t="s">
        <v>1160</v>
      </c>
      <c r="E51" s="198">
        <f>ROUND(N(data!AZ59), 0)</f>
        <v>0</v>
      </c>
      <c r="F51" s="271">
        <f>ROUND(N(data!AZ60), 2)</f>
        <v>0</v>
      </c>
      <c r="G51" s="198">
        <f>ROUND(N(data!AZ61), 0)</f>
        <v>0</v>
      </c>
      <c r="H51" s="198">
        <f>ROUND(N(data!AZ62), 0)</f>
        <v>0</v>
      </c>
      <c r="I51" s="198">
        <f>ROUND(N(data!AZ63), 0)</f>
        <v>0</v>
      </c>
      <c r="J51" s="198">
        <f>ROUND(N(data!AZ64), 0)</f>
        <v>0</v>
      </c>
      <c r="K51" s="198">
        <f>ROUND(N(data!AZ65), 0)</f>
        <v>0</v>
      </c>
      <c r="L51" s="198">
        <f>ROUND(N(data!AZ66), 0)</f>
        <v>0</v>
      </c>
      <c r="M51" s="198">
        <f>ROUND(N(data!AZ67), 0)</f>
        <v>0</v>
      </c>
      <c r="N51" s="198">
        <f>ROUND(N(data!AZ68), 0)</f>
        <v>0</v>
      </c>
      <c r="O51" s="198">
        <f>ROUND(N(data!AZ69), 0)</f>
        <v>0</v>
      </c>
      <c r="P51" s="198">
        <f>ROUND(N(data!AZ70), 0)</f>
        <v>0</v>
      </c>
      <c r="Q51" s="198">
        <f>ROUND(N(data!AZ71), 0)</f>
        <v>0</v>
      </c>
      <c r="R51" s="198">
        <f>ROUND(N(data!AZ72), 0)</f>
        <v>0</v>
      </c>
      <c r="S51" s="198">
        <f>ROUND(N(data!AZ73), 0)</f>
        <v>0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0</v>
      </c>
      <c r="X51" s="198">
        <f>ROUND(N(data!AZ78), 0)</f>
        <v>0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0</v>
      </c>
      <c r="AC51" s="198">
        <f>ROUND(N(data!AZ83), 0)</f>
        <v>0</v>
      </c>
      <c r="AD51" s="198">
        <f>ROUND(N(data!AZ84), 0)</f>
        <v>0</v>
      </c>
      <c r="AE51" s="198">
        <f>ROUND(N(data!AZ89), 0)</f>
        <v>0</v>
      </c>
      <c r="AF51" s="198">
        <f>ROUND(N(data!AZ87), 0)</f>
        <v>0</v>
      </c>
      <c r="AG51" s="198">
        <f>ROUND(N(data!AZ90), 0)</f>
        <v>0</v>
      </c>
      <c r="AH51" s="198">
        <f>ROUND(N(data!AZ91), 0)</f>
        <v>0</v>
      </c>
      <c r="AI51" s="198">
        <f>ROUND(N(data!AZ92), 0)</f>
        <v>0</v>
      </c>
      <c r="AJ51" s="198">
        <f>ROUND(N(data!AZ93), 0)</f>
        <v>0</v>
      </c>
      <c r="AK51" s="271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RIGHT(data!$C$97,3)</f>
        <v>176</v>
      </c>
      <c r="B52" s="200" t="str">
        <f>RIGHT(data!$C$96,4)</f>
        <v>2024</v>
      </c>
      <c r="C52" s="12" t="str">
        <f>data!BA$55</f>
        <v>8350</v>
      </c>
      <c r="D52" s="12" t="s">
        <v>1160</v>
      </c>
      <c r="E52" s="198">
        <f>ROUND(N(data!BA59), 0)</f>
        <v>0</v>
      </c>
      <c r="F52" s="271">
        <f>ROUND(N(data!BA60), 2)</f>
        <v>0</v>
      </c>
      <c r="G52" s="198">
        <f>ROUND(N(data!BA61), 0)</f>
        <v>0</v>
      </c>
      <c r="H52" s="198">
        <f>ROUND(N(data!BA62), 0)</f>
        <v>0</v>
      </c>
      <c r="I52" s="198">
        <f>ROUND(N(data!BA63), 0)</f>
        <v>0</v>
      </c>
      <c r="J52" s="198">
        <f>ROUND(N(data!BA64), 0)</f>
        <v>0</v>
      </c>
      <c r="K52" s="198">
        <f>ROUND(N(data!BA65), 0)</f>
        <v>0</v>
      </c>
      <c r="L52" s="198">
        <f>ROUND(N(data!BA66), 0)</f>
        <v>0</v>
      </c>
      <c r="M52" s="198">
        <f>ROUND(N(data!BA67), 0)</f>
        <v>0</v>
      </c>
      <c r="N52" s="198">
        <f>ROUND(N(data!BA68), 0)</f>
        <v>0</v>
      </c>
      <c r="O52" s="198">
        <f>ROUND(N(data!BA69), 0)</f>
        <v>0</v>
      </c>
      <c r="P52" s="198">
        <f>ROUND(N(data!BA70), 0)</f>
        <v>0</v>
      </c>
      <c r="Q52" s="198">
        <f>ROUND(N(data!BA71), 0)</f>
        <v>0</v>
      </c>
      <c r="R52" s="198">
        <f>ROUND(N(data!BA72), 0)</f>
        <v>0</v>
      </c>
      <c r="S52" s="198">
        <f>ROUND(N(data!BA73), 0)</f>
        <v>0</v>
      </c>
      <c r="T52" s="198">
        <f>ROUND(N(data!BA74), 0)</f>
        <v>0</v>
      </c>
      <c r="U52" s="198">
        <f>ROUND(N(data!BA75), 0)</f>
        <v>0</v>
      </c>
      <c r="V52" s="198">
        <f>ROUND(N(data!BA76), 0)</f>
        <v>0</v>
      </c>
      <c r="W52" s="198">
        <f>ROUND(N(data!BA77), 0)</f>
        <v>0</v>
      </c>
      <c r="X52" s="198">
        <f>ROUND(N(data!BA78), 0)</f>
        <v>0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0</v>
      </c>
      <c r="AC52" s="198">
        <f>ROUND(N(data!BA83), 0)</f>
        <v>0</v>
      </c>
      <c r="AD52" s="198">
        <f>ROUND(N(data!BA84), 0)</f>
        <v>0</v>
      </c>
      <c r="AE52" s="198">
        <f>ROUND(N(data!BA89), 0)</f>
        <v>0</v>
      </c>
      <c r="AF52" s="198">
        <f>ROUND(N(data!BA87), 0)</f>
        <v>0</v>
      </c>
      <c r="AG52" s="198">
        <f>ROUND(N(data!BA90), 0)</f>
        <v>0</v>
      </c>
      <c r="AH52" s="198">
        <f>ROUND(N(data!BA91), 0)</f>
        <v>0</v>
      </c>
      <c r="AI52" s="198">
        <f>ROUND(N(data!BA92), 0)</f>
        <v>0</v>
      </c>
      <c r="AJ52" s="198">
        <f>ROUND(N(data!BA93), 0)</f>
        <v>0</v>
      </c>
      <c r="AK52" s="271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RIGHT(data!$C$97,3)</f>
        <v>176</v>
      </c>
      <c r="B53" s="200" t="str">
        <f>RIGHT(data!$C$96,4)</f>
        <v>2024</v>
      </c>
      <c r="C53" s="12" t="str">
        <f>data!BB$55</f>
        <v>8360</v>
      </c>
      <c r="D53" s="12" t="s">
        <v>1160</v>
      </c>
      <c r="E53" s="198">
        <f>ROUND(N(data!BB59), 0)</f>
        <v>0</v>
      </c>
      <c r="F53" s="271">
        <f>ROUND(N(data!BB60), 2)</f>
        <v>28</v>
      </c>
      <c r="G53" s="198">
        <f>ROUND(N(data!BB61), 0)</f>
        <v>2419079</v>
      </c>
      <c r="H53" s="198">
        <f>ROUND(N(data!BB62), 0)</f>
        <v>622297</v>
      </c>
      <c r="I53" s="198">
        <f>ROUND(N(data!BB63), 0)</f>
        <v>-3735</v>
      </c>
      <c r="J53" s="198">
        <f>ROUND(N(data!BB64), 0)</f>
        <v>10257</v>
      </c>
      <c r="K53" s="198">
        <f>ROUND(N(data!BB65), 0)</f>
        <v>0</v>
      </c>
      <c r="L53" s="198">
        <f>ROUND(N(data!BB66), 0)</f>
        <v>-4337574</v>
      </c>
      <c r="M53" s="198">
        <f>ROUND(N(data!BB67), 0)</f>
        <v>10034</v>
      </c>
      <c r="N53" s="198">
        <f>ROUND(N(data!BB68), 0)</f>
        <v>0</v>
      </c>
      <c r="O53" s="198">
        <f>ROUND(N(data!BB69), 0)</f>
        <v>1308781</v>
      </c>
      <c r="P53" s="198">
        <f>ROUND(N(data!BB70), 0)</f>
        <v>0</v>
      </c>
      <c r="Q53" s="198">
        <f>ROUND(N(data!BB71), 0)</f>
        <v>1106636</v>
      </c>
      <c r="R53" s="198">
        <f>ROUND(N(data!BB72), 0)</f>
        <v>90829</v>
      </c>
      <c r="S53" s="198">
        <f>ROUND(N(data!BB73), 0)</f>
        <v>89326</v>
      </c>
      <c r="T53" s="198">
        <f>ROUND(N(data!BB74), 0)</f>
        <v>0</v>
      </c>
      <c r="U53" s="198">
        <f>ROUND(N(data!BB75), 0)</f>
        <v>11145</v>
      </c>
      <c r="V53" s="198">
        <f>ROUND(N(data!BB76), 0)</f>
        <v>0</v>
      </c>
      <c r="W53" s="198">
        <f>ROUND(N(data!BB77), 0)</f>
        <v>0</v>
      </c>
      <c r="X53" s="198">
        <f>ROUND(N(data!BB78), 0)</f>
        <v>0</v>
      </c>
      <c r="Y53" s="198">
        <f>ROUND(N(data!BB79), 0)</f>
        <v>0</v>
      </c>
      <c r="Z53" s="198">
        <f>ROUND(N(data!BB80), 0)</f>
        <v>177</v>
      </c>
      <c r="AA53" s="198">
        <f>ROUND(N(data!BB81), 0)</f>
        <v>0</v>
      </c>
      <c r="AB53" s="198">
        <f>ROUND(N(data!BB82), 0)</f>
        <v>3015</v>
      </c>
      <c r="AC53" s="198">
        <f>ROUND(N(data!BB83), 0)</f>
        <v>7652</v>
      </c>
      <c r="AD53" s="198">
        <f>ROUND(N(data!BB84), 0)</f>
        <v>6240</v>
      </c>
      <c r="AE53" s="198">
        <f>ROUND(N(data!BB89), 0)</f>
        <v>0</v>
      </c>
      <c r="AF53" s="198">
        <f>ROUND(N(data!BB87), 0)</f>
        <v>0</v>
      </c>
      <c r="AG53" s="198">
        <f>ROUND(N(data!BB90), 0)</f>
        <v>773</v>
      </c>
      <c r="AH53" s="198">
        <f>ROUND(N(data!BB91), 0)</f>
        <v>0</v>
      </c>
      <c r="AI53" s="198">
        <f>ROUND(N(data!BB92), 0)</f>
        <v>0</v>
      </c>
      <c r="AJ53" s="198">
        <f>ROUND(N(data!BB93), 0)</f>
        <v>0</v>
      </c>
      <c r="AK53" s="271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RIGHT(data!$C$97,3)</f>
        <v>176</v>
      </c>
      <c r="B54" s="200" t="str">
        <f>RIGHT(data!$C$96,4)</f>
        <v>2024</v>
      </c>
      <c r="C54" s="12" t="str">
        <f>data!BC$55</f>
        <v>8370</v>
      </c>
      <c r="D54" s="12" t="s">
        <v>1160</v>
      </c>
      <c r="E54" s="198">
        <f>ROUND(N(data!BC59), 0)</f>
        <v>0</v>
      </c>
      <c r="F54" s="271">
        <f>ROUND(N(data!BC60), 2)</f>
        <v>13</v>
      </c>
      <c r="G54" s="198">
        <f>ROUND(N(data!BC61), 0)</f>
        <v>514012</v>
      </c>
      <c r="H54" s="198">
        <f>ROUND(N(data!BC62), 0)</f>
        <v>220491</v>
      </c>
      <c r="I54" s="198">
        <f>ROUND(N(data!BC63), 0)</f>
        <v>0</v>
      </c>
      <c r="J54" s="198">
        <f>ROUND(N(data!BC64), 0)</f>
        <v>610</v>
      </c>
      <c r="K54" s="198">
        <f>ROUND(N(data!BC65), 0)</f>
        <v>0</v>
      </c>
      <c r="L54" s="198">
        <f>ROUND(N(data!BC66), 0)</f>
        <v>-747496</v>
      </c>
      <c r="M54" s="198">
        <f>ROUND(N(data!BC67), 0)</f>
        <v>53</v>
      </c>
      <c r="N54" s="198">
        <f>ROUND(N(data!BC68), 0)</f>
        <v>0</v>
      </c>
      <c r="O54" s="198">
        <f>ROUND(N(data!BC69), 0)</f>
        <v>16419</v>
      </c>
      <c r="P54" s="198">
        <f>ROUND(N(data!BC70), 0)</f>
        <v>0</v>
      </c>
      <c r="Q54" s="198">
        <f>ROUND(N(data!BC71), 0)</f>
        <v>0</v>
      </c>
      <c r="R54" s="198">
        <f>ROUND(N(data!BC72), 0)</f>
        <v>0</v>
      </c>
      <c r="S54" s="198">
        <f>ROUND(N(data!BC73), 0)</f>
        <v>15674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0</v>
      </c>
      <c r="X54" s="198">
        <f>ROUND(N(data!BC78), 0)</f>
        <v>0</v>
      </c>
      <c r="Y54" s="198">
        <f>ROUND(N(data!BC79), 0)</f>
        <v>0</v>
      </c>
      <c r="Z54" s="198">
        <f>ROUND(N(data!BC80), 0)</f>
        <v>641</v>
      </c>
      <c r="AA54" s="198">
        <f>ROUND(N(data!BC81), 0)</f>
        <v>0</v>
      </c>
      <c r="AB54" s="198">
        <f>ROUND(N(data!BC82), 0)</f>
        <v>-38</v>
      </c>
      <c r="AC54" s="198">
        <f>ROUND(N(data!BC83), 0)</f>
        <v>143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0</v>
      </c>
      <c r="AH54" s="198">
        <f>ROUND(N(data!BC91), 0)</f>
        <v>0</v>
      </c>
      <c r="AI54" s="198">
        <f>ROUND(N(data!BC92), 0)</f>
        <v>0</v>
      </c>
      <c r="AJ54" s="198">
        <f>ROUND(N(data!BC93), 0)</f>
        <v>0</v>
      </c>
      <c r="AK54" s="271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RIGHT(data!$C$97,3)</f>
        <v>176</v>
      </c>
      <c r="B55" s="200" t="str">
        <f>RIGHT(data!$C$96,4)</f>
        <v>2024</v>
      </c>
      <c r="C55" s="12" t="str">
        <f>data!BD$55</f>
        <v>8420</v>
      </c>
      <c r="D55" s="12" t="s">
        <v>1160</v>
      </c>
      <c r="E55" s="198">
        <f>ROUND(N(data!BD59), 0)</f>
        <v>0</v>
      </c>
      <c r="F55" s="271">
        <f>ROUND(N(data!BD60), 2)</f>
        <v>0</v>
      </c>
      <c r="G55" s="198">
        <f>ROUND(N(data!BD61), 0)</f>
        <v>0</v>
      </c>
      <c r="H55" s="198">
        <f>ROUND(N(data!BD62), 0)</f>
        <v>0</v>
      </c>
      <c r="I55" s="198">
        <f>ROUND(N(data!BD63), 0)</f>
        <v>0</v>
      </c>
      <c r="J55" s="198">
        <f>ROUND(N(data!BD64), 0)</f>
        <v>0</v>
      </c>
      <c r="K55" s="198">
        <f>ROUND(N(data!BD65), 0)</f>
        <v>0</v>
      </c>
      <c r="L55" s="198">
        <f>ROUND(N(data!BD66), 0)</f>
        <v>0</v>
      </c>
      <c r="M55" s="198">
        <f>ROUND(N(data!BD67), 0)</f>
        <v>0</v>
      </c>
      <c r="N55" s="198">
        <f>ROUND(N(data!BD68), 0)</f>
        <v>0</v>
      </c>
      <c r="O55" s="198">
        <f>ROUND(N(data!BD69), 0)</f>
        <v>0</v>
      </c>
      <c r="P55" s="198">
        <f>ROUND(N(data!BD70), 0)</f>
        <v>0</v>
      </c>
      <c r="Q55" s="198">
        <f>ROUND(N(data!BD71), 0)</f>
        <v>0</v>
      </c>
      <c r="R55" s="198">
        <f>ROUND(N(data!BD72), 0)</f>
        <v>0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0</v>
      </c>
      <c r="X55" s="198">
        <f>ROUND(N(data!BD78), 0)</f>
        <v>0</v>
      </c>
      <c r="Y55" s="198">
        <f>ROUND(N(data!BD79), 0)</f>
        <v>0</v>
      </c>
      <c r="Z55" s="198">
        <f>ROUND(N(data!BD80), 0)</f>
        <v>0</v>
      </c>
      <c r="AA55" s="198">
        <f>ROUND(N(data!BD81), 0)</f>
        <v>0</v>
      </c>
      <c r="AB55" s="198">
        <f>ROUND(N(data!BD82), 0)</f>
        <v>0</v>
      </c>
      <c r="AC55" s="198">
        <f>ROUND(N(data!BD83), 0)</f>
        <v>0</v>
      </c>
      <c r="AD55" s="198">
        <f>ROUND(N(data!BD84), 0)</f>
        <v>0</v>
      </c>
      <c r="AE55" s="198">
        <f>ROUND(N(data!BD89), 0)</f>
        <v>0</v>
      </c>
      <c r="AF55" s="198">
        <f>ROUND(N(data!BD87), 0)</f>
        <v>0</v>
      </c>
      <c r="AG55" s="198">
        <f>ROUND(N(data!BD90), 0)</f>
        <v>2167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271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RIGHT(data!$C$97,3)</f>
        <v>176</v>
      </c>
      <c r="B56" s="200" t="str">
        <f>RIGHT(data!$C$96,4)</f>
        <v>2024</v>
      </c>
      <c r="C56" s="12" t="str">
        <f>data!BE$55</f>
        <v>8430</v>
      </c>
      <c r="D56" s="12" t="s">
        <v>1160</v>
      </c>
      <c r="E56" s="198">
        <f>ROUND(N(data!BE59), 0)</f>
        <v>515622</v>
      </c>
      <c r="F56" s="271">
        <f>ROUND(N(data!BE60), 2)</f>
        <v>11</v>
      </c>
      <c r="G56" s="198">
        <f>ROUND(N(data!BE61), 0)</f>
        <v>1063058</v>
      </c>
      <c r="H56" s="198">
        <f>ROUND(N(data!BE62), 0)</f>
        <v>261703</v>
      </c>
      <c r="I56" s="198">
        <f>ROUND(N(data!BE63), 0)</f>
        <v>17396</v>
      </c>
      <c r="J56" s="198">
        <f>ROUND(N(data!BE64), 0)</f>
        <v>56387</v>
      </c>
      <c r="K56" s="198">
        <f>ROUND(N(data!BE65), 0)</f>
        <v>0</v>
      </c>
      <c r="L56" s="198">
        <f>ROUND(N(data!BE66), 0)</f>
        <v>-2998316</v>
      </c>
      <c r="M56" s="198">
        <f>ROUND(N(data!BE67), 0)</f>
        <v>385172</v>
      </c>
      <c r="N56" s="198">
        <f>ROUND(N(data!BE68), 0)</f>
        <v>-2979</v>
      </c>
      <c r="O56" s="198">
        <f>ROUND(N(data!BE69), 0)</f>
        <v>1222919</v>
      </c>
      <c r="P56" s="198">
        <f>ROUND(N(data!BE70), 0)</f>
        <v>0</v>
      </c>
      <c r="Q56" s="198">
        <f>ROUND(N(data!BE71), 0)</f>
        <v>0</v>
      </c>
      <c r="R56" s="198">
        <f>ROUND(N(data!BE72), 0)</f>
        <v>512</v>
      </c>
      <c r="S56" s="198">
        <f>ROUND(N(data!BE73), 0)</f>
        <v>40456</v>
      </c>
      <c r="T56" s="198">
        <f>ROUND(N(data!BE74), 0)</f>
        <v>3697</v>
      </c>
      <c r="U56" s="198">
        <f>ROUND(N(data!BE75), 0)</f>
        <v>0</v>
      </c>
      <c r="V56" s="198">
        <f>ROUND(N(data!BE76), 0)</f>
        <v>0</v>
      </c>
      <c r="W56" s="198">
        <f>ROUND(N(data!BE77), 0)</f>
        <v>1014932</v>
      </c>
      <c r="X56" s="198">
        <f>ROUND(N(data!BE78), 0)</f>
        <v>0</v>
      </c>
      <c r="Y56" s="198">
        <f>ROUND(N(data!BE79), 0)</f>
        <v>0</v>
      </c>
      <c r="Z56" s="198">
        <f>ROUND(N(data!BE80), 0)</f>
        <v>819</v>
      </c>
      <c r="AA56" s="198">
        <f>ROUND(N(data!BE81), 0)</f>
        <v>0</v>
      </c>
      <c r="AB56" s="198">
        <f>ROUND(N(data!BE82), 0)</f>
        <v>117214</v>
      </c>
      <c r="AC56" s="198">
        <f>ROUND(N(data!BE83), 0)</f>
        <v>45288</v>
      </c>
      <c r="AD56" s="198">
        <f>ROUND(N(data!BE84), 0)</f>
        <v>0</v>
      </c>
      <c r="AE56" s="198">
        <f>ROUND(N(data!BE89), 0)</f>
        <v>0</v>
      </c>
      <c r="AF56" s="198">
        <f>ROUND(N(data!BE87), 0)</f>
        <v>0</v>
      </c>
      <c r="AG56" s="198">
        <f>ROUND(N(data!BE90), 0)</f>
        <v>22808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271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RIGHT(data!$C$97,3)</f>
        <v>176</v>
      </c>
      <c r="B57" s="200" t="str">
        <f>RIGHT(data!$C$96,4)</f>
        <v>2024</v>
      </c>
      <c r="C57" s="12" t="str">
        <f>data!BF$55</f>
        <v>8460</v>
      </c>
      <c r="D57" s="12" t="s">
        <v>1160</v>
      </c>
      <c r="E57" s="198">
        <f>ROUND(N(data!BF59), 0)</f>
        <v>0</v>
      </c>
      <c r="F57" s="271">
        <f>ROUND(N(data!BF60), 2)</f>
        <v>26</v>
      </c>
      <c r="G57" s="198">
        <f>ROUND(N(data!BF61), 0)</f>
        <v>1329223</v>
      </c>
      <c r="H57" s="198">
        <f>ROUND(N(data!BF62), 0)</f>
        <v>550154</v>
      </c>
      <c r="I57" s="198">
        <f>ROUND(N(data!BF63), 0)</f>
        <v>0</v>
      </c>
      <c r="J57" s="198">
        <f>ROUND(N(data!BF64), 0)</f>
        <v>115865</v>
      </c>
      <c r="K57" s="198">
        <f>ROUND(N(data!BF65), 0)</f>
        <v>0</v>
      </c>
      <c r="L57" s="198">
        <f>ROUND(N(data!BF66), 0)</f>
        <v>-2446318</v>
      </c>
      <c r="M57" s="198">
        <f>ROUND(N(data!BF67), 0)</f>
        <v>28847</v>
      </c>
      <c r="N57" s="198">
        <f>ROUND(N(data!BF68), 0)</f>
        <v>0</v>
      </c>
      <c r="O57" s="198">
        <f>ROUND(N(data!BF69), 0)</f>
        <v>442477</v>
      </c>
      <c r="P57" s="198">
        <f>ROUND(N(data!BF70), 0)</f>
        <v>0</v>
      </c>
      <c r="Q57" s="198">
        <f>ROUND(N(data!BF71), 0)</f>
        <v>78418</v>
      </c>
      <c r="R57" s="198">
        <f>ROUND(N(data!BF72), 0)</f>
        <v>731</v>
      </c>
      <c r="S57" s="198">
        <f>ROUND(N(data!BF73), 0)</f>
        <v>32168</v>
      </c>
      <c r="T57" s="198">
        <f>ROUND(N(data!BF74), 0)</f>
        <v>1518</v>
      </c>
      <c r="U57" s="198">
        <f>ROUND(N(data!BF75), 0)</f>
        <v>0</v>
      </c>
      <c r="V57" s="198">
        <f>ROUND(N(data!BF76), 0)</f>
        <v>0</v>
      </c>
      <c r="W57" s="198">
        <f>ROUND(N(data!BF77), 0)</f>
        <v>13559</v>
      </c>
      <c r="X57" s="198">
        <f>ROUND(N(data!BF78), 0)</f>
        <v>0</v>
      </c>
      <c r="Y57" s="198">
        <f>ROUND(N(data!BF79), 0)</f>
        <v>0</v>
      </c>
      <c r="Z57" s="198">
        <f>ROUND(N(data!BF80), 0)</f>
        <v>0</v>
      </c>
      <c r="AA57" s="198">
        <f>ROUND(N(data!BF81), 0)</f>
        <v>0</v>
      </c>
      <c r="AB57" s="198">
        <f>ROUND(N(data!BF82), 0)</f>
        <v>10456</v>
      </c>
      <c r="AC57" s="198">
        <f>ROUND(N(data!BF83), 0)</f>
        <v>305627</v>
      </c>
      <c r="AD57" s="198">
        <f>ROUND(N(data!BF84), 0)</f>
        <v>0</v>
      </c>
      <c r="AE57" s="198">
        <f>ROUND(N(data!BF89), 0)</f>
        <v>0</v>
      </c>
      <c r="AF57" s="198">
        <f>ROUND(N(data!BF87), 0)</f>
        <v>0</v>
      </c>
      <c r="AG57" s="198">
        <f>ROUND(N(data!BF90), 0)</f>
        <v>2007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271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RIGHT(data!$C$97,3)</f>
        <v>176</v>
      </c>
      <c r="B58" s="200" t="str">
        <f>RIGHT(data!$C$96,4)</f>
        <v>2024</v>
      </c>
      <c r="C58" s="12" t="str">
        <f>data!BG$55</f>
        <v>8470</v>
      </c>
      <c r="D58" s="12" t="s">
        <v>1160</v>
      </c>
      <c r="E58" s="198">
        <f>ROUND(N(data!BG59), 0)</f>
        <v>0</v>
      </c>
      <c r="F58" s="271">
        <f>ROUND(N(data!BG60), 2)</f>
        <v>0</v>
      </c>
      <c r="G58" s="198">
        <f>ROUND(N(data!BG61), 0)</f>
        <v>0</v>
      </c>
      <c r="H58" s="198">
        <f>ROUND(N(data!BG62), 0)</f>
        <v>0</v>
      </c>
      <c r="I58" s="198">
        <f>ROUND(N(data!BG63), 0)</f>
        <v>0</v>
      </c>
      <c r="J58" s="198">
        <f>ROUND(N(data!BG64), 0)</f>
        <v>0</v>
      </c>
      <c r="K58" s="198">
        <f>ROUND(N(data!BG65), 0)</f>
        <v>0</v>
      </c>
      <c r="L58" s="198">
        <f>ROUND(N(data!BG66), 0)</f>
        <v>0</v>
      </c>
      <c r="M58" s="198">
        <f>ROUND(N(data!BG67), 0)</f>
        <v>0</v>
      </c>
      <c r="N58" s="198">
        <f>ROUND(N(data!BG68), 0)</f>
        <v>0</v>
      </c>
      <c r="O58" s="198">
        <f>ROUND(N(data!BG69), 0)</f>
        <v>0</v>
      </c>
      <c r="P58" s="198">
        <f>ROUND(N(data!BG70), 0)</f>
        <v>0</v>
      </c>
      <c r="Q58" s="198">
        <f>ROUND(N(data!BG71), 0)</f>
        <v>0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0</v>
      </c>
      <c r="X58" s="198">
        <f>ROUND(N(data!BG78), 0)</f>
        <v>0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0</v>
      </c>
      <c r="AC58" s="198">
        <f>ROUND(N(data!BG83), 0)</f>
        <v>0</v>
      </c>
      <c r="AD58" s="198">
        <f>ROUND(N(data!BG84), 0)</f>
        <v>0</v>
      </c>
      <c r="AE58" s="198">
        <f>ROUND(N(data!BG89), 0)</f>
        <v>0</v>
      </c>
      <c r="AF58" s="198">
        <f>ROUND(N(data!BG87), 0)</f>
        <v>0</v>
      </c>
      <c r="AG58" s="198">
        <f>ROUND(N(data!BG90), 0)</f>
        <v>0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271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RIGHT(data!$C$97,3)</f>
        <v>176</v>
      </c>
      <c r="B59" s="200" t="str">
        <f>RIGHT(data!$C$96,4)</f>
        <v>2024</v>
      </c>
      <c r="C59" s="12" t="str">
        <f>data!BH$55</f>
        <v>8480</v>
      </c>
      <c r="D59" s="12" t="s">
        <v>1160</v>
      </c>
      <c r="E59" s="198">
        <f>ROUND(N(data!BH59), 0)</f>
        <v>0</v>
      </c>
      <c r="F59" s="271">
        <f>ROUND(N(data!BH60), 2)</f>
        <v>0</v>
      </c>
      <c r="G59" s="198">
        <f>ROUND(N(data!BH61), 0)</f>
        <v>0</v>
      </c>
      <c r="H59" s="198">
        <f>ROUND(N(data!BH62), 0)</f>
        <v>0</v>
      </c>
      <c r="I59" s="198">
        <f>ROUND(N(data!BH63), 0)</f>
        <v>0</v>
      </c>
      <c r="J59" s="198">
        <f>ROUND(N(data!BH64), 0)</f>
        <v>0</v>
      </c>
      <c r="K59" s="198">
        <f>ROUND(N(data!BH65), 0)</f>
        <v>0</v>
      </c>
      <c r="L59" s="198">
        <f>ROUND(N(data!BH66), 0)</f>
        <v>0</v>
      </c>
      <c r="M59" s="198">
        <f>ROUND(N(data!BH67), 0)</f>
        <v>0</v>
      </c>
      <c r="N59" s="198">
        <f>ROUND(N(data!BH68), 0)</f>
        <v>0</v>
      </c>
      <c r="O59" s="198">
        <f>ROUND(N(data!BH69), 0)</f>
        <v>0</v>
      </c>
      <c r="P59" s="198">
        <f>ROUND(N(data!BH70), 0)</f>
        <v>0</v>
      </c>
      <c r="Q59" s="198">
        <f>ROUND(N(data!BH71), 0)</f>
        <v>0</v>
      </c>
      <c r="R59" s="198">
        <f>ROUND(N(data!BH72), 0)</f>
        <v>0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0</v>
      </c>
      <c r="X59" s="198">
        <f>ROUND(N(data!BH78), 0)</f>
        <v>0</v>
      </c>
      <c r="Y59" s="198">
        <f>ROUND(N(data!BH79), 0)</f>
        <v>0</v>
      </c>
      <c r="Z59" s="198">
        <f>ROUND(N(data!BH80), 0)</f>
        <v>0</v>
      </c>
      <c r="AA59" s="198">
        <f>ROUND(N(data!BH81), 0)</f>
        <v>0</v>
      </c>
      <c r="AB59" s="198">
        <f>ROUND(N(data!BH82), 0)</f>
        <v>0</v>
      </c>
      <c r="AC59" s="198">
        <f>ROUND(N(data!BH83), 0)</f>
        <v>0</v>
      </c>
      <c r="AD59" s="198">
        <f>ROUND(N(data!BH84), 0)</f>
        <v>0</v>
      </c>
      <c r="AE59" s="198">
        <f>ROUND(N(data!BH89), 0)</f>
        <v>0</v>
      </c>
      <c r="AF59" s="198">
        <f>ROUND(N(data!BH87), 0)</f>
        <v>0</v>
      </c>
      <c r="AG59" s="198">
        <f>ROUND(N(data!BH90), 0)</f>
        <v>0</v>
      </c>
      <c r="AH59" s="198">
        <f>ROUND(N(data!BH91), 0)</f>
        <v>0</v>
      </c>
      <c r="AI59" s="198">
        <f>ROUND(N(data!BH92), 0)</f>
        <v>0</v>
      </c>
      <c r="AJ59" s="198">
        <f>ROUND(N(data!BH93), 0)</f>
        <v>0</v>
      </c>
      <c r="AK59" s="271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RIGHT(data!$C$97,3)</f>
        <v>176</v>
      </c>
      <c r="B60" s="200" t="str">
        <f>RIGHT(data!$C$96,4)</f>
        <v>2024</v>
      </c>
      <c r="C60" s="12" t="str">
        <f>data!BI$55</f>
        <v>8490</v>
      </c>
      <c r="D60" s="12" t="s">
        <v>1160</v>
      </c>
      <c r="E60" s="198">
        <f>ROUND(N(data!BI59), 0)</f>
        <v>0</v>
      </c>
      <c r="F60" s="271">
        <f>ROUND(N(data!BI60), 2)</f>
        <v>11</v>
      </c>
      <c r="G60" s="198">
        <f>ROUND(N(data!BI61), 0)</f>
        <v>733002</v>
      </c>
      <c r="H60" s="198">
        <f>ROUND(N(data!BI62), 0)</f>
        <v>259847</v>
      </c>
      <c r="I60" s="198">
        <f>ROUND(N(data!BI63), 0)</f>
        <v>0</v>
      </c>
      <c r="J60" s="198">
        <f>ROUND(N(data!BI64), 0)</f>
        <v>516930</v>
      </c>
      <c r="K60" s="198">
        <f>ROUND(N(data!BI65), 0)</f>
        <v>0</v>
      </c>
      <c r="L60" s="198">
        <f>ROUND(N(data!BI66), 0)</f>
        <v>290866</v>
      </c>
      <c r="M60" s="198">
        <f>ROUND(N(data!BI67), 0)</f>
        <v>114095</v>
      </c>
      <c r="N60" s="198">
        <f>ROUND(N(data!BI68), 0)</f>
        <v>125</v>
      </c>
      <c r="O60" s="198">
        <f>ROUND(N(data!BI69), 0)</f>
        <v>98122</v>
      </c>
      <c r="P60" s="198">
        <f>ROUND(N(data!BI70), 0)</f>
        <v>0</v>
      </c>
      <c r="Q60" s="198">
        <f>ROUND(N(data!BI71), 0)</f>
        <v>0</v>
      </c>
      <c r="R60" s="198">
        <f>ROUND(N(data!BI72), 0)</f>
        <v>3154</v>
      </c>
      <c r="S60" s="198">
        <f>ROUND(N(data!BI73), 0)</f>
        <v>12257</v>
      </c>
      <c r="T60" s="198">
        <f>ROUND(N(data!BI74), 0)</f>
        <v>17279</v>
      </c>
      <c r="U60" s="198">
        <f>ROUND(N(data!BI75), 0)</f>
        <v>0</v>
      </c>
      <c r="V60" s="198">
        <f>ROUND(N(data!BI76), 0)</f>
        <v>0</v>
      </c>
      <c r="W60" s="198">
        <f>ROUND(N(data!BI77), 0)</f>
        <v>11165</v>
      </c>
      <c r="X60" s="198">
        <f>ROUND(N(data!BI78), 0)</f>
        <v>18046</v>
      </c>
      <c r="Y60" s="198">
        <f>ROUND(N(data!BI79), 0)</f>
        <v>1438</v>
      </c>
      <c r="Z60" s="198">
        <f>ROUND(N(data!BI80), 0)</f>
        <v>0</v>
      </c>
      <c r="AA60" s="198">
        <f>ROUND(N(data!BI81), 0)</f>
        <v>0</v>
      </c>
      <c r="AB60" s="198">
        <f>ROUND(N(data!BI82), 0)</f>
        <v>22737</v>
      </c>
      <c r="AC60" s="198">
        <f>ROUND(N(data!BI83), 0)</f>
        <v>12047</v>
      </c>
      <c r="AD60" s="198">
        <f>ROUND(N(data!BI84), 0)</f>
        <v>1488807</v>
      </c>
      <c r="AE60" s="198">
        <f>ROUND(N(data!BI89), 0)</f>
        <v>0</v>
      </c>
      <c r="AF60" s="198">
        <f>ROUND(N(data!BI87), 0)</f>
        <v>0</v>
      </c>
      <c r="AG60" s="198">
        <f>ROUND(N(data!BI90), 0)</f>
        <v>0</v>
      </c>
      <c r="AH60" s="198">
        <f>ROUND(N(data!BI91), 0)</f>
        <v>0</v>
      </c>
      <c r="AI60" s="198">
        <f>ROUND(N(data!BI92), 0)</f>
        <v>0</v>
      </c>
      <c r="AJ60" s="198">
        <f>ROUND(N(data!BI93), 0)</f>
        <v>0</v>
      </c>
      <c r="AK60" s="271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RIGHT(data!$C$97,3)</f>
        <v>176</v>
      </c>
      <c r="B61" s="200" t="str">
        <f>RIGHT(data!$C$96,4)</f>
        <v>2024</v>
      </c>
      <c r="C61" s="12" t="str">
        <f>data!BJ$55</f>
        <v>8510</v>
      </c>
      <c r="D61" s="12" t="s">
        <v>1160</v>
      </c>
      <c r="E61" s="198">
        <f>ROUND(N(data!BJ59), 0)</f>
        <v>0</v>
      </c>
      <c r="F61" s="271">
        <f>ROUND(N(data!BJ60), 2)</f>
        <v>0</v>
      </c>
      <c r="G61" s="198">
        <f>ROUND(N(data!BJ61), 0)</f>
        <v>0</v>
      </c>
      <c r="H61" s="198">
        <f>ROUND(N(data!BJ62), 0)</f>
        <v>0</v>
      </c>
      <c r="I61" s="198">
        <f>ROUND(N(data!BJ63), 0)</f>
        <v>0</v>
      </c>
      <c r="J61" s="198">
        <f>ROUND(N(data!BJ64), 0)</f>
        <v>0</v>
      </c>
      <c r="K61" s="198">
        <f>ROUND(N(data!BJ65), 0)</f>
        <v>0</v>
      </c>
      <c r="L61" s="198">
        <f>ROUND(N(data!BJ66), 0)</f>
        <v>0</v>
      </c>
      <c r="M61" s="198">
        <f>ROUND(N(data!BJ67), 0)</f>
        <v>0</v>
      </c>
      <c r="N61" s="198">
        <f>ROUND(N(data!BJ68), 0)</f>
        <v>0</v>
      </c>
      <c r="O61" s="198">
        <f>ROUND(N(data!BJ69), 0)</f>
        <v>0</v>
      </c>
      <c r="P61" s="198">
        <f>ROUND(N(data!BJ70), 0)</f>
        <v>0</v>
      </c>
      <c r="Q61" s="198">
        <f>ROUND(N(data!BJ71), 0)</f>
        <v>0</v>
      </c>
      <c r="R61" s="198">
        <f>ROUND(N(data!BJ72), 0)</f>
        <v>0</v>
      </c>
      <c r="S61" s="198">
        <f>ROUND(N(data!BJ73), 0)</f>
        <v>0</v>
      </c>
      <c r="T61" s="198">
        <f>ROUND(N(data!BJ74), 0)</f>
        <v>0</v>
      </c>
      <c r="U61" s="198">
        <f>ROUND(N(data!BJ75), 0)</f>
        <v>0</v>
      </c>
      <c r="V61" s="198">
        <f>ROUND(N(data!BJ76), 0)</f>
        <v>0</v>
      </c>
      <c r="W61" s="198">
        <f>ROUND(N(data!BJ77), 0)</f>
        <v>0</v>
      </c>
      <c r="X61" s="198">
        <f>ROUND(N(data!BJ78), 0)</f>
        <v>0</v>
      </c>
      <c r="Y61" s="198">
        <f>ROUND(N(data!BJ79), 0)</f>
        <v>0</v>
      </c>
      <c r="Z61" s="198">
        <f>ROUND(N(data!BJ80), 0)</f>
        <v>0</v>
      </c>
      <c r="AA61" s="198">
        <f>ROUND(N(data!BJ81), 0)</f>
        <v>0</v>
      </c>
      <c r="AB61" s="198">
        <f>ROUND(N(data!BJ82), 0)</f>
        <v>0</v>
      </c>
      <c r="AC61" s="198">
        <f>ROUND(N(data!BJ83), 0)</f>
        <v>0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0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271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RIGHT(data!$C$97,3)</f>
        <v>176</v>
      </c>
      <c r="B62" s="200" t="str">
        <f>RIGHT(data!$C$96,4)</f>
        <v>2024</v>
      </c>
      <c r="C62" s="12" t="str">
        <f>data!BK$55</f>
        <v>8530</v>
      </c>
      <c r="D62" s="12" t="s">
        <v>1160</v>
      </c>
      <c r="E62" s="198">
        <f>ROUND(N(data!BK59), 0)</f>
        <v>0</v>
      </c>
      <c r="F62" s="271">
        <f>ROUND(N(data!BK60), 2)</f>
        <v>0</v>
      </c>
      <c r="G62" s="198">
        <f>ROUND(N(data!BK61), 0)</f>
        <v>0</v>
      </c>
      <c r="H62" s="198">
        <f>ROUND(N(data!BK62), 0)</f>
        <v>0</v>
      </c>
      <c r="I62" s="198">
        <f>ROUND(N(data!BK63), 0)</f>
        <v>0</v>
      </c>
      <c r="J62" s="198">
        <f>ROUND(N(data!BK64), 0)</f>
        <v>0</v>
      </c>
      <c r="K62" s="198">
        <f>ROUND(N(data!BK65), 0)</f>
        <v>0</v>
      </c>
      <c r="L62" s="198">
        <f>ROUND(N(data!BK66), 0)</f>
        <v>0</v>
      </c>
      <c r="M62" s="198">
        <f>ROUND(N(data!BK67), 0)</f>
        <v>0</v>
      </c>
      <c r="N62" s="198">
        <f>ROUND(N(data!BK68), 0)</f>
        <v>0</v>
      </c>
      <c r="O62" s="198">
        <f>ROUND(N(data!BK69), 0)</f>
        <v>0</v>
      </c>
      <c r="P62" s="198">
        <f>ROUND(N(data!BK70), 0)</f>
        <v>0</v>
      </c>
      <c r="Q62" s="198">
        <f>ROUND(N(data!BK71), 0)</f>
        <v>0</v>
      </c>
      <c r="R62" s="198">
        <f>ROUND(N(data!BK72), 0)</f>
        <v>0</v>
      </c>
      <c r="S62" s="198">
        <f>ROUND(N(data!BK73), 0)</f>
        <v>0</v>
      </c>
      <c r="T62" s="198">
        <f>ROUND(N(data!BK74), 0)</f>
        <v>0</v>
      </c>
      <c r="U62" s="198">
        <f>ROUND(N(data!BK75), 0)</f>
        <v>0</v>
      </c>
      <c r="V62" s="198">
        <f>ROUND(N(data!BK76), 0)</f>
        <v>0</v>
      </c>
      <c r="W62" s="198">
        <f>ROUND(N(data!BK77), 0)</f>
        <v>0</v>
      </c>
      <c r="X62" s="198">
        <f>ROUND(N(data!BK78), 0)</f>
        <v>0</v>
      </c>
      <c r="Y62" s="198">
        <f>ROUND(N(data!BK79), 0)</f>
        <v>0</v>
      </c>
      <c r="Z62" s="198">
        <f>ROUND(N(data!BK80), 0)</f>
        <v>0</v>
      </c>
      <c r="AA62" s="198">
        <f>ROUND(N(data!BK81), 0)</f>
        <v>0</v>
      </c>
      <c r="AB62" s="198">
        <f>ROUND(N(data!BK82), 0)</f>
        <v>0</v>
      </c>
      <c r="AC62" s="198">
        <f>ROUND(N(data!BK83), 0)</f>
        <v>0</v>
      </c>
      <c r="AD62" s="198">
        <f>ROUND(N(data!BK84), 0)</f>
        <v>0</v>
      </c>
      <c r="AE62" s="198">
        <f>ROUND(N(data!BK89), 0)</f>
        <v>0</v>
      </c>
      <c r="AF62" s="198">
        <f>ROUND(N(data!BK87), 0)</f>
        <v>0</v>
      </c>
      <c r="AG62" s="198">
        <f>ROUND(N(data!BK90), 0)</f>
        <v>0</v>
      </c>
      <c r="AH62" s="198">
        <f>ROUND(N(data!BK91), 0)</f>
        <v>0</v>
      </c>
      <c r="AI62" s="198">
        <f>ROUND(N(data!BK92), 0)</f>
        <v>0</v>
      </c>
      <c r="AJ62" s="198">
        <f>ROUND(N(data!BK93), 0)</f>
        <v>0</v>
      </c>
      <c r="AK62" s="271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RIGHT(data!$C$97,3)</f>
        <v>176</v>
      </c>
      <c r="B63" s="200" t="str">
        <f>RIGHT(data!$C$96,4)</f>
        <v>2024</v>
      </c>
      <c r="C63" s="12" t="str">
        <f>data!BL$55</f>
        <v>8560</v>
      </c>
      <c r="D63" s="12" t="s">
        <v>1160</v>
      </c>
      <c r="E63" s="198">
        <f>ROUND(N(data!BL59), 0)</f>
        <v>0</v>
      </c>
      <c r="F63" s="271">
        <f>ROUND(N(data!BL60), 2)</f>
        <v>32</v>
      </c>
      <c r="G63" s="198">
        <f>ROUND(N(data!BL61), 0)</f>
        <v>1836294</v>
      </c>
      <c r="H63" s="198">
        <f>ROUND(N(data!BL62), 0)</f>
        <v>721418</v>
      </c>
      <c r="I63" s="198">
        <f>ROUND(N(data!BL63), 0)</f>
        <v>0</v>
      </c>
      <c r="J63" s="198">
        <f>ROUND(N(data!BL64), 0)</f>
        <v>32128</v>
      </c>
      <c r="K63" s="198">
        <f>ROUND(N(data!BL65), 0)</f>
        <v>0</v>
      </c>
      <c r="L63" s="198">
        <f>ROUND(N(data!BL66), 0)</f>
        <v>-2806585</v>
      </c>
      <c r="M63" s="198">
        <f>ROUND(N(data!BL67), 0)</f>
        <v>19403</v>
      </c>
      <c r="N63" s="198">
        <f>ROUND(N(data!BL68), 0)</f>
        <v>0</v>
      </c>
      <c r="O63" s="198">
        <f>ROUND(N(data!BL69), 0)</f>
        <v>56365</v>
      </c>
      <c r="P63" s="198">
        <f>ROUND(N(data!BL70), 0)</f>
        <v>0</v>
      </c>
      <c r="Q63" s="198">
        <f>ROUND(N(data!BL71), 0)</f>
        <v>0</v>
      </c>
      <c r="R63" s="198">
        <f>ROUND(N(data!BL72), 0)</f>
        <v>0</v>
      </c>
      <c r="S63" s="198">
        <f>ROUND(N(data!BL73), 0)</f>
        <v>45763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16</v>
      </c>
      <c r="X63" s="198">
        <f>ROUND(N(data!BL78), 0)</f>
        <v>0</v>
      </c>
      <c r="Y63" s="198">
        <f>ROUND(N(data!BL79), 0)</f>
        <v>0</v>
      </c>
      <c r="Z63" s="198">
        <f>ROUND(N(data!BL80), 0)</f>
        <v>39</v>
      </c>
      <c r="AA63" s="198">
        <f>ROUND(N(data!BL81), 0)</f>
        <v>0</v>
      </c>
      <c r="AB63" s="198">
        <f>ROUND(N(data!BL82), 0)</f>
        <v>7463</v>
      </c>
      <c r="AC63" s="198">
        <f>ROUND(N(data!BL83), 0)</f>
        <v>3084</v>
      </c>
      <c r="AD63" s="198">
        <f>ROUND(N(data!BL84), 0)</f>
        <v>0</v>
      </c>
      <c r="AE63" s="198">
        <f>ROUND(N(data!BL89), 0)</f>
        <v>0</v>
      </c>
      <c r="AF63" s="198">
        <f>ROUND(N(data!BL87), 0)</f>
        <v>0</v>
      </c>
      <c r="AG63" s="198">
        <f>ROUND(N(data!BL90), 0)</f>
        <v>1433</v>
      </c>
      <c r="AH63" s="198">
        <f>ROUND(N(data!BL91), 0)</f>
        <v>0</v>
      </c>
      <c r="AI63" s="198">
        <f>ROUND(N(data!BL92), 0)</f>
        <v>0</v>
      </c>
      <c r="AJ63" s="198">
        <f>ROUND(N(data!BL93), 0)</f>
        <v>0</v>
      </c>
      <c r="AK63" s="271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RIGHT(data!$C$97,3)</f>
        <v>176</v>
      </c>
      <c r="B64" s="200" t="str">
        <f>RIGHT(data!$C$96,4)</f>
        <v>2024</v>
      </c>
      <c r="C64" s="12" t="str">
        <f>data!BM$55</f>
        <v>8590</v>
      </c>
      <c r="D64" s="12" t="s">
        <v>1160</v>
      </c>
      <c r="E64" s="198">
        <f>ROUND(N(data!BM59), 0)</f>
        <v>0</v>
      </c>
      <c r="F64" s="271">
        <f>ROUND(N(data!BM60), 2)</f>
        <v>0</v>
      </c>
      <c r="G64" s="198">
        <f>ROUND(N(data!BM61), 0)</f>
        <v>0</v>
      </c>
      <c r="H64" s="198">
        <f>ROUND(N(data!BM62), 0)</f>
        <v>0</v>
      </c>
      <c r="I64" s="198">
        <f>ROUND(N(data!BM63), 0)</f>
        <v>0</v>
      </c>
      <c r="J64" s="198">
        <f>ROUND(N(data!BM64), 0)</f>
        <v>0</v>
      </c>
      <c r="K64" s="198">
        <f>ROUND(N(data!BM65), 0)</f>
        <v>0</v>
      </c>
      <c r="L64" s="198">
        <f>ROUND(N(data!BM66), 0)</f>
        <v>0</v>
      </c>
      <c r="M64" s="198">
        <f>ROUND(N(data!BM67), 0)</f>
        <v>0</v>
      </c>
      <c r="N64" s="198">
        <f>ROUND(N(data!BM68), 0)</f>
        <v>0</v>
      </c>
      <c r="O64" s="198">
        <f>ROUND(N(data!BM69), 0)</f>
        <v>0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0</v>
      </c>
      <c r="Y64" s="198">
        <f>ROUND(N(data!BM79), 0)</f>
        <v>0</v>
      </c>
      <c r="Z64" s="198">
        <f>ROUND(N(data!BM80), 0)</f>
        <v>0</v>
      </c>
      <c r="AA64" s="198">
        <f>ROUND(N(data!BM81), 0)</f>
        <v>0</v>
      </c>
      <c r="AB64" s="198">
        <f>ROUND(N(data!BM82), 0)</f>
        <v>0</v>
      </c>
      <c r="AC64" s="198">
        <f>ROUND(N(data!BM83), 0)</f>
        <v>0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0</v>
      </c>
      <c r="AH64" s="198">
        <f>ROUND(N(data!BM91), 0)</f>
        <v>0</v>
      </c>
      <c r="AI64" s="198">
        <f>ROUND(N(data!BM92), 0)</f>
        <v>0</v>
      </c>
      <c r="AJ64" s="198">
        <f>ROUND(N(data!BM93), 0)</f>
        <v>0</v>
      </c>
      <c r="AK64" s="271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RIGHT(data!$C$97,3)</f>
        <v>176</v>
      </c>
      <c r="B65" s="200" t="str">
        <f>RIGHT(data!$C$96,4)</f>
        <v>2024</v>
      </c>
      <c r="C65" s="12" t="str">
        <f>data!BN$55</f>
        <v>8610</v>
      </c>
      <c r="D65" s="12" t="s">
        <v>1160</v>
      </c>
      <c r="E65" s="198">
        <f>ROUND(N(data!BN59), 0)</f>
        <v>0</v>
      </c>
      <c r="F65" s="271">
        <f>ROUND(N(data!BN60), 2)</f>
        <v>0</v>
      </c>
      <c r="G65" s="198">
        <f>ROUND(N(data!BN61), 0)</f>
        <v>0</v>
      </c>
      <c r="H65" s="198">
        <f>ROUND(N(data!BN62), 0)</f>
        <v>0</v>
      </c>
      <c r="I65" s="198">
        <f>ROUND(N(data!BN63), 0)</f>
        <v>0</v>
      </c>
      <c r="J65" s="198">
        <f>ROUND(N(data!BN64), 0)</f>
        <v>0</v>
      </c>
      <c r="K65" s="198">
        <f>ROUND(N(data!BN65), 0)</f>
        <v>0</v>
      </c>
      <c r="L65" s="198">
        <f>ROUND(N(data!BN66), 0)</f>
        <v>0</v>
      </c>
      <c r="M65" s="198">
        <f>ROUND(N(data!BN67), 0)</f>
        <v>0</v>
      </c>
      <c r="N65" s="198">
        <f>ROUND(N(data!BN68), 0)</f>
        <v>0</v>
      </c>
      <c r="O65" s="198">
        <f>ROUND(N(data!BN69), 0)</f>
        <v>0</v>
      </c>
      <c r="P65" s="198">
        <f>ROUND(N(data!BN70), 0)</f>
        <v>0</v>
      </c>
      <c r="Q65" s="198">
        <f>ROUND(N(data!BN71), 0)</f>
        <v>0</v>
      </c>
      <c r="R65" s="198">
        <f>ROUND(N(data!BN72), 0)</f>
        <v>0</v>
      </c>
      <c r="S65" s="198">
        <f>ROUND(N(data!BN73), 0)</f>
        <v>0</v>
      </c>
      <c r="T65" s="198">
        <f>ROUND(N(data!BN74), 0)</f>
        <v>0</v>
      </c>
      <c r="U65" s="198">
        <f>ROUND(N(data!BN75), 0)</f>
        <v>0</v>
      </c>
      <c r="V65" s="198">
        <f>ROUND(N(data!BN76), 0)</f>
        <v>0</v>
      </c>
      <c r="W65" s="198">
        <f>ROUND(N(data!BN77), 0)</f>
        <v>0</v>
      </c>
      <c r="X65" s="198">
        <f>ROUND(N(data!BN78), 0)</f>
        <v>0</v>
      </c>
      <c r="Y65" s="198">
        <f>ROUND(N(data!BN79), 0)</f>
        <v>0</v>
      </c>
      <c r="Z65" s="198">
        <f>ROUND(N(data!BN80), 0)</f>
        <v>0</v>
      </c>
      <c r="AA65" s="198">
        <f>ROUND(N(data!BN81), 0)</f>
        <v>0</v>
      </c>
      <c r="AB65" s="198">
        <f>ROUND(N(data!BN82), 0)</f>
        <v>0</v>
      </c>
      <c r="AC65" s="198">
        <f>ROUND(N(data!BN83), 0)</f>
        <v>0</v>
      </c>
      <c r="AD65" s="198">
        <f>ROUND(N(data!BN84), 0)</f>
        <v>0</v>
      </c>
      <c r="AE65" s="198">
        <f>ROUND(N(data!BN89), 0)</f>
        <v>0</v>
      </c>
      <c r="AF65" s="198">
        <f>ROUND(N(data!BN87), 0)</f>
        <v>0</v>
      </c>
      <c r="AG65" s="198">
        <f>ROUND(N(data!BN90), 0)</f>
        <v>10024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271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RIGHT(data!$C$97,3)</f>
        <v>176</v>
      </c>
      <c r="B66" s="200" t="str">
        <f>RIGHT(data!$C$96,4)</f>
        <v>2024</v>
      </c>
      <c r="C66" s="12" t="str">
        <f>data!BO$55</f>
        <v>8620</v>
      </c>
      <c r="D66" s="12" t="s">
        <v>1160</v>
      </c>
      <c r="E66" s="198">
        <f>ROUND(N(data!BO59), 0)</f>
        <v>0</v>
      </c>
      <c r="F66" s="271">
        <f>ROUND(N(data!BO60), 2)</f>
        <v>0</v>
      </c>
      <c r="G66" s="198">
        <f>ROUND(N(data!BO61), 0)</f>
        <v>0</v>
      </c>
      <c r="H66" s="198">
        <f>ROUND(N(data!BO62), 0)</f>
        <v>0</v>
      </c>
      <c r="I66" s="198">
        <f>ROUND(N(data!BO63), 0)</f>
        <v>0</v>
      </c>
      <c r="J66" s="198">
        <f>ROUND(N(data!BO64), 0)</f>
        <v>0</v>
      </c>
      <c r="K66" s="198">
        <f>ROUND(N(data!BO65), 0)</f>
        <v>0</v>
      </c>
      <c r="L66" s="198">
        <f>ROUND(N(data!BO66), 0)</f>
        <v>0</v>
      </c>
      <c r="M66" s="198">
        <f>ROUND(N(data!BO67), 0)</f>
        <v>0</v>
      </c>
      <c r="N66" s="198">
        <f>ROUND(N(data!BO68), 0)</f>
        <v>0</v>
      </c>
      <c r="O66" s="198">
        <f>ROUND(N(data!BO69), 0)</f>
        <v>0</v>
      </c>
      <c r="P66" s="198">
        <f>ROUND(N(data!BO70), 0)</f>
        <v>0</v>
      </c>
      <c r="Q66" s="198">
        <f>ROUND(N(data!BO71), 0)</f>
        <v>0</v>
      </c>
      <c r="R66" s="198">
        <f>ROUND(N(data!BO72), 0)</f>
        <v>0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0</v>
      </c>
      <c r="X66" s="198">
        <f>ROUND(N(data!BO78), 0)</f>
        <v>0</v>
      </c>
      <c r="Y66" s="198">
        <f>ROUND(N(data!BO79), 0)</f>
        <v>0</v>
      </c>
      <c r="Z66" s="198">
        <f>ROUND(N(data!BO80), 0)</f>
        <v>0</v>
      </c>
      <c r="AA66" s="198">
        <f>ROUND(N(data!BO81), 0)</f>
        <v>0</v>
      </c>
      <c r="AB66" s="198">
        <f>ROUND(N(data!BO82), 0)</f>
        <v>0</v>
      </c>
      <c r="AC66" s="198">
        <f>ROUND(N(data!BO83), 0)</f>
        <v>0</v>
      </c>
      <c r="AD66" s="198">
        <f>ROUND(N(data!BO84), 0)</f>
        <v>0</v>
      </c>
      <c r="AE66" s="198">
        <f>ROUND(N(data!BO89), 0)</f>
        <v>0</v>
      </c>
      <c r="AF66" s="198">
        <f>ROUND(N(data!BO87), 0)</f>
        <v>0</v>
      </c>
      <c r="AG66" s="198">
        <f>ROUND(N(data!BO90), 0)</f>
        <v>0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271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RIGHT(data!$C$97,3)</f>
        <v>176</v>
      </c>
      <c r="B67" s="200" t="str">
        <f>RIGHT(data!$C$96,4)</f>
        <v>2024</v>
      </c>
      <c r="C67" s="12" t="str">
        <f>data!BP$55</f>
        <v>8630</v>
      </c>
      <c r="D67" s="12" t="s">
        <v>1160</v>
      </c>
      <c r="E67" s="198">
        <f>ROUND(N(data!BP59), 0)</f>
        <v>0</v>
      </c>
      <c r="F67" s="271">
        <f>ROUND(N(data!BP60), 2)</f>
        <v>0</v>
      </c>
      <c r="G67" s="198">
        <f>ROUND(N(data!BP61), 0)</f>
        <v>0</v>
      </c>
      <c r="H67" s="198">
        <f>ROUND(N(data!BP62), 0)</f>
        <v>1056</v>
      </c>
      <c r="I67" s="198">
        <f>ROUND(N(data!BP63), 0)</f>
        <v>750</v>
      </c>
      <c r="J67" s="198">
        <f>ROUND(N(data!BP64), 0)</f>
        <v>18193</v>
      </c>
      <c r="K67" s="198">
        <f>ROUND(N(data!BP65), 0)</f>
        <v>0</v>
      </c>
      <c r="L67" s="198">
        <f>ROUND(N(data!BP66), 0)</f>
        <v>-32755</v>
      </c>
      <c r="M67" s="198">
        <f>ROUND(N(data!BP67), 0)</f>
        <v>0</v>
      </c>
      <c r="N67" s="198">
        <f>ROUND(N(data!BP68), 0)</f>
        <v>15718</v>
      </c>
      <c r="O67" s="198">
        <f>ROUND(N(data!BP69), 0)</f>
        <v>141450</v>
      </c>
      <c r="P67" s="198">
        <f>ROUND(N(data!BP70), 0)</f>
        <v>0</v>
      </c>
      <c r="Q67" s="198">
        <f>ROUND(N(data!BP71), 0)</f>
        <v>0</v>
      </c>
      <c r="R67" s="198">
        <f>ROUND(N(data!BP72), 0)</f>
        <v>0</v>
      </c>
      <c r="S67" s="198">
        <f>ROUND(N(data!BP73), 0)</f>
        <v>4430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308</v>
      </c>
      <c r="Y67" s="198">
        <f>ROUND(N(data!BP79), 0)</f>
        <v>0</v>
      </c>
      <c r="Z67" s="198">
        <f>ROUND(N(data!BP80), 0)</f>
        <v>0</v>
      </c>
      <c r="AA67" s="198">
        <f>ROUND(N(data!BP81), 0)</f>
        <v>0</v>
      </c>
      <c r="AB67" s="198">
        <f>ROUND(N(data!BP82), 0)</f>
        <v>0</v>
      </c>
      <c r="AC67" s="198">
        <f>ROUND(N(data!BP83), 0)</f>
        <v>136712</v>
      </c>
      <c r="AD67" s="198">
        <f>ROUND(N(data!BP84), 0)</f>
        <v>158815</v>
      </c>
      <c r="AE67" s="198">
        <f>ROUND(N(data!BP89), 0)</f>
        <v>0</v>
      </c>
      <c r="AF67" s="198">
        <f>ROUND(N(data!BP87), 0)</f>
        <v>0</v>
      </c>
      <c r="AG67" s="198">
        <f>ROUND(N(data!BP90), 0)</f>
        <v>0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271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RIGHT(data!$C$97,3)</f>
        <v>176</v>
      </c>
      <c r="B68" s="200" t="str">
        <f>RIGHT(data!$C$96,4)</f>
        <v>2024</v>
      </c>
      <c r="C68" s="12" t="str">
        <f>data!BQ$55</f>
        <v>8640</v>
      </c>
      <c r="D68" s="12" t="s">
        <v>1160</v>
      </c>
      <c r="E68" s="198">
        <f>ROUND(N(data!BQ59), 0)</f>
        <v>0</v>
      </c>
      <c r="F68" s="271">
        <f>ROUND(N(data!BQ60), 2)</f>
        <v>0</v>
      </c>
      <c r="G68" s="198">
        <f>ROUND(N(data!BQ61), 0)</f>
        <v>0</v>
      </c>
      <c r="H68" s="198">
        <f>ROUND(N(data!BQ62), 0)</f>
        <v>0</v>
      </c>
      <c r="I68" s="198">
        <f>ROUND(N(data!BQ63), 0)</f>
        <v>0</v>
      </c>
      <c r="J68" s="198">
        <f>ROUND(N(data!BQ64), 0)</f>
        <v>0</v>
      </c>
      <c r="K68" s="198">
        <f>ROUND(N(data!BQ65), 0)</f>
        <v>0</v>
      </c>
      <c r="L68" s="198">
        <f>ROUND(N(data!BQ66), 0)</f>
        <v>0</v>
      </c>
      <c r="M68" s="198">
        <f>ROUND(N(data!BQ67), 0)</f>
        <v>0</v>
      </c>
      <c r="N68" s="198">
        <f>ROUND(N(data!BQ68), 0)</f>
        <v>0</v>
      </c>
      <c r="O68" s="198">
        <f>ROUND(N(data!BQ69), 0)</f>
        <v>0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>
        <f>ROUND(N(data!BQ82), 0)</f>
        <v>0</v>
      </c>
      <c r="AC68" s="198">
        <f>ROUND(N(data!BQ83), 0)</f>
        <v>0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271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RIGHT(data!$C$97,3)</f>
        <v>176</v>
      </c>
      <c r="B69" s="200" t="str">
        <f>RIGHT(data!$C$96,4)</f>
        <v>2024</v>
      </c>
      <c r="C69" s="12" t="str">
        <f>data!BR$55</f>
        <v>8650</v>
      </c>
      <c r="D69" s="12" t="s">
        <v>1160</v>
      </c>
      <c r="E69" s="198">
        <f>ROUND(N(data!BR59), 0)</f>
        <v>0</v>
      </c>
      <c r="F69" s="271">
        <f>ROUND(N(data!BR60), 2)</f>
        <v>0</v>
      </c>
      <c r="G69" s="198">
        <f>ROUND(N(data!BR61), 0)</f>
        <v>0</v>
      </c>
      <c r="H69" s="198">
        <f>ROUND(N(data!BR62), 0)</f>
        <v>0</v>
      </c>
      <c r="I69" s="198">
        <f>ROUND(N(data!BR63), 0)</f>
        <v>0</v>
      </c>
      <c r="J69" s="198">
        <f>ROUND(N(data!BR64), 0)</f>
        <v>0</v>
      </c>
      <c r="K69" s="198">
        <f>ROUND(N(data!BR65), 0)</f>
        <v>0</v>
      </c>
      <c r="L69" s="198">
        <f>ROUND(N(data!BR66), 0)</f>
        <v>0</v>
      </c>
      <c r="M69" s="198">
        <f>ROUND(N(data!BR67), 0)</f>
        <v>0</v>
      </c>
      <c r="N69" s="198">
        <f>ROUND(N(data!BR68), 0)</f>
        <v>0</v>
      </c>
      <c r="O69" s="198">
        <f>ROUND(N(data!BR69), 0)</f>
        <v>0</v>
      </c>
      <c r="P69" s="198">
        <f>ROUND(N(data!BR70), 0)</f>
        <v>0</v>
      </c>
      <c r="Q69" s="198">
        <f>ROUND(N(data!BR71), 0)</f>
        <v>0</v>
      </c>
      <c r="R69" s="198">
        <f>ROUND(N(data!BR72), 0)</f>
        <v>0</v>
      </c>
      <c r="S69" s="198">
        <f>ROUND(N(data!BR73), 0)</f>
        <v>0</v>
      </c>
      <c r="T69" s="198">
        <f>ROUND(N(data!BR74), 0)</f>
        <v>0</v>
      </c>
      <c r="U69" s="198">
        <f>ROUND(N(data!BR75), 0)</f>
        <v>0</v>
      </c>
      <c r="V69" s="198">
        <f>ROUND(N(data!BR76), 0)</f>
        <v>0</v>
      </c>
      <c r="W69" s="198">
        <f>ROUND(N(data!BR77), 0)</f>
        <v>0</v>
      </c>
      <c r="X69" s="198">
        <f>ROUND(N(data!BR78), 0)</f>
        <v>0</v>
      </c>
      <c r="Y69" s="198">
        <f>ROUND(N(data!BR79), 0)</f>
        <v>0</v>
      </c>
      <c r="Z69" s="198">
        <f>ROUND(N(data!BR80), 0)</f>
        <v>0</v>
      </c>
      <c r="AA69" s="198">
        <f>ROUND(N(data!BR81), 0)</f>
        <v>0</v>
      </c>
      <c r="AB69" s="198">
        <f>ROUND(N(data!BR82), 0)</f>
        <v>0</v>
      </c>
      <c r="AC69" s="198">
        <f>ROUND(N(data!BR83), 0)</f>
        <v>0</v>
      </c>
      <c r="AD69" s="198">
        <f>ROUND(N(data!BR84), 0)</f>
        <v>0</v>
      </c>
      <c r="AE69" s="198">
        <f>ROUND(N(data!BR89), 0)</f>
        <v>0</v>
      </c>
      <c r="AF69" s="198">
        <f>ROUND(N(data!BR87), 0)</f>
        <v>0</v>
      </c>
      <c r="AG69" s="198">
        <f>ROUND(N(data!BR90), 0)</f>
        <v>0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271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RIGHT(data!$C$97,3)</f>
        <v>176</v>
      </c>
      <c r="B70" s="200" t="str">
        <f>RIGHT(data!$C$96,4)</f>
        <v>2024</v>
      </c>
      <c r="C70" s="12" t="str">
        <f>data!BS$55</f>
        <v>8660</v>
      </c>
      <c r="D70" s="12" t="s">
        <v>1160</v>
      </c>
      <c r="E70" s="198">
        <f>ROUND(N(data!BS59), 0)</f>
        <v>0</v>
      </c>
      <c r="F70" s="271">
        <f>ROUND(N(data!BS60), 2)</f>
        <v>0</v>
      </c>
      <c r="G70" s="198">
        <f>ROUND(N(data!BS61), 0)</f>
        <v>0</v>
      </c>
      <c r="H70" s="198">
        <f>ROUND(N(data!BS62), 0)</f>
        <v>0</v>
      </c>
      <c r="I70" s="198">
        <f>ROUND(N(data!BS63), 0)</f>
        <v>0</v>
      </c>
      <c r="J70" s="198">
        <f>ROUND(N(data!BS64), 0)</f>
        <v>0</v>
      </c>
      <c r="K70" s="198">
        <f>ROUND(N(data!BS65), 0)</f>
        <v>0</v>
      </c>
      <c r="L70" s="198">
        <f>ROUND(N(data!BS66), 0)</f>
        <v>0</v>
      </c>
      <c r="M70" s="198">
        <f>ROUND(N(data!BS67), 0)</f>
        <v>0</v>
      </c>
      <c r="N70" s="198">
        <f>ROUND(N(data!BS68), 0)</f>
        <v>0</v>
      </c>
      <c r="O70" s="198">
        <f>ROUND(N(data!BS69), 0)</f>
        <v>0</v>
      </c>
      <c r="P70" s="198">
        <f>ROUND(N(data!BS70), 0)</f>
        <v>0</v>
      </c>
      <c r="Q70" s="198">
        <f>ROUND(N(data!BS71), 0)</f>
        <v>0</v>
      </c>
      <c r="R70" s="198">
        <f>ROUND(N(data!BS72), 0)</f>
        <v>0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0</v>
      </c>
      <c r="X70" s="198">
        <f>ROUND(N(data!BS78), 0)</f>
        <v>0</v>
      </c>
      <c r="Y70" s="198">
        <f>ROUND(N(data!BS79), 0)</f>
        <v>0</v>
      </c>
      <c r="Z70" s="198">
        <f>ROUND(N(data!BS80), 0)</f>
        <v>0</v>
      </c>
      <c r="AA70" s="198">
        <f>ROUND(N(data!BS81), 0)</f>
        <v>0</v>
      </c>
      <c r="AB70" s="198">
        <f>ROUND(N(data!BS82), 0)</f>
        <v>0</v>
      </c>
      <c r="AC70" s="198">
        <f>ROUND(N(data!BS83), 0)</f>
        <v>0</v>
      </c>
      <c r="AD70" s="198">
        <f>ROUND(N(data!BS84), 0)</f>
        <v>0</v>
      </c>
      <c r="AE70" s="198">
        <f>ROUND(N(data!BS89), 0)</f>
        <v>0</v>
      </c>
      <c r="AF70" s="198">
        <f>ROUND(N(data!BS87), 0)</f>
        <v>0</v>
      </c>
      <c r="AG70" s="198">
        <f>ROUND(N(data!BS90), 0)</f>
        <v>0</v>
      </c>
      <c r="AH70" s="198">
        <f>ROUND(N(data!BS91), 0)</f>
        <v>0</v>
      </c>
      <c r="AI70" s="198">
        <f>ROUND(N(data!BS92), 0)</f>
        <v>0</v>
      </c>
      <c r="AJ70" s="198">
        <f>ROUND(N(data!BS93), 0)</f>
        <v>0</v>
      </c>
      <c r="AK70" s="271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RIGHT(data!$C$97,3)</f>
        <v>176</v>
      </c>
      <c r="B71" s="200" t="str">
        <f>RIGHT(data!$C$96,4)</f>
        <v>2024</v>
      </c>
      <c r="C71" s="12" t="str">
        <f>data!BT$55</f>
        <v>8670</v>
      </c>
      <c r="D71" s="12" t="s">
        <v>1160</v>
      </c>
      <c r="E71" s="198">
        <f>ROUND(N(data!BT59), 0)</f>
        <v>0</v>
      </c>
      <c r="F71" s="271">
        <f>ROUND(N(data!BT60), 2)</f>
        <v>0</v>
      </c>
      <c r="G71" s="198">
        <f>ROUND(N(data!BT61), 0)</f>
        <v>0</v>
      </c>
      <c r="H71" s="198">
        <f>ROUND(N(data!BT62), 0)</f>
        <v>0</v>
      </c>
      <c r="I71" s="198">
        <f>ROUND(N(data!BT63), 0)</f>
        <v>0</v>
      </c>
      <c r="J71" s="198">
        <f>ROUND(N(data!BT64), 0)</f>
        <v>0</v>
      </c>
      <c r="K71" s="198">
        <f>ROUND(N(data!BT65), 0)</f>
        <v>0</v>
      </c>
      <c r="L71" s="198">
        <f>ROUND(N(data!BT66), 0)</f>
        <v>0</v>
      </c>
      <c r="M71" s="198">
        <f>ROUND(N(data!BT67), 0)</f>
        <v>0</v>
      </c>
      <c r="N71" s="198">
        <f>ROUND(N(data!BT68), 0)</f>
        <v>0</v>
      </c>
      <c r="O71" s="198">
        <f>ROUND(N(data!BT69), 0)</f>
        <v>0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0</v>
      </c>
      <c r="Y71" s="198">
        <f>ROUND(N(data!BT79), 0)</f>
        <v>0</v>
      </c>
      <c r="Z71" s="198">
        <f>ROUND(N(data!BT80), 0)</f>
        <v>0</v>
      </c>
      <c r="AA71" s="198">
        <f>ROUND(N(data!BT81), 0)</f>
        <v>0</v>
      </c>
      <c r="AB71" s="198">
        <f>ROUND(N(data!BT82), 0)</f>
        <v>0</v>
      </c>
      <c r="AC71" s="198">
        <f>ROUND(N(data!BT83), 0)</f>
        <v>0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0</v>
      </c>
      <c r="AH71" s="198">
        <f>ROUND(N(data!BT91), 0)</f>
        <v>0</v>
      </c>
      <c r="AI71" s="198">
        <f>ROUND(N(data!BT92), 0)</f>
        <v>0</v>
      </c>
      <c r="AJ71" s="198">
        <f>ROUND(N(data!BT93), 0)</f>
        <v>0</v>
      </c>
      <c r="AK71" s="271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RIGHT(data!$C$97,3)</f>
        <v>176</v>
      </c>
      <c r="B72" s="200" t="str">
        <f>RIGHT(data!$C$96,4)</f>
        <v>2024</v>
      </c>
      <c r="C72" s="12" t="str">
        <f>data!BU$55</f>
        <v>8680</v>
      </c>
      <c r="D72" s="12" t="s">
        <v>1160</v>
      </c>
      <c r="E72" s="198">
        <f>ROUND(N(data!BU59), 0)</f>
        <v>0</v>
      </c>
      <c r="F72" s="271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0</v>
      </c>
      <c r="K72" s="198">
        <f>ROUND(N(data!BU65), 0)</f>
        <v>0</v>
      </c>
      <c r="L72" s="198">
        <f>ROUND(N(data!BU66), 0)</f>
        <v>0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0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271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RIGHT(data!$C$97,3)</f>
        <v>176</v>
      </c>
      <c r="B73" s="200" t="str">
        <f>RIGHT(data!$C$96,4)</f>
        <v>2024</v>
      </c>
      <c r="C73" s="12" t="str">
        <f>data!BV$55</f>
        <v>8690</v>
      </c>
      <c r="D73" s="12" t="s">
        <v>1160</v>
      </c>
      <c r="E73" s="198">
        <f>ROUND(N(data!BV59), 0)</f>
        <v>0</v>
      </c>
      <c r="F73" s="271">
        <f>ROUND(N(data!BV60), 2)</f>
        <v>0</v>
      </c>
      <c r="G73" s="198">
        <f>ROUND(N(data!BV61), 0)</f>
        <v>0</v>
      </c>
      <c r="H73" s="198">
        <f>ROUND(N(data!BV62), 0)</f>
        <v>0</v>
      </c>
      <c r="I73" s="198">
        <f>ROUND(N(data!BV63), 0)</f>
        <v>0</v>
      </c>
      <c r="J73" s="198">
        <f>ROUND(N(data!BV64), 0)</f>
        <v>0</v>
      </c>
      <c r="K73" s="198">
        <f>ROUND(N(data!BV65), 0)</f>
        <v>0</v>
      </c>
      <c r="L73" s="198">
        <f>ROUND(N(data!BV66), 0)</f>
        <v>0</v>
      </c>
      <c r="M73" s="198">
        <f>ROUND(N(data!BV67), 0)</f>
        <v>0</v>
      </c>
      <c r="N73" s="198">
        <f>ROUND(N(data!BV68), 0)</f>
        <v>0</v>
      </c>
      <c r="O73" s="198">
        <f>ROUND(N(data!BV69), 0)</f>
        <v>0</v>
      </c>
      <c r="P73" s="198">
        <f>ROUND(N(data!BV70), 0)</f>
        <v>0</v>
      </c>
      <c r="Q73" s="198">
        <f>ROUND(N(data!BV71), 0)</f>
        <v>0</v>
      </c>
      <c r="R73" s="198">
        <f>ROUND(N(data!BV72), 0)</f>
        <v>0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0</v>
      </c>
      <c r="X73" s="198">
        <f>ROUND(N(data!BV78), 0)</f>
        <v>0</v>
      </c>
      <c r="Y73" s="198">
        <f>ROUND(N(data!BV79), 0)</f>
        <v>0</v>
      </c>
      <c r="Z73" s="198">
        <f>ROUND(N(data!BV80), 0)</f>
        <v>0</v>
      </c>
      <c r="AA73" s="198">
        <f>ROUND(N(data!BV81), 0)</f>
        <v>0</v>
      </c>
      <c r="AB73" s="198">
        <f>ROUND(N(data!BV82), 0)</f>
        <v>0</v>
      </c>
      <c r="AC73" s="198">
        <f>ROUND(N(data!BV83), 0)</f>
        <v>0</v>
      </c>
      <c r="AD73" s="198">
        <f>ROUND(N(data!BV84), 0)</f>
        <v>0</v>
      </c>
      <c r="AE73" s="198">
        <f>ROUND(N(data!BV89), 0)</f>
        <v>0</v>
      </c>
      <c r="AF73" s="198">
        <f>ROUND(N(data!BV87), 0)</f>
        <v>0</v>
      </c>
      <c r="AG73" s="198">
        <f>ROUND(N(data!BV90), 0)</f>
        <v>0</v>
      </c>
      <c r="AH73" s="198">
        <f>ROUND(N(data!BV91), 0)</f>
        <v>0</v>
      </c>
      <c r="AI73" s="198">
        <f>ROUND(N(data!BV92), 0)</f>
        <v>0</v>
      </c>
      <c r="AJ73" s="198">
        <f>ROUND(N(data!BV93), 0)</f>
        <v>0</v>
      </c>
      <c r="AK73" s="271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RIGHT(data!$C$97,3)</f>
        <v>176</v>
      </c>
      <c r="B74" s="200" t="str">
        <f>RIGHT(data!$C$96,4)</f>
        <v>2024</v>
      </c>
      <c r="C74" s="12" t="str">
        <f>data!BW$55</f>
        <v>8700</v>
      </c>
      <c r="D74" s="12" t="s">
        <v>1160</v>
      </c>
      <c r="E74" s="198">
        <f>ROUND(N(data!BW59), 0)</f>
        <v>0</v>
      </c>
      <c r="F74" s="271">
        <f>ROUND(N(data!BW60), 2)</f>
        <v>0</v>
      </c>
      <c r="G74" s="198">
        <f>ROUND(N(data!BW61), 0)</f>
        <v>0</v>
      </c>
      <c r="H74" s="198">
        <f>ROUND(N(data!BW62), 0)</f>
        <v>0</v>
      </c>
      <c r="I74" s="198">
        <f>ROUND(N(data!BW63), 0)</f>
        <v>0</v>
      </c>
      <c r="J74" s="198">
        <f>ROUND(N(data!BW64), 0)</f>
        <v>0</v>
      </c>
      <c r="K74" s="198">
        <f>ROUND(N(data!BW65), 0)</f>
        <v>0</v>
      </c>
      <c r="L74" s="198">
        <f>ROUND(N(data!BW66), 0)</f>
        <v>0</v>
      </c>
      <c r="M74" s="198">
        <f>ROUND(N(data!BW67), 0)</f>
        <v>0</v>
      </c>
      <c r="N74" s="198">
        <f>ROUND(N(data!BW68), 0)</f>
        <v>0</v>
      </c>
      <c r="O74" s="198">
        <f>ROUND(N(data!BW69), 0)</f>
        <v>0</v>
      </c>
      <c r="P74" s="198">
        <f>ROUND(N(data!BW70), 0)</f>
        <v>0</v>
      </c>
      <c r="Q74" s="198">
        <f>ROUND(N(data!BW71), 0)</f>
        <v>0</v>
      </c>
      <c r="R74" s="198">
        <f>ROUND(N(data!BW72), 0)</f>
        <v>0</v>
      </c>
      <c r="S74" s="198">
        <f>ROUND(N(data!BW73), 0)</f>
        <v>0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0</v>
      </c>
      <c r="Y74" s="198">
        <f>ROUND(N(data!BW79), 0)</f>
        <v>0</v>
      </c>
      <c r="Z74" s="198">
        <f>ROUND(N(data!BW80), 0)</f>
        <v>0</v>
      </c>
      <c r="AA74" s="198">
        <f>ROUND(N(data!BW81), 0)</f>
        <v>0</v>
      </c>
      <c r="AB74" s="198">
        <f>ROUND(N(data!BW82), 0)</f>
        <v>0</v>
      </c>
      <c r="AC74" s="198">
        <f>ROUND(N(data!BW83), 0)</f>
        <v>0</v>
      </c>
      <c r="AD74" s="198">
        <f>ROUND(N(data!BW84), 0)</f>
        <v>0</v>
      </c>
      <c r="AE74" s="198">
        <f>ROUND(N(data!BW89), 0)</f>
        <v>0</v>
      </c>
      <c r="AF74" s="198">
        <f>ROUND(N(data!BW87), 0)</f>
        <v>0</v>
      </c>
      <c r="AG74" s="198">
        <f>ROUND(N(data!BW90), 0)</f>
        <v>0</v>
      </c>
      <c r="AH74" s="198">
        <f>ROUND(N(data!BW91), 0)</f>
        <v>0</v>
      </c>
      <c r="AI74" s="198">
        <f>ROUND(N(data!BW92), 0)</f>
        <v>0</v>
      </c>
      <c r="AJ74" s="198">
        <f>ROUND(N(data!BW93), 0)</f>
        <v>0</v>
      </c>
      <c r="AK74" s="271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RIGHT(data!$C$97,3)</f>
        <v>176</v>
      </c>
      <c r="B75" s="200" t="str">
        <f>RIGHT(data!$C$96,4)</f>
        <v>2024</v>
      </c>
      <c r="C75" s="12" t="str">
        <f>data!BX$55</f>
        <v>8710</v>
      </c>
      <c r="D75" s="12" t="s">
        <v>1160</v>
      </c>
      <c r="E75" s="198">
        <f>ROUND(N(data!BX59), 0)</f>
        <v>0</v>
      </c>
      <c r="F75" s="271">
        <f>ROUND(N(data!BX60), 2)</f>
        <v>0</v>
      </c>
      <c r="G75" s="198">
        <f>ROUND(N(data!BX61), 0)</f>
        <v>0</v>
      </c>
      <c r="H75" s="198">
        <f>ROUND(N(data!BX62), 0)</f>
        <v>0</v>
      </c>
      <c r="I75" s="198">
        <f>ROUND(N(data!BX63), 0)</f>
        <v>0</v>
      </c>
      <c r="J75" s="198">
        <f>ROUND(N(data!BX64), 0)</f>
        <v>0</v>
      </c>
      <c r="K75" s="198">
        <f>ROUND(N(data!BX65), 0)</f>
        <v>0</v>
      </c>
      <c r="L75" s="198">
        <f>ROUND(N(data!BX66), 0)</f>
        <v>0</v>
      </c>
      <c r="M75" s="198">
        <f>ROUND(N(data!BX67), 0)</f>
        <v>0</v>
      </c>
      <c r="N75" s="198">
        <f>ROUND(N(data!BX68), 0)</f>
        <v>0</v>
      </c>
      <c r="O75" s="198">
        <f>ROUND(N(data!BX69), 0)</f>
        <v>0</v>
      </c>
      <c r="P75" s="198">
        <f>ROUND(N(data!BX70), 0)</f>
        <v>0</v>
      </c>
      <c r="Q75" s="198">
        <f>ROUND(N(data!BX71), 0)</f>
        <v>0</v>
      </c>
      <c r="R75" s="198">
        <f>ROUND(N(data!BX72), 0)</f>
        <v>0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0</v>
      </c>
      <c r="AA75" s="198">
        <f>ROUND(N(data!BX81), 0)</f>
        <v>0</v>
      </c>
      <c r="AB75" s="198">
        <f>ROUND(N(data!BX82), 0)</f>
        <v>0</v>
      </c>
      <c r="AC75" s="198">
        <f>ROUND(N(data!BX83), 0)</f>
        <v>0</v>
      </c>
      <c r="AD75" s="198">
        <f>ROUND(N(data!BX84), 0)</f>
        <v>0</v>
      </c>
      <c r="AE75" s="198">
        <f>ROUND(N(data!BX89), 0)</f>
        <v>0</v>
      </c>
      <c r="AF75" s="198">
        <f>ROUND(N(data!BX87), 0)</f>
        <v>0</v>
      </c>
      <c r="AG75" s="198">
        <f>ROUND(N(data!BX90), 0)</f>
        <v>2530</v>
      </c>
      <c r="AH75" s="198">
        <f>ROUND(N(data!BX91), 0)</f>
        <v>0</v>
      </c>
      <c r="AI75" s="198">
        <f>ROUND(N(data!BX92), 0)</f>
        <v>0</v>
      </c>
      <c r="AJ75" s="198">
        <f>ROUND(N(data!BX93), 0)</f>
        <v>0</v>
      </c>
      <c r="AK75" s="271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RIGHT(data!$C$97,3)</f>
        <v>176</v>
      </c>
      <c r="B76" s="200" t="str">
        <f>RIGHT(data!$C$96,4)</f>
        <v>2024</v>
      </c>
      <c r="C76" s="12" t="str">
        <f>data!BY$55</f>
        <v>8720</v>
      </c>
      <c r="D76" s="12" t="s">
        <v>1160</v>
      </c>
      <c r="E76" s="198">
        <f>ROUND(N(data!BY59), 0)</f>
        <v>0</v>
      </c>
      <c r="F76" s="271">
        <f>ROUND(N(data!BY60), 2)</f>
        <v>0</v>
      </c>
      <c r="G76" s="198">
        <f>ROUND(N(data!BY61), 0)</f>
        <v>0</v>
      </c>
      <c r="H76" s="198">
        <f>ROUND(N(data!BY62), 0)</f>
        <v>0</v>
      </c>
      <c r="I76" s="198">
        <f>ROUND(N(data!BY63), 0)</f>
        <v>0</v>
      </c>
      <c r="J76" s="198">
        <f>ROUND(N(data!BY64), 0)</f>
        <v>0</v>
      </c>
      <c r="K76" s="198">
        <f>ROUND(N(data!BY65), 0)</f>
        <v>0</v>
      </c>
      <c r="L76" s="198">
        <f>ROUND(N(data!BY66), 0)</f>
        <v>0</v>
      </c>
      <c r="M76" s="198">
        <f>ROUND(N(data!BY67), 0)</f>
        <v>0</v>
      </c>
      <c r="N76" s="198">
        <f>ROUND(N(data!BY68), 0)</f>
        <v>0</v>
      </c>
      <c r="O76" s="198">
        <f>ROUND(N(data!BY69), 0)</f>
        <v>0</v>
      </c>
      <c r="P76" s="198">
        <f>ROUND(N(data!BY70), 0)</f>
        <v>0</v>
      </c>
      <c r="Q76" s="198">
        <f>ROUND(N(data!BY71), 0)</f>
        <v>0</v>
      </c>
      <c r="R76" s="198">
        <f>ROUND(N(data!BY72), 0)</f>
        <v>0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0</v>
      </c>
      <c r="X76" s="198">
        <f>ROUND(N(data!BY78), 0)</f>
        <v>0</v>
      </c>
      <c r="Y76" s="198">
        <f>ROUND(N(data!BY79), 0)</f>
        <v>0</v>
      </c>
      <c r="Z76" s="198">
        <f>ROUND(N(data!BY80), 0)</f>
        <v>0</v>
      </c>
      <c r="AA76" s="198">
        <f>ROUND(N(data!BY81), 0)</f>
        <v>0</v>
      </c>
      <c r="AB76" s="198">
        <f>ROUND(N(data!BY82), 0)</f>
        <v>0</v>
      </c>
      <c r="AC76" s="198">
        <f>ROUND(N(data!BY83), 0)</f>
        <v>0</v>
      </c>
      <c r="AD76" s="198">
        <f>ROUND(N(data!BY84), 0)</f>
        <v>0</v>
      </c>
      <c r="AE76" s="198">
        <f>ROUND(N(data!BY89), 0)</f>
        <v>0</v>
      </c>
      <c r="AF76" s="198">
        <f>ROUND(N(data!BY87), 0)</f>
        <v>0</v>
      </c>
      <c r="AG76" s="198">
        <f>ROUND(N(data!BY90), 0)</f>
        <v>498</v>
      </c>
      <c r="AH76" s="198">
        <f>ROUND(N(data!BY91), 0)</f>
        <v>0</v>
      </c>
      <c r="AI76" s="198">
        <f>ROUND(N(data!BY92), 0)</f>
        <v>0</v>
      </c>
      <c r="AJ76" s="198">
        <f>ROUND(N(data!BY93), 0)</f>
        <v>0</v>
      </c>
      <c r="AK76" s="271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RIGHT(data!$C$97,3)</f>
        <v>176</v>
      </c>
      <c r="B77" s="200" t="str">
        <f>RIGHT(data!$C$96,4)</f>
        <v>2024</v>
      </c>
      <c r="C77" s="12" t="str">
        <f>data!BZ$55</f>
        <v>8730</v>
      </c>
      <c r="D77" s="12" t="s">
        <v>1160</v>
      </c>
      <c r="E77" s="198">
        <f>ROUND(N(data!BZ59), 0)</f>
        <v>0</v>
      </c>
      <c r="F77" s="271">
        <f>ROUND(N(data!BZ60), 2)</f>
        <v>66</v>
      </c>
      <c r="G77" s="198">
        <f>ROUND(N(data!BZ61), 0)</f>
        <v>2267426</v>
      </c>
      <c r="H77" s="198">
        <f>ROUND(N(data!BZ62), 0)</f>
        <v>364572</v>
      </c>
      <c r="I77" s="198">
        <f>ROUND(N(data!BZ63), 0)</f>
        <v>0</v>
      </c>
      <c r="J77" s="198">
        <f>ROUND(N(data!BZ64), 0)</f>
        <v>370</v>
      </c>
      <c r="K77" s="198">
        <f>ROUND(N(data!BZ65), 0)</f>
        <v>0</v>
      </c>
      <c r="L77" s="198">
        <f>ROUND(N(data!BZ66), 0)</f>
        <v>-1721076</v>
      </c>
      <c r="M77" s="198">
        <f>ROUND(N(data!BZ67), 0)</f>
        <v>0</v>
      </c>
      <c r="N77" s="198">
        <f>ROUND(N(data!BZ68), 0)</f>
        <v>0</v>
      </c>
      <c r="O77" s="198">
        <f>ROUND(N(data!BZ69), 0)</f>
        <v>214657</v>
      </c>
      <c r="P77" s="198">
        <f>ROUND(N(data!BZ70), 0)</f>
        <v>0</v>
      </c>
      <c r="Q77" s="198">
        <f>ROUND(N(data!BZ71), 0)</f>
        <v>200259</v>
      </c>
      <c r="R77" s="198">
        <f>ROUND(N(data!BZ72), 0)</f>
        <v>933</v>
      </c>
      <c r="S77" s="198">
        <f>ROUND(N(data!BZ73), 0)</f>
        <v>6748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1044</v>
      </c>
      <c r="X77" s="198">
        <f>ROUND(N(data!BZ78), 0)</f>
        <v>0</v>
      </c>
      <c r="Y77" s="198">
        <f>ROUND(N(data!BZ79), 0)</f>
        <v>0</v>
      </c>
      <c r="Z77" s="198">
        <f>ROUND(N(data!BZ80), 0)</f>
        <v>4724</v>
      </c>
      <c r="AA77" s="198">
        <f>ROUND(N(data!BZ81), 0)</f>
        <v>0</v>
      </c>
      <c r="AB77" s="198">
        <f>ROUND(N(data!BZ82), 0)</f>
        <v>0</v>
      </c>
      <c r="AC77" s="198">
        <f>ROUND(N(data!BZ83), 0)</f>
        <v>949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381</v>
      </c>
      <c r="AH77" s="198">
        <f>ROUND(N(data!BZ91), 0)</f>
        <v>0</v>
      </c>
      <c r="AI77" s="198">
        <f>ROUND(N(data!BZ92), 0)</f>
        <v>0</v>
      </c>
      <c r="AJ77" s="198">
        <f>ROUND(N(data!BZ93), 0)</f>
        <v>0</v>
      </c>
      <c r="AK77" s="271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RIGHT(data!$C$97,3)</f>
        <v>176</v>
      </c>
      <c r="B78" s="200" t="str">
        <f>RIGHT(data!$C$96,4)</f>
        <v>2024</v>
      </c>
      <c r="C78" s="12" t="str">
        <f>data!CA$55</f>
        <v>8740</v>
      </c>
      <c r="D78" s="12" t="s">
        <v>1160</v>
      </c>
      <c r="E78" s="198">
        <f>ROUND(N(data!CA59), 0)</f>
        <v>0</v>
      </c>
      <c r="F78" s="271">
        <f>ROUND(N(data!CA60), 2)</f>
        <v>0</v>
      </c>
      <c r="G78" s="198">
        <f>ROUND(N(data!CA61), 0)</f>
        <v>0</v>
      </c>
      <c r="H78" s="198">
        <f>ROUND(N(data!CA62), 0)</f>
        <v>0</v>
      </c>
      <c r="I78" s="198">
        <f>ROUND(N(data!CA63), 0)</f>
        <v>0</v>
      </c>
      <c r="J78" s="198">
        <f>ROUND(N(data!CA64), 0)</f>
        <v>0</v>
      </c>
      <c r="K78" s="198">
        <f>ROUND(N(data!CA65), 0)</f>
        <v>0</v>
      </c>
      <c r="L78" s="198">
        <f>ROUND(N(data!CA66), 0)</f>
        <v>0</v>
      </c>
      <c r="M78" s="198">
        <f>ROUND(N(data!CA67), 0)</f>
        <v>0</v>
      </c>
      <c r="N78" s="198">
        <f>ROUND(N(data!CA68), 0)</f>
        <v>0</v>
      </c>
      <c r="O78" s="198">
        <f>ROUND(N(data!CA69), 0)</f>
        <v>0</v>
      </c>
      <c r="P78" s="198">
        <f>ROUND(N(data!CA70), 0)</f>
        <v>0</v>
      </c>
      <c r="Q78" s="198">
        <f>ROUND(N(data!CA71), 0)</f>
        <v>0</v>
      </c>
      <c r="R78" s="198">
        <f>ROUND(N(data!CA72), 0)</f>
        <v>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0</v>
      </c>
      <c r="X78" s="198">
        <f>ROUND(N(data!CA78), 0)</f>
        <v>0</v>
      </c>
      <c r="Y78" s="198">
        <f>ROUND(N(data!CA79), 0)</f>
        <v>0</v>
      </c>
      <c r="Z78" s="198">
        <f>ROUND(N(data!CA80), 0)</f>
        <v>0</v>
      </c>
      <c r="AA78" s="198">
        <f>ROUND(N(data!CA81), 0)</f>
        <v>0</v>
      </c>
      <c r="AB78" s="198">
        <f>ROUND(N(data!CA82), 0)</f>
        <v>0</v>
      </c>
      <c r="AC78" s="198">
        <f>ROUND(N(data!CA83), 0)</f>
        <v>0</v>
      </c>
      <c r="AD78" s="198">
        <f>ROUND(N(data!CA84), 0)</f>
        <v>0</v>
      </c>
      <c r="AE78" s="198">
        <f>ROUND(N(data!CA89), 0)</f>
        <v>0</v>
      </c>
      <c r="AF78" s="198">
        <f>ROUND(N(data!CA87), 0)</f>
        <v>0</v>
      </c>
      <c r="AG78" s="198">
        <f>ROUND(N(data!CA90), 0)</f>
        <v>0</v>
      </c>
      <c r="AH78" s="198">
        <f>ROUND(N(data!CA91), 0)</f>
        <v>0</v>
      </c>
      <c r="AI78" s="198">
        <f>ROUND(N(data!CA92), 0)</f>
        <v>0</v>
      </c>
      <c r="AJ78" s="198">
        <f>ROUND(N(data!CA93), 0)</f>
        <v>0</v>
      </c>
      <c r="AK78" s="271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RIGHT(data!$C$97,3)</f>
        <v>176</v>
      </c>
      <c r="B79" s="200" t="str">
        <f>RIGHT(data!$C$96,4)</f>
        <v>2024</v>
      </c>
      <c r="C79" s="12" t="str">
        <f>data!CB$55</f>
        <v>8770</v>
      </c>
      <c r="D79" s="12" t="s">
        <v>1160</v>
      </c>
      <c r="E79" s="198">
        <f>ROUND(N(data!CB59), 0)</f>
        <v>0</v>
      </c>
      <c r="F79" s="271">
        <f>ROUND(N(data!CB60), 2)</f>
        <v>0</v>
      </c>
      <c r="G79" s="198">
        <f>ROUND(N(data!CB61), 0)</f>
        <v>0</v>
      </c>
      <c r="H79" s="198">
        <f>ROUND(N(data!CB62), 0)</f>
        <v>0</v>
      </c>
      <c r="I79" s="198">
        <f>ROUND(N(data!CB63), 0)</f>
        <v>0</v>
      </c>
      <c r="J79" s="198">
        <f>ROUND(N(data!CB64), 0)</f>
        <v>0</v>
      </c>
      <c r="K79" s="198">
        <f>ROUND(N(data!CB65), 0)</f>
        <v>0</v>
      </c>
      <c r="L79" s="198">
        <f>ROUND(N(data!CB66), 0)</f>
        <v>0</v>
      </c>
      <c r="M79" s="198">
        <f>ROUND(N(data!CB67), 0)</f>
        <v>0</v>
      </c>
      <c r="N79" s="198">
        <f>ROUND(N(data!CB68), 0)</f>
        <v>0</v>
      </c>
      <c r="O79" s="198">
        <f>ROUND(N(data!CB69), 0)</f>
        <v>0</v>
      </c>
      <c r="P79" s="198">
        <f>ROUND(N(data!CB70), 0)</f>
        <v>0</v>
      </c>
      <c r="Q79" s="198">
        <f>ROUND(N(data!CB71), 0)</f>
        <v>0</v>
      </c>
      <c r="R79" s="198">
        <f>ROUND(N(data!CB72), 0)</f>
        <v>0</v>
      </c>
      <c r="S79" s="198">
        <f>ROUND(N(data!CB73), 0)</f>
        <v>0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0</v>
      </c>
      <c r="Y79" s="198">
        <f>ROUND(N(data!CB79), 0)</f>
        <v>0</v>
      </c>
      <c r="Z79" s="198">
        <f>ROUND(N(data!CB80), 0)</f>
        <v>0</v>
      </c>
      <c r="AA79" s="198">
        <f>ROUND(N(data!CB81), 0)</f>
        <v>0</v>
      </c>
      <c r="AB79" s="198">
        <f>ROUND(N(data!CB82), 0)</f>
        <v>0</v>
      </c>
      <c r="AC79" s="198">
        <f>ROUND(N(data!CB83), 0)</f>
        <v>0</v>
      </c>
      <c r="AD79" s="198">
        <f>ROUND(N(data!CB84), 0)</f>
        <v>0</v>
      </c>
      <c r="AE79" s="198">
        <f>ROUND(N(data!CB89), 0)</f>
        <v>0</v>
      </c>
      <c r="AF79" s="198">
        <f>ROUND(N(data!CB87), 0)</f>
        <v>0</v>
      </c>
      <c r="AG79" s="198">
        <f>ROUND(N(data!CB90), 0)</f>
        <v>0</v>
      </c>
      <c r="AH79" s="198">
        <f>ROUND(N(data!CB91), 0)</f>
        <v>0</v>
      </c>
      <c r="AI79" s="198">
        <f>ROUND(N(data!CB92), 0)</f>
        <v>0</v>
      </c>
      <c r="AJ79" s="198">
        <f>ROUND(N(data!CB93), 0)</f>
        <v>0</v>
      </c>
      <c r="AK79" s="271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RIGHT(data!$C$97,3)</f>
        <v>176</v>
      </c>
      <c r="B80" s="200" t="str">
        <f>RIGHT(data!$C$96,4)</f>
        <v>2024</v>
      </c>
      <c r="C80" s="12" t="str">
        <f>data!CC$55</f>
        <v>8790</v>
      </c>
      <c r="D80" s="12" t="s">
        <v>1160</v>
      </c>
      <c r="E80" s="198">
        <f>ROUND(N(data!CC59), 0)</f>
        <v>0</v>
      </c>
      <c r="F80" s="271">
        <f>ROUND(N(data!CC60), 2)</f>
        <v>130</v>
      </c>
      <c r="G80" s="198">
        <f>ROUND(N(data!CC61), 0)</f>
        <v>12889057</v>
      </c>
      <c r="H80" s="198">
        <f>ROUND(N(data!CC62), 0)</f>
        <v>2866008</v>
      </c>
      <c r="I80" s="198">
        <f>ROUND(N(data!CC63), 0)</f>
        <v>12391495</v>
      </c>
      <c r="J80" s="198">
        <f>ROUND(N(data!CC64), 0)</f>
        <v>-1256534</v>
      </c>
      <c r="K80" s="198">
        <f>ROUND(N(data!CC65), 0)</f>
        <v>0</v>
      </c>
      <c r="L80" s="198">
        <f>ROUND(N(data!CC66), 0)</f>
        <v>-23587651</v>
      </c>
      <c r="M80" s="198">
        <f>ROUND(N(data!CC67), 0)</f>
        <v>1014520</v>
      </c>
      <c r="N80" s="198">
        <f>ROUND(N(data!CC68), 0)</f>
        <v>2310395</v>
      </c>
      <c r="O80" s="198">
        <f>ROUND(N(data!CC69), 0)</f>
        <v>176643308</v>
      </c>
      <c r="P80" s="198">
        <f>ROUND(N(data!CC70), 0)</f>
        <v>0</v>
      </c>
      <c r="Q80" s="198">
        <f>ROUND(N(data!CC71), 0)</f>
        <v>714633</v>
      </c>
      <c r="R80" s="198">
        <f>ROUND(N(data!CC72), 0)</f>
        <v>448596</v>
      </c>
      <c r="S80" s="198">
        <f>ROUND(N(data!CC73), 0)</f>
        <v>1193883</v>
      </c>
      <c r="T80" s="198">
        <f>ROUND(N(data!CC74), 0)</f>
        <v>5516</v>
      </c>
      <c r="U80" s="198">
        <f>ROUND(N(data!CC75), 0)</f>
        <v>13031</v>
      </c>
      <c r="V80" s="198">
        <f>ROUND(N(data!CC76), 0)</f>
        <v>0</v>
      </c>
      <c r="W80" s="198">
        <f>ROUND(N(data!CC77), 0)</f>
        <v>546947</v>
      </c>
      <c r="X80" s="198">
        <f>ROUND(N(data!CC78), 0)</f>
        <v>104315776</v>
      </c>
      <c r="Y80" s="198">
        <f>ROUND(N(data!CC79), 0)</f>
        <v>-32063</v>
      </c>
      <c r="Z80" s="198">
        <f>ROUND(N(data!CC80), 0)</f>
        <v>33717</v>
      </c>
      <c r="AA80" s="198">
        <f>ROUND(N(data!CC81), 0)</f>
        <v>9099354</v>
      </c>
      <c r="AB80" s="198">
        <f>ROUND(N(data!CC82), 0)</f>
        <v>85122</v>
      </c>
      <c r="AC80" s="198">
        <f>ROUND(N(data!CC83), 0)</f>
        <v>60218799</v>
      </c>
      <c r="AD80" s="198">
        <f>ROUND(N(data!CC84), 0)</f>
        <v>2096354</v>
      </c>
      <c r="AE80" s="198">
        <f>ROUND(N(data!CC89), 0)</f>
        <v>0</v>
      </c>
      <c r="AF80" s="198">
        <f>ROUND(N(data!CC87), 0)</f>
        <v>0</v>
      </c>
      <c r="AG80" s="198">
        <f>ROUND(N(data!CC90), 0)</f>
        <v>3454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271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>
      <selection activeCell="E18" sqref="E18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6" width="10.77734375" style="11" customWidth="1"/>
    <col min="17" max="16384" width="10.77734375" style="11"/>
  </cols>
  <sheetData>
    <row r="1" spans="2:10" x14ac:dyDescent="0.25">
      <c r="J1" s="94" t="s">
        <v>693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10" t="s">
        <v>694</v>
      </c>
      <c r="G3" s="10"/>
      <c r="J3" s="99"/>
    </row>
    <row r="4" spans="2:10" x14ac:dyDescent="0.25">
      <c r="B4" s="98"/>
      <c r="F4" s="10" t="s">
        <v>695</v>
      </c>
      <c r="G4" s="10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10" t="s">
        <v>696</v>
      </c>
      <c r="G8" s="10"/>
      <c r="J8" s="99"/>
    </row>
    <row r="9" spans="2:10" x14ac:dyDescent="0.25">
      <c r="B9" s="95"/>
      <c r="C9" s="96"/>
      <c r="D9" s="96"/>
      <c r="E9" s="96"/>
      <c r="F9" s="103" t="s">
        <v>697</v>
      </c>
      <c r="G9" s="103"/>
      <c r="H9" s="96"/>
      <c r="I9" s="96"/>
      <c r="J9" s="97"/>
    </row>
    <row r="10" spans="2:10" x14ac:dyDescent="0.25">
      <c r="B10" s="98"/>
      <c r="F10" s="10" t="s">
        <v>698</v>
      </c>
      <c r="G10" s="10"/>
      <c r="J10" s="99"/>
    </row>
    <row r="11" spans="2:10" x14ac:dyDescent="0.25">
      <c r="B11" s="98"/>
      <c r="F11" s="10"/>
      <c r="G11" s="10"/>
      <c r="J11" s="99"/>
    </row>
    <row r="12" spans="2:10" x14ac:dyDescent="0.25">
      <c r="B12" s="98"/>
      <c r="F12" s="10" t="s">
        <v>699</v>
      </c>
      <c r="G12" s="10"/>
      <c r="J12" s="99"/>
    </row>
    <row r="13" spans="2:10" x14ac:dyDescent="0.25">
      <c r="B13" s="98"/>
      <c r="F13" s="10" t="s">
        <v>700</v>
      </c>
      <c r="G13" s="10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1" t="s">
        <v>701</v>
      </c>
      <c r="J16" s="99"/>
    </row>
    <row r="17" spans="2:10" x14ac:dyDescent="0.25">
      <c r="B17" s="95"/>
      <c r="C17" s="104" t="s">
        <v>702</v>
      </c>
      <c r="D17" s="104"/>
      <c r="E17" s="96" t="str">
        <f>+data!C98</f>
        <v>Tacoma General / Allenmore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703</v>
      </c>
      <c r="D18" s="53"/>
      <c r="E18" s="11" t="str">
        <f>+"H-"&amp;data!C97</f>
        <v>H-176</v>
      </c>
      <c r="F18" s="10"/>
      <c r="G18" s="10"/>
      <c r="J18" s="99"/>
    </row>
    <row r="19" spans="2:10" x14ac:dyDescent="0.25">
      <c r="B19" s="98"/>
      <c r="C19" s="53" t="s">
        <v>704</v>
      </c>
      <c r="D19" s="53"/>
      <c r="E19" s="11">
        <f>+data!C99</f>
        <v>0</v>
      </c>
      <c r="F19" s="10"/>
      <c r="G19" s="10"/>
      <c r="J19" s="99"/>
    </row>
    <row r="20" spans="2:10" x14ac:dyDescent="0.25">
      <c r="B20" s="98"/>
      <c r="C20" s="53" t="s">
        <v>705</v>
      </c>
      <c r="D20" s="53"/>
      <c r="E20" s="11">
        <f>+data!C99</f>
        <v>0</v>
      </c>
      <c r="F20" s="10"/>
      <c r="G20" s="10"/>
      <c r="J20" s="99"/>
    </row>
    <row r="21" spans="2:10" x14ac:dyDescent="0.25">
      <c r="B21" s="98"/>
      <c r="C21" s="53" t="s">
        <v>706</v>
      </c>
      <c r="D21" s="53"/>
      <c r="E21" s="11" t="str">
        <f>CONCATENATE(+data!C100,", ",+data!C101)</f>
        <v>Tacoma  , WA</v>
      </c>
      <c r="F21" s="10"/>
      <c r="G21" s="10"/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707</v>
      </c>
      <c r="G26" s="106"/>
      <c r="H26" s="106"/>
      <c r="I26" s="106"/>
      <c r="J26" s="108"/>
    </row>
    <row r="27" spans="2:10" x14ac:dyDescent="0.25">
      <c r="B27" s="109" t="s">
        <v>708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"&amp;data!C96&amp;"."</f>
        <v>by the Department of Health for the fiscal year ended 12/31/2024.</v>
      </c>
      <c r="J28" s="99"/>
    </row>
    <row r="29" spans="2:10" x14ac:dyDescent="0.25">
      <c r="B29" s="98" t="s">
        <v>709</v>
      </c>
      <c r="J29" s="99"/>
    </row>
    <row r="30" spans="2:10" x14ac:dyDescent="0.25">
      <c r="B30" s="112" t="s">
        <v>710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247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711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712</v>
      </c>
      <c r="C35" s="106"/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713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247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714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712</v>
      </c>
      <c r="C41" s="106"/>
      <c r="D41" s="106"/>
      <c r="E41" s="106"/>
      <c r="F41" s="107"/>
      <c r="G41" s="106"/>
      <c r="H41" s="106"/>
      <c r="I41" s="106"/>
      <c r="J41" s="108"/>
    </row>
    <row r="42" spans="2:10" x14ac:dyDescent="0.25">
      <c r="B42" s="116" t="s">
        <v>713</v>
      </c>
      <c r="C42" s="117"/>
      <c r="D42" s="117"/>
      <c r="E42" s="117"/>
      <c r="F42" s="118"/>
      <c r="G42" s="117"/>
      <c r="H42" s="117"/>
      <c r="I42" s="117"/>
      <c r="J42" s="119"/>
    </row>
  </sheetData>
  <sheetProtection algorithmName="SHA-512" hashValue="ivN083Sx6RKeqAw5rnhE1sj8RSCqoNygcBG+zzm+3bKdCQDCin61Mp0l94fgyCM95MyfbejONPtglzBeqa+k5g==" saltValue="GRw+SU2OaVXE6ABhITpyVw==" spinCount="100000" sheet="1" objects="1" scenarios="1"/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zoomScale="85" zoomScaleNormal="85" workbookViewId="0">
      <selection activeCell="I69" sqref="I69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5" width="8.6640625" style="1" customWidth="1"/>
    <col min="16" max="16384" width="8.6640625" style="1"/>
  </cols>
  <sheetData>
    <row r="2" spans="1:13" x14ac:dyDescent="0.25">
      <c r="A2" s="54" t="s">
        <v>715</v>
      </c>
    </row>
    <row r="3" spans="1:13" x14ac:dyDescent="0.25">
      <c r="A3" s="54"/>
    </row>
    <row r="4" spans="1:13" x14ac:dyDescent="0.25">
      <c r="A4" s="149" t="s">
        <v>716</v>
      </c>
    </row>
    <row r="5" spans="1:13" x14ac:dyDescent="0.25">
      <c r="A5" s="149" t="s">
        <v>717</v>
      </c>
    </row>
    <row r="6" spans="1:13" x14ac:dyDescent="0.25">
      <c r="A6" s="149" t="s">
        <v>718</v>
      </c>
    </row>
    <row r="7" spans="1:13" x14ac:dyDescent="0.25">
      <c r="A7" s="149"/>
    </row>
    <row r="8" spans="1:13" x14ac:dyDescent="0.25">
      <c r="A8" s="2" t="s">
        <v>719</v>
      </c>
    </row>
    <row r="9" spans="1:13" x14ac:dyDescent="0.25">
      <c r="A9" s="149" t="s">
        <v>26</v>
      </c>
    </row>
    <row r="12" spans="1:13" x14ac:dyDescent="0.25">
      <c r="A12" s="1" t="str">
        <f>data!C97</f>
        <v>176</v>
      </c>
      <c r="B12" s="228" t="str">
        <f>RIGHT('Prior Year'!C96,4)</f>
        <v>2023</v>
      </c>
      <c r="C12" s="228" t="str">
        <f>RIGHT(data!C96,4)</f>
        <v>2024</v>
      </c>
      <c r="D12" s="1" t="str">
        <f>RIGHT('Prior Year'!C96,4)</f>
        <v>2023</v>
      </c>
      <c r="E12" s="228" t="str">
        <f>RIGHT(data!C96,4)</f>
        <v>2024</v>
      </c>
      <c r="F12" s="1" t="str">
        <f>RIGHT('Prior Year'!C96,4)</f>
        <v>2023</v>
      </c>
      <c r="G12" s="228" t="str">
        <f>RIGHT(data!C96,4)</f>
        <v>2024</v>
      </c>
      <c r="H12" s="3"/>
    </row>
    <row r="13" spans="1:13" x14ac:dyDescent="0.25">
      <c r="A13" s="2"/>
      <c r="B13" s="228" t="s">
        <v>720</v>
      </c>
      <c r="C13" s="228" t="s">
        <v>720</v>
      </c>
      <c r="D13" s="5" t="s">
        <v>721</v>
      </c>
      <c r="E13" s="5" t="s">
        <v>721</v>
      </c>
      <c r="F13" s="3" t="s">
        <v>722</v>
      </c>
      <c r="G13" s="3" t="s">
        <v>722</v>
      </c>
      <c r="H13" s="3" t="s">
        <v>723</v>
      </c>
    </row>
    <row r="14" spans="1:13" x14ac:dyDescent="0.25">
      <c r="A14" s="1" t="s">
        <v>724</v>
      </c>
      <c r="B14" s="228" t="s">
        <v>357</v>
      </c>
      <c r="C14" s="228" t="s">
        <v>357</v>
      </c>
      <c r="D14" s="4" t="s">
        <v>725</v>
      </c>
      <c r="E14" s="4" t="s">
        <v>725</v>
      </c>
      <c r="F14" s="3" t="s">
        <v>726</v>
      </c>
      <c r="G14" s="3" t="s">
        <v>726</v>
      </c>
      <c r="H14" s="3" t="s">
        <v>727</v>
      </c>
      <c r="I14" s="8" t="s">
        <v>728</v>
      </c>
      <c r="J14" s="55" t="s">
        <v>729</v>
      </c>
    </row>
    <row r="15" spans="1:13" x14ac:dyDescent="0.25">
      <c r="A15" s="1" t="s">
        <v>730</v>
      </c>
      <c r="B15" s="228">
        <f>ROUND(N('Prior Year'!C85), 0)</f>
        <v>93866147</v>
      </c>
      <c r="C15" s="228">
        <f>data!C85</f>
        <v>145662477</v>
      </c>
      <c r="D15" s="228">
        <f>ROUND(N('Prior Year'!C59), 0)</f>
        <v>54110</v>
      </c>
      <c r="E15" s="1">
        <f>data!C59</f>
        <v>65197</v>
      </c>
      <c r="F15" s="205">
        <f t="shared" ref="F15:F59" si="0">IF(B15=0,"",IF(D15=0,"",B15/D15))</f>
        <v>1734.7282757346147</v>
      </c>
      <c r="G15" s="205">
        <f t="shared" ref="G15:G29" si="1">IF(C15=0,"",IF(E15=0,"",C15/E15))</f>
        <v>2234.1898706995721</v>
      </c>
      <c r="H15" s="6">
        <f t="shared" ref="H15:H30" si="2">IF(B15 = 0, "", IF(C15 = 0, "", IF(D15 = 0, "", IF(E15 = 0, "", IF(G15 / F15 - 1 &lt; -0.25, G15 / F15 - 1, IF(G15 / F15 - 1 &gt; 0.25, G15 / F15 - 1, ""))))))</f>
        <v>0.28791921014456734</v>
      </c>
      <c r="I15" s="228" t="s">
        <v>1367</v>
      </c>
      <c r="M15" s="7"/>
    </row>
    <row r="16" spans="1:13" x14ac:dyDescent="0.25">
      <c r="A16" s="1" t="s">
        <v>731</v>
      </c>
      <c r="B16" s="228">
        <f>ROUND(N('Prior Year'!D85), 0)</f>
        <v>9340320</v>
      </c>
      <c r="C16" s="228">
        <f>data!D85</f>
        <v>148181039.25</v>
      </c>
      <c r="D16" s="228">
        <f>ROUND(N('Prior Year'!D59), 0)</f>
        <v>8813</v>
      </c>
      <c r="E16" s="1">
        <f>data!D59</f>
        <v>30173</v>
      </c>
      <c r="F16" s="205">
        <f t="shared" si="0"/>
        <v>1059.834335640531</v>
      </c>
      <c r="G16" s="205">
        <f t="shared" si="1"/>
        <v>4911.0476005037617</v>
      </c>
      <c r="H16" s="6">
        <f t="shared" si="2"/>
        <v>3.6337879754911668</v>
      </c>
      <c r="I16" s="228" t="s">
        <v>1367</v>
      </c>
      <c r="M16" s="7"/>
    </row>
    <row r="17" spans="1:13" x14ac:dyDescent="0.25">
      <c r="A17" s="1" t="s">
        <v>732</v>
      </c>
      <c r="B17" s="228">
        <f>ROUND(N('Prior Year'!E85), 0)</f>
        <v>41917723</v>
      </c>
      <c r="C17" s="228">
        <f>data!E85</f>
        <v>17688234.25</v>
      </c>
      <c r="D17" s="228">
        <f>ROUND(N('Prior Year'!E59), 0)</f>
        <v>40243</v>
      </c>
      <c r="E17" s="1">
        <f>data!E59</f>
        <v>7524</v>
      </c>
      <c r="F17" s="205">
        <f t="shared" si="0"/>
        <v>1041.6152622816389</v>
      </c>
      <c r="G17" s="205">
        <f t="shared" si="1"/>
        <v>2350.908326687932</v>
      </c>
      <c r="H17" s="6">
        <f t="shared" si="2"/>
        <v>1.2569833717089658</v>
      </c>
      <c r="I17" s="228" t="s">
        <v>1367</v>
      </c>
      <c r="M17" s="7"/>
    </row>
    <row r="18" spans="1:13" x14ac:dyDescent="0.25">
      <c r="A18" s="1" t="s">
        <v>733</v>
      </c>
      <c r="B18" s="228">
        <f>ROUND(N('Prior Year'!F85), 0)</f>
        <v>7560149</v>
      </c>
      <c r="C18" s="228">
        <f>data!F85</f>
        <v>10808031.85</v>
      </c>
      <c r="D18" s="228">
        <f>ROUND(N('Prior Year'!F59), 0)</f>
        <v>4201</v>
      </c>
      <c r="E18" s="1">
        <f>data!F59</f>
        <v>9241</v>
      </c>
      <c r="F18" s="205">
        <f t="shared" si="0"/>
        <v>1799.60699833373</v>
      </c>
      <c r="G18" s="205">
        <f t="shared" si="1"/>
        <v>1169.5738394113191</v>
      </c>
      <c r="H18" s="6">
        <f t="shared" si="2"/>
        <v>-0.35009485932526574</v>
      </c>
      <c r="I18" s="228" t="s">
        <v>1367</v>
      </c>
      <c r="M18" s="7"/>
    </row>
    <row r="19" spans="1:13" x14ac:dyDescent="0.25">
      <c r="A19" s="1" t="s">
        <v>734</v>
      </c>
      <c r="B19" s="228">
        <f>ROUND(N('Prior Year'!G85), 0)</f>
        <v>0</v>
      </c>
      <c r="C19" s="228">
        <f>data!G85</f>
        <v>0</v>
      </c>
      <c r="D19" s="228">
        <f>ROUND(N('Prior Year'!G59), 0)</f>
        <v>0</v>
      </c>
      <c r="E19" s="1">
        <f>data!G59</f>
        <v>0</v>
      </c>
      <c r="F19" s="205" t="str">
        <f t="shared" si="0"/>
        <v/>
      </c>
      <c r="G19" s="205" t="str">
        <f t="shared" si="1"/>
        <v/>
      </c>
      <c r="H19" s="6" t="str">
        <f t="shared" si="2"/>
        <v/>
      </c>
      <c r="I19" s="228" t="str">
        <f t="shared" ref="I19:I46" si="3">IF(H19 = "", "", IF(ABS(H19) &gt; 25 %, "Please provide explanation for the fluctuation noted here", ""))</f>
        <v/>
      </c>
      <c r="M19" s="7"/>
    </row>
    <row r="20" spans="1:13" x14ac:dyDescent="0.25">
      <c r="A20" s="1" t="s">
        <v>735</v>
      </c>
      <c r="B20" s="228">
        <f>ROUND(N('Prior Year'!H85), 0)</f>
        <v>11261432</v>
      </c>
      <c r="C20" s="228">
        <f>data!H85</f>
        <v>14051135.580000002</v>
      </c>
      <c r="D20" s="228">
        <f>ROUND(N('Prior Year'!H59), 0)</f>
        <v>7959</v>
      </c>
      <c r="E20" s="1">
        <f>data!H59</f>
        <v>7066</v>
      </c>
      <c r="F20" s="205">
        <f t="shared" si="0"/>
        <v>1414.9305189094107</v>
      </c>
      <c r="G20" s="205">
        <f t="shared" si="1"/>
        <v>1988.5558420605721</v>
      </c>
      <c r="H20" s="6">
        <f t="shared" si="2"/>
        <v>0.40540882784357213</v>
      </c>
      <c r="I20" s="228" t="s">
        <v>1367</v>
      </c>
      <c r="M20" s="7"/>
    </row>
    <row r="21" spans="1:13" x14ac:dyDescent="0.25">
      <c r="A21" s="1" t="s">
        <v>736</v>
      </c>
      <c r="B21" s="228">
        <f>ROUND(N('Prior Year'!I85), 0)</f>
        <v>0</v>
      </c>
      <c r="C21" s="228">
        <f>data!I85</f>
        <v>0</v>
      </c>
      <c r="D21" s="228">
        <f>ROUND(N('Prior Year'!I59), 0)</f>
        <v>0</v>
      </c>
      <c r="E21" s="1">
        <f>data!I59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I21" s="228" t="str">
        <f t="shared" si="3"/>
        <v/>
      </c>
      <c r="M21" s="7"/>
    </row>
    <row r="22" spans="1:13" x14ac:dyDescent="0.25">
      <c r="A22" s="1" t="s">
        <v>737</v>
      </c>
      <c r="B22" s="228">
        <f>ROUND(N('Prior Year'!J85), 0)</f>
        <v>0</v>
      </c>
      <c r="C22" s="228">
        <f>data!J85</f>
        <v>0</v>
      </c>
      <c r="D22" s="228">
        <f>ROUND(N('Prior Year'!J59), 0)</f>
        <v>4557</v>
      </c>
      <c r="E22" s="1">
        <f>data!J59</f>
        <v>5218</v>
      </c>
      <c r="F22" s="205" t="str">
        <f t="shared" si="0"/>
        <v/>
      </c>
      <c r="G22" s="205" t="str">
        <f t="shared" si="1"/>
        <v/>
      </c>
      <c r="H22" s="6" t="str">
        <f t="shared" si="2"/>
        <v/>
      </c>
      <c r="I22" s="228" t="str">
        <f t="shared" si="3"/>
        <v/>
      </c>
      <c r="M22" s="7"/>
    </row>
    <row r="23" spans="1:13" x14ac:dyDescent="0.25">
      <c r="A23" s="1" t="s">
        <v>738</v>
      </c>
      <c r="B23" s="228">
        <f>ROUND(N('Prior Year'!K85), 0)</f>
        <v>0</v>
      </c>
      <c r="C23" s="228">
        <f>data!K85</f>
        <v>0</v>
      </c>
      <c r="D23" s="228">
        <f>ROUND(N('Prior Year'!K59), 0)</f>
        <v>0</v>
      </c>
      <c r="E23" s="1">
        <f>data!K59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228" t="str">
        <f t="shared" si="3"/>
        <v/>
      </c>
      <c r="M23" s="7"/>
    </row>
    <row r="24" spans="1:13" x14ac:dyDescent="0.25">
      <c r="A24" s="1" t="s">
        <v>739</v>
      </c>
      <c r="B24" s="228">
        <f>ROUND(N('Prior Year'!L85), 0)</f>
        <v>0</v>
      </c>
      <c r="C24" s="228">
        <f>data!L85</f>
        <v>0</v>
      </c>
      <c r="D24" s="228">
        <f>ROUND(N('Prior Year'!L59), 0)</f>
        <v>0</v>
      </c>
      <c r="E24" s="1">
        <f>data!L59</f>
        <v>0</v>
      </c>
      <c r="F24" s="205" t="str">
        <f t="shared" si="0"/>
        <v/>
      </c>
      <c r="G24" s="205" t="str">
        <f t="shared" si="1"/>
        <v/>
      </c>
      <c r="H24" s="6" t="str">
        <f t="shared" si="2"/>
        <v/>
      </c>
      <c r="I24" s="228" t="str">
        <f t="shared" si="3"/>
        <v/>
      </c>
      <c r="M24" s="7"/>
    </row>
    <row r="25" spans="1:13" x14ac:dyDescent="0.25">
      <c r="A25" s="1" t="s">
        <v>740</v>
      </c>
      <c r="B25" s="228">
        <f>ROUND(N('Prior Year'!M85), 0)</f>
        <v>0</v>
      </c>
      <c r="C25" s="228">
        <f>data!M85</f>
        <v>0</v>
      </c>
      <c r="D25" s="228">
        <f>ROUND(N('Prior Year'!M59), 0)</f>
        <v>0</v>
      </c>
      <c r="E25" s="1">
        <f>data!M59</f>
        <v>422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8" t="str">
        <f t="shared" si="3"/>
        <v/>
      </c>
      <c r="M25" s="7"/>
    </row>
    <row r="26" spans="1:13" x14ac:dyDescent="0.25">
      <c r="A26" s="1" t="s">
        <v>741</v>
      </c>
      <c r="B26" s="1">
        <f>ROUND(N('Prior Year'!N85), 0)</f>
        <v>0</v>
      </c>
      <c r="C26" s="228">
        <f>data!N85</f>
        <v>0</v>
      </c>
      <c r="D26" s="228">
        <f>ROUND(N('Prior Year'!N59), 0)</f>
        <v>0</v>
      </c>
      <c r="E26" s="1">
        <f>data!N59</f>
        <v>4729</v>
      </c>
      <c r="F26" s="205" t="str">
        <f t="shared" si="0"/>
        <v/>
      </c>
      <c r="G26" s="205" t="str">
        <f t="shared" si="1"/>
        <v/>
      </c>
      <c r="H26" s="6" t="str">
        <f t="shared" si="2"/>
        <v/>
      </c>
      <c r="I26" s="228" t="str">
        <f t="shared" si="3"/>
        <v/>
      </c>
      <c r="M26" s="7"/>
    </row>
    <row r="27" spans="1:13" x14ac:dyDescent="0.25">
      <c r="A27" s="1" t="s">
        <v>742</v>
      </c>
      <c r="B27" s="228">
        <f>ROUND(N('Prior Year'!O85), 0)</f>
        <v>21043059</v>
      </c>
      <c r="C27" s="228">
        <f>data!O85</f>
        <v>38084584.270000011</v>
      </c>
      <c r="D27" s="228">
        <f>ROUND(N('Prior Year'!O59), 0)</f>
        <v>0</v>
      </c>
      <c r="E27" s="1">
        <f>data!O59</f>
        <v>3396</v>
      </c>
      <c r="F27" s="205" t="str">
        <f t="shared" si="0"/>
        <v/>
      </c>
      <c r="G27" s="205">
        <f t="shared" si="1"/>
        <v>11214.541893404008</v>
      </c>
      <c r="H27" s="6" t="str">
        <f t="shared" si="2"/>
        <v/>
      </c>
      <c r="I27" s="228" t="str">
        <f t="shared" si="3"/>
        <v/>
      </c>
      <c r="J27" s="206"/>
      <c r="M27" s="7"/>
    </row>
    <row r="28" spans="1:13" x14ac:dyDescent="0.25">
      <c r="A28" s="1" t="s">
        <v>743</v>
      </c>
      <c r="B28" s="228">
        <f>ROUND(N('Prior Year'!P85), 0)</f>
        <v>125116071</v>
      </c>
      <c r="C28" s="228">
        <f>data!P85</f>
        <v>213690892.55000007</v>
      </c>
      <c r="D28" s="228">
        <f>ROUND(N('Prior Year'!P59), 0)</f>
        <v>0</v>
      </c>
      <c r="E28" s="1">
        <f>data!P59</f>
        <v>8392125</v>
      </c>
      <c r="F28" s="205" t="str">
        <f t="shared" si="0"/>
        <v/>
      </c>
      <c r="G28" s="205">
        <f t="shared" si="1"/>
        <v>25.463263780031884</v>
      </c>
      <c r="H28" s="6" t="str">
        <f t="shared" si="2"/>
        <v/>
      </c>
      <c r="I28" s="228" t="str">
        <f t="shared" si="3"/>
        <v/>
      </c>
      <c r="M28" s="7"/>
    </row>
    <row r="29" spans="1:13" x14ac:dyDescent="0.25">
      <c r="A29" s="1" t="s">
        <v>744</v>
      </c>
      <c r="B29" s="228">
        <f>ROUND(N('Prior Year'!Q85), 0)</f>
        <v>0</v>
      </c>
      <c r="C29" s="228">
        <f>data!Q85</f>
        <v>4448855.32</v>
      </c>
      <c r="D29" s="228">
        <f>ROUND(N('Prior Year'!Q59), 0)</f>
        <v>0</v>
      </c>
      <c r="E29" s="1">
        <f>data!Q59</f>
        <v>2892920</v>
      </c>
      <c r="F29" s="205" t="str">
        <f t="shared" si="0"/>
        <v/>
      </c>
      <c r="G29" s="205">
        <f t="shared" si="1"/>
        <v>1.5378424982370755</v>
      </c>
      <c r="H29" s="6" t="str">
        <f t="shared" si="2"/>
        <v/>
      </c>
      <c r="I29" s="228" t="str">
        <f t="shared" si="3"/>
        <v/>
      </c>
      <c r="M29" s="7"/>
    </row>
    <row r="30" spans="1:13" x14ac:dyDescent="0.25">
      <c r="A30" s="1" t="s">
        <v>745</v>
      </c>
      <c r="B30" s="228">
        <f>ROUND(N('Prior Year'!R85), 0)</f>
        <v>26654420</v>
      </c>
      <c r="C30" s="228">
        <f>data!R85</f>
        <v>19601838.739999995</v>
      </c>
      <c r="D30" s="228">
        <f>ROUND(N('Prior Year'!R59), 0)</f>
        <v>0</v>
      </c>
      <c r="E30" s="1">
        <f>data!R59</f>
        <v>0</v>
      </c>
      <c r="F30" s="205" t="str">
        <f t="shared" si="0"/>
        <v/>
      </c>
      <c r="G30" s="205" t="str">
        <f>IFERROR(IF(C30=0,"",IF(E30=0,"",C30/E30)),"")</f>
        <v/>
      </c>
      <c r="H30" s="6" t="str">
        <f t="shared" si="2"/>
        <v/>
      </c>
      <c r="I30" s="228" t="str">
        <f t="shared" si="3"/>
        <v/>
      </c>
      <c r="M30" s="7"/>
    </row>
    <row r="31" spans="1:13" x14ac:dyDescent="0.25">
      <c r="A31" s="1" t="s">
        <v>746</v>
      </c>
      <c r="B31" s="228">
        <f>ROUND(N('Prior Year'!S85), 0)</f>
        <v>9508382</v>
      </c>
      <c r="C31" s="228">
        <f>data!S85</f>
        <v>4531602.66</v>
      </c>
      <c r="D31" s="228" t="s">
        <v>747</v>
      </c>
      <c r="E31" s="4" t="s">
        <v>747</v>
      </c>
      <c r="F31" s="205" t="s">
        <v>297</v>
      </c>
      <c r="G31" s="205" t="str">
        <f>IFERROR(IF(C31=0,"",IF(E31=0,"",C31/E31)),"")</f>
        <v/>
      </c>
      <c r="H31" s="6" t="s">
        <v>297</v>
      </c>
      <c r="I31" s="228" t="str">
        <f t="shared" si="3"/>
        <v/>
      </c>
      <c r="M31" s="7"/>
    </row>
    <row r="32" spans="1:13" x14ac:dyDescent="0.25">
      <c r="A32" s="1" t="s">
        <v>748</v>
      </c>
      <c r="B32" s="228">
        <f>ROUND(N('Prior Year'!T85), 0)</f>
        <v>33623649</v>
      </c>
      <c r="C32" s="228">
        <f>data!T85</f>
        <v>0</v>
      </c>
      <c r="D32" s="228" t="s">
        <v>747</v>
      </c>
      <c r="E32" s="4" t="s">
        <v>747</v>
      </c>
      <c r="F32" s="205" t="s">
        <v>297</v>
      </c>
      <c r="G32" s="205" t="str">
        <f>IFERROR(IF(C32=0,"",IF(E32=0,"",C32/E32)),"")</f>
        <v/>
      </c>
      <c r="H32" s="6" t="s">
        <v>297</v>
      </c>
      <c r="I32" s="228" t="str">
        <f t="shared" si="3"/>
        <v/>
      </c>
      <c r="M32" s="7"/>
    </row>
    <row r="33" spans="1:13" x14ac:dyDescent="0.25">
      <c r="A33" s="1" t="s">
        <v>749</v>
      </c>
      <c r="B33" s="228">
        <f>ROUND(N('Prior Year'!U85), 0)</f>
        <v>75223956</v>
      </c>
      <c r="C33" s="228">
        <f>data!U85</f>
        <v>140182190.15999997</v>
      </c>
      <c r="D33" s="228">
        <f>ROUND(N('Prior Year'!U59), 0)</f>
        <v>0</v>
      </c>
      <c r="E33" s="1">
        <f>data!U59</f>
        <v>1873775</v>
      </c>
      <c r="F33" s="205" t="str">
        <f t="shared" si="0"/>
        <v/>
      </c>
      <c r="G33" s="205">
        <f t="shared" ref="G33:G69" si="4">IF(C33=0,"",IF(E33=0,"",C33/E33))</f>
        <v>74.812712390761945</v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28" t="str">
        <f t="shared" si="3"/>
        <v/>
      </c>
      <c r="M33" s="7"/>
    </row>
    <row r="34" spans="1:13" x14ac:dyDescent="0.25">
      <c r="A34" s="1" t="s">
        <v>750</v>
      </c>
      <c r="B34" s="228">
        <f>ROUND(N('Prior Year'!V85), 0)</f>
        <v>152</v>
      </c>
      <c r="C34" s="228">
        <f>data!V85</f>
        <v>0</v>
      </c>
      <c r="D34" s="228">
        <f>ROUND(N('Prior Year'!V59), 0)</f>
        <v>0</v>
      </c>
      <c r="E34" s="1">
        <f>data!V59</f>
        <v>0</v>
      </c>
      <c r="F34" s="205" t="str">
        <f t="shared" si="0"/>
        <v/>
      </c>
      <c r="G34" s="205" t="str">
        <f t="shared" si="4"/>
        <v/>
      </c>
      <c r="H34" s="6" t="str">
        <f t="shared" si="5"/>
        <v/>
      </c>
      <c r="I34" s="228" t="str">
        <f t="shared" si="3"/>
        <v/>
      </c>
      <c r="M34" s="7"/>
    </row>
    <row r="35" spans="1:13" x14ac:dyDescent="0.25">
      <c r="A35" s="1" t="s">
        <v>751</v>
      </c>
      <c r="B35" s="228">
        <f>ROUND(N('Prior Year'!W85), 0)</f>
        <v>11455606</v>
      </c>
      <c r="C35" s="228">
        <f>data!W85</f>
        <v>10689334.690000001</v>
      </c>
      <c r="D35" s="228">
        <f>ROUND(N('Prior Year'!W59), 0)</f>
        <v>0</v>
      </c>
      <c r="E35" s="1">
        <f>data!W59</f>
        <v>49529</v>
      </c>
      <c r="F35" s="205" t="str">
        <f t="shared" si="0"/>
        <v/>
      </c>
      <c r="G35" s="205">
        <f t="shared" si="4"/>
        <v>215.8197155202003</v>
      </c>
      <c r="H35" s="6" t="str">
        <f t="shared" si="5"/>
        <v/>
      </c>
      <c r="I35" s="228" t="str">
        <f t="shared" si="3"/>
        <v/>
      </c>
      <c r="M35" s="7"/>
    </row>
    <row r="36" spans="1:13" x14ac:dyDescent="0.25">
      <c r="A36" s="1" t="s">
        <v>752</v>
      </c>
      <c r="B36" s="228">
        <f>ROUND(N('Prior Year'!X85), 0)</f>
        <v>4978081</v>
      </c>
      <c r="C36" s="228">
        <f>data!X85</f>
        <v>17593127.459999997</v>
      </c>
      <c r="D36" s="228">
        <f>ROUND(N('Prior Year'!X59), 0)</f>
        <v>0</v>
      </c>
      <c r="E36" s="1">
        <f>data!X59</f>
        <v>83810</v>
      </c>
      <c r="F36" s="205" t="str">
        <f t="shared" si="0"/>
        <v/>
      </c>
      <c r="G36" s="205">
        <f t="shared" si="4"/>
        <v>209.91680539315115</v>
      </c>
      <c r="H36" s="6" t="str">
        <f t="shared" si="5"/>
        <v/>
      </c>
      <c r="I36" s="228" t="str">
        <f t="shared" si="3"/>
        <v/>
      </c>
      <c r="M36" s="7"/>
    </row>
    <row r="37" spans="1:13" x14ac:dyDescent="0.25">
      <c r="A37" s="1" t="s">
        <v>753</v>
      </c>
      <c r="B37" s="228">
        <f>ROUND(N('Prior Year'!Y85), 0)</f>
        <v>37700267</v>
      </c>
      <c r="C37" s="228">
        <f>data!Y85</f>
        <v>30812405.270000003</v>
      </c>
      <c r="D37" s="228">
        <f>ROUND(N('Prior Year'!Y59), 0)</f>
        <v>0</v>
      </c>
      <c r="E37" s="1">
        <f>data!Y59</f>
        <v>246741</v>
      </c>
      <c r="F37" s="205" t="str">
        <f t="shared" si="0"/>
        <v/>
      </c>
      <c r="G37" s="205">
        <f t="shared" si="4"/>
        <v>124.87752448924176</v>
      </c>
      <c r="H37" s="6" t="str">
        <f t="shared" si="5"/>
        <v/>
      </c>
      <c r="I37" s="228" t="str">
        <f t="shared" si="3"/>
        <v/>
      </c>
      <c r="M37" s="7"/>
    </row>
    <row r="38" spans="1:13" x14ac:dyDescent="0.25">
      <c r="A38" s="1" t="s">
        <v>754</v>
      </c>
      <c r="B38" s="228">
        <f>ROUND(N('Prior Year'!Z85), 0)</f>
        <v>30262959</v>
      </c>
      <c r="C38" s="228">
        <f>data!Z85</f>
        <v>0</v>
      </c>
      <c r="D38" s="228">
        <f>ROUND(N('Prior Year'!Z59), 0)</f>
        <v>0</v>
      </c>
      <c r="E38" s="1">
        <f>data!Z59</f>
        <v>0</v>
      </c>
      <c r="F38" s="205" t="str">
        <f t="shared" si="0"/>
        <v/>
      </c>
      <c r="G38" s="205" t="str">
        <f t="shared" si="4"/>
        <v/>
      </c>
      <c r="H38" s="6" t="str">
        <f t="shared" si="5"/>
        <v/>
      </c>
      <c r="I38" s="228" t="str">
        <f t="shared" si="3"/>
        <v/>
      </c>
      <c r="M38" s="7"/>
    </row>
    <row r="39" spans="1:13" x14ac:dyDescent="0.25">
      <c r="A39" s="1" t="s">
        <v>755</v>
      </c>
      <c r="B39" s="228">
        <f>ROUND(N('Prior Year'!AA85), 0)</f>
        <v>1390024</v>
      </c>
      <c r="C39" s="228">
        <f>data!AA85</f>
        <v>2153510.34</v>
      </c>
      <c r="D39" s="228">
        <f>ROUND(N('Prior Year'!AA59), 0)</f>
        <v>0</v>
      </c>
      <c r="E39" s="1">
        <f>data!AA59</f>
        <v>2165</v>
      </c>
      <c r="F39" s="205" t="str">
        <f t="shared" si="0"/>
        <v/>
      </c>
      <c r="G39" s="205">
        <f t="shared" si="4"/>
        <v>994.69299769053112</v>
      </c>
      <c r="H39" s="6" t="str">
        <f t="shared" si="5"/>
        <v/>
      </c>
      <c r="I39" s="228" t="str">
        <f t="shared" si="3"/>
        <v/>
      </c>
      <c r="M39" s="7"/>
    </row>
    <row r="40" spans="1:13" x14ac:dyDescent="0.25">
      <c r="A40" s="1" t="s">
        <v>756</v>
      </c>
      <c r="B40" s="228">
        <f>ROUND(N('Prior Year'!AB85), 0)</f>
        <v>152173484</v>
      </c>
      <c r="C40" s="228">
        <f>data!AB85</f>
        <v>219205997.19</v>
      </c>
      <c r="D40" s="228" t="s">
        <v>747</v>
      </c>
      <c r="E40" s="4" t="s">
        <v>747</v>
      </c>
      <c r="F40" s="205" t="s">
        <v>297</v>
      </c>
      <c r="G40" s="205" t="str">
        <f>IFERROR(IF(C40=0,"",IF(E40=0,"",C40/E40)),"")</f>
        <v/>
      </c>
      <c r="H40" s="6" t="s">
        <v>297</v>
      </c>
      <c r="I40" s="228" t="str">
        <f t="shared" si="3"/>
        <v/>
      </c>
      <c r="M40" s="7"/>
    </row>
    <row r="41" spans="1:13" x14ac:dyDescent="0.25">
      <c r="A41" s="1" t="s">
        <v>757</v>
      </c>
      <c r="B41" s="228">
        <f>ROUND(N('Prior Year'!AC85), 0)</f>
        <v>10129825</v>
      </c>
      <c r="C41" s="228">
        <f>data!AC85</f>
        <v>13764414.500000002</v>
      </c>
      <c r="D41" s="228">
        <f>ROUND(N('Prior Year'!AC59), 0)</f>
        <v>0</v>
      </c>
      <c r="E41" s="1">
        <f>data!AC59</f>
        <v>206921</v>
      </c>
      <c r="F41" s="205" t="str">
        <f t="shared" si="0"/>
        <v/>
      </c>
      <c r="G41" s="205">
        <f t="shared" si="4"/>
        <v>66.520142953107722</v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28" t="str">
        <f t="shared" si="3"/>
        <v/>
      </c>
      <c r="M41" s="7"/>
    </row>
    <row r="42" spans="1:13" x14ac:dyDescent="0.25">
      <c r="A42" s="1" t="s">
        <v>758</v>
      </c>
      <c r="B42" s="228">
        <f>ROUND(N('Prior Year'!AD85), 0)</f>
        <v>2587697</v>
      </c>
      <c r="C42" s="228">
        <f>data!AD85</f>
        <v>3238138.27</v>
      </c>
      <c r="D42" s="228">
        <f>ROUND(N('Prior Year'!AD59), 0)</f>
        <v>0</v>
      </c>
      <c r="E42" s="1">
        <f>data!AD59</f>
        <v>0</v>
      </c>
      <c r="F42" s="205" t="str">
        <f t="shared" si="0"/>
        <v/>
      </c>
      <c r="G42" s="205" t="str">
        <f t="shared" si="4"/>
        <v/>
      </c>
      <c r="H42" s="6" t="str">
        <f t="shared" si="6"/>
        <v/>
      </c>
      <c r="I42" s="228" t="str">
        <f t="shared" si="3"/>
        <v/>
      </c>
      <c r="M42" s="7"/>
    </row>
    <row r="43" spans="1:13" x14ac:dyDescent="0.25">
      <c r="A43" s="1" t="s">
        <v>759</v>
      </c>
      <c r="B43" s="228">
        <f>ROUND(N('Prior Year'!AE85), 0)</f>
        <v>3770659</v>
      </c>
      <c r="C43" s="228">
        <f>data!AE85</f>
        <v>14818.16</v>
      </c>
      <c r="D43" s="228">
        <f>ROUND(N('Prior Year'!AE59), 0)</f>
        <v>0</v>
      </c>
      <c r="E43" s="1">
        <f>data!AE59</f>
        <v>0</v>
      </c>
      <c r="F43" s="205" t="str">
        <f t="shared" si="0"/>
        <v/>
      </c>
      <c r="G43" s="205" t="str">
        <f t="shared" si="4"/>
        <v/>
      </c>
      <c r="H43" s="6" t="str">
        <f t="shared" si="6"/>
        <v/>
      </c>
      <c r="I43" s="228" t="str">
        <f t="shared" si="3"/>
        <v/>
      </c>
      <c r="M43" s="7"/>
    </row>
    <row r="44" spans="1:13" x14ac:dyDescent="0.25">
      <c r="A44" s="1" t="s">
        <v>760</v>
      </c>
      <c r="B44" s="228">
        <f>ROUND(N('Prior Year'!AF85), 0)</f>
        <v>0</v>
      </c>
      <c r="C44" s="228">
        <f>data!AF85</f>
        <v>-994.25999999999976</v>
      </c>
      <c r="D44" s="228">
        <f>ROUND(N('Prior Year'!AF59), 0)</f>
        <v>0</v>
      </c>
      <c r="E44" s="1">
        <f>data!AF59</f>
        <v>0</v>
      </c>
      <c r="F44" s="205" t="str">
        <f t="shared" si="0"/>
        <v/>
      </c>
      <c r="G44" s="205" t="str">
        <f t="shared" si="4"/>
        <v/>
      </c>
      <c r="H44" s="6" t="str">
        <f t="shared" si="6"/>
        <v/>
      </c>
      <c r="I44" s="228" t="str">
        <f t="shared" si="3"/>
        <v/>
      </c>
      <c r="M44" s="7"/>
    </row>
    <row r="45" spans="1:13" x14ac:dyDescent="0.25">
      <c r="A45" s="1" t="s">
        <v>761</v>
      </c>
      <c r="B45" s="228">
        <f>ROUND(N('Prior Year'!AG85), 0)</f>
        <v>61631065</v>
      </c>
      <c r="C45" s="228">
        <f>data!AG85</f>
        <v>84473022.520000026</v>
      </c>
      <c r="D45" s="228">
        <f>ROUND(N('Prior Year'!AG59), 0)</f>
        <v>0</v>
      </c>
      <c r="E45" s="1">
        <f>data!AG59</f>
        <v>136782</v>
      </c>
      <c r="F45" s="205" t="str">
        <f t="shared" si="0"/>
        <v/>
      </c>
      <c r="G45" s="205">
        <f t="shared" si="4"/>
        <v>617.57411443026149</v>
      </c>
      <c r="H45" s="6" t="str">
        <f t="shared" si="6"/>
        <v/>
      </c>
      <c r="I45" s="228" t="str">
        <f t="shared" si="3"/>
        <v/>
      </c>
      <c r="M45" s="7"/>
    </row>
    <row r="46" spans="1:13" x14ac:dyDescent="0.25">
      <c r="A46" s="1" t="s">
        <v>762</v>
      </c>
      <c r="B46" s="228">
        <f>ROUND(N('Prior Year'!AH85), 0)</f>
        <v>0</v>
      </c>
      <c r="C46" s="228">
        <f>data!AH85</f>
        <v>0</v>
      </c>
      <c r="D46" s="228">
        <f>ROUND(N('Prior Year'!AH59), 0)</f>
        <v>0</v>
      </c>
      <c r="E46" s="1">
        <f>data!AH59</f>
        <v>0</v>
      </c>
      <c r="F46" s="205" t="str">
        <f t="shared" si="0"/>
        <v/>
      </c>
      <c r="G46" s="205" t="str">
        <f t="shared" si="4"/>
        <v/>
      </c>
      <c r="H46" s="6" t="str">
        <f t="shared" si="6"/>
        <v/>
      </c>
      <c r="I46" s="228" t="str">
        <f t="shared" si="3"/>
        <v/>
      </c>
      <c r="M46" s="7"/>
    </row>
    <row r="47" spans="1:13" x14ac:dyDescent="0.25">
      <c r="A47" s="1" t="s">
        <v>763</v>
      </c>
      <c r="B47" s="228">
        <f>ROUND(N('Prior Year'!AI85), 0)</f>
        <v>5268072</v>
      </c>
      <c r="C47" s="228">
        <f>data!AI85</f>
        <v>0</v>
      </c>
      <c r="D47" s="228">
        <f>ROUND(N('Prior Year'!AI59), 0)</f>
        <v>0</v>
      </c>
      <c r="E47" s="1">
        <f>data!AI59</f>
        <v>0</v>
      </c>
      <c r="F47" s="205" t="str">
        <f t="shared" si="0"/>
        <v/>
      </c>
      <c r="G47" s="205" t="str">
        <f t="shared" si="4"/>
        <v/>
      </c>
      <c r="H47" s="6" t="str">
        <f t="shared" si="6"/>
        <v/>
      </c>
      <c r="I47" s="228" t="str">
        <f t="shared" ref="I47:I78" si="7">IF(H47 = "", "", IF(ABS(H47) &gt; 25 %, "Please provide explanation for the fluctuation noted here", ""))</f>
        <v/>
      </c>
      <c r="M47" s="7"/>
    </row>
    <row r="48" spans="1:13" x14ac:dyDescent="0.25">
      <c r="A48" s="1" t="s">
        <v>764</v>
      </c>
      <c r="B48" s="228">
        <f>ROUND(N('Prior Year'!AJ85), 0)</f>
        <v>33510992</v>
      </c>
      <c r="C48" s="228">
        <f>data!AJ85</f>
        <v>2630043.4400000004</v>
      </c>
      <c r="D48" s="228">
        <f>ROUND(N('Prior Year'!AJ59), 0)</f>
        <v>0</v>
      </c>
      <c r="E48" s="1">
        <f>data!AJ59</f>
        <v>0</v>
      </c>
      <c r="F48" s="205" t="str">
        <f t="shared" si="0"/>
        <v/>
      </c>
      <c r="G48" s="205" t="str">
        <f t="shared" si="4"/>
        <v/>
      </c>
      <c r="H48" s="6" t="str">
        <f t="shared" si="6"/>
        <v/>
      </c>
      <c r="I48" s="228" t="str">
        <f t="shared" si="7"/>
        <v/>
      </c>
      <c r="M48" s="7"/>
    </row>
    <row r="49" spans="1:13" x14ac:dyDescent="0.25">
      <c r="A49" s="1" t="s">
        <v>765</v>
      </c>
      <c r="B49" s="228">
        <f>ROUND(N('Prior Year'!AK85), 0)</f>
        <v>122955</v>
      </c>
      <c r="C49" s="228">
        <f>data!AK85</f>
        <v>5473478.7000000002</v>
      </c>
      <c r="D49" s="228">
        <f>ROUND(N('Prior Year'!AK59), 0)</f>
        <v>0</v>
      </c>
      <c r="E49" s="1">
        <f>data!AK59</f>
        <v>57077</v>
      </c>
      <c r="F49" s="205" t="str">
        <f t="shared" si="0"/>
        <v/>
      </c>
      <c r="G49" s="205">
        <f t="shared" si="4"/>
        <v>95.896397848520422</v>
      </c>
      <c r="H49" s="6" t="str">
        <f t="shared" si="6"/>
        <v/>
      </c>
      <c r="I49" s="228" t="str">
        <f t="shared" si="7"/>
        <v/>
      </c>
      <c r="M49" s="7"/>
    </row>
    <row r="50" spans="1:13" x14ac:dyDescent="0.25">
      <c r="A50" s="1" t="s">
        <v>766</v>
      </c>
      <c r="B50" s="228">
        <f>ROUND(N('Prior Year'!AL85), 0)</f>
        <v>1160816</v>
      </c>
      <c r="C50" s="228">
        <f>data!AL85</f>
        <v>1668269.14</v>
      </c>
      <c r="D50" s="228">
        <f>ROUND(N('Prior Year'!AL59), 0)</f>
        <v>0</v>
      </c>
      <c r="E50" s="1">
        <f>data!AL59</f>
        <v>9424</v>
      </c>
      <c r="F50" s="205" t="str">
        <f t="shared" si="0"/>
        <v/>
      </c>
      <c r="G50" s="205">
        <f t="shared" si="4"/>
        <v>177.02346561969438</v>
      </c>
      <c r="H50" s="6" t="str">
        <f t="shared" si="6"/>
        <v/>
      </c>
      <c r="I50" s="228" t="str">
        <f t="shared" si="7"/>
        <v/>
      </c>
      <c r="M50" s="7"/>
    </row>
    <row r="51" spans="1:13" x14ac:dyDescent="0.25">
      <c r="A51" s="1" t="s">
        <v>767</v>
      </c>
      <c r="B51" s="228">
        <f>ROUND(N('Prior Year'!AM85), 0)</f>
        <v>0</v>
      </c>
      <c r="C51" s="228">
        <f>data!AM85</f>
        <v>0</v>
      </c>
      <c r="D51" s="228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4"/>
        <v/>
      </c>
      <c r="H51" s="6" t="str">
        <f t="shared" si="6"/>
        <v/>
      </c>
      <c r="I51" s="228" t="str">
        <f t="shared" si="7"/>
        <v/>
      </c>
      <c r="M51" s="7"/>
    </row>
    <row r="52" spans="1:13" x14ac:dyDescent="0.25">
      <c r="A52" s="1" t="s">
        <v>768</v>
      </c>
      <c r="B52" s="228">
        <f>ROUND(N('Prior Year'!AN85), 0)</f>
        <v>0</v>
      </c>
      <c r="C52" s="228">
        <f>data!AN85</f>
        <v>0</v>
      </c>
      <c r="D52" s="228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4"/>
        <v/>
      </c>
      <c r="H52" s="6" t="str">
        <f t="shared" si="6"/>
        <v/>
      </c>
      <c r="I52" s="228" t="str">
        <f t="shared" si="7"/>
        <v/>
      </c>
      <c r="M52" s="7"/>
    </row>
    <row r="53" spans="1:13" x14ac:dyDescent="0.25">
      <c r="A53" s="1" t="s">
        <v>769</v>
      </c>
      <c r="B53" s="228">
        <f>ROUND(N('Prior Year'!AO85), 0)</f>
        <v>0</v>
      </c>
      <c r="C53" s="228">
        <f>data!AO85</f>
        <v>19938301.370000001</v>
      </c>
      <c r="D53" s="228">
        <f>ROUND(N('Prior Year'!AO59), 0)</f>
        <v>0</v>
      </c>
      <c r="E53" s="1">
        <f>data!AO59</f>
        <v>0</v>
      </c>
      <c r="F53" s="205" t="str">
        <f t="shared" si="0"/>
        <v/>
      </c>
      <c r="G53" s="205" t="str">
        <f t="shared" si="4"/>
        <v/>
      </c>
      <c r="H53" s="6" t="str">
        <f t="shared" si="6"/>
        <v/>
      </c>
      <c r="I53" s="228" t="str">
        <f t="shared" si="7"/>
        <v/>
      </c>
      <c r="M53" s="7"/>
    </row>
    <row r="54" spans="1:13" x14ac:dyDescent="0.25">
      <c r="A54" s="1" t="s">
        <v>770</v>
      </c>
      <c r="B54" s="228">
        <f>ROUND(N('Prior Year'!AP85), 0)</f>
        <v>0</v>
      </c>
      <c r="C54" s="228">
        <f>data!AP85</f>
        <v>0</v>
      </c>
      <c r="D54" s="228">
        <f>ROUND(N('Prior Year'!AP59), 0)</f>
        <v>0</v>
      </c>
      <c r="E54" s="1">
        <f>data!AP59</f>
        <v>0</v>
      </c>
      <c r="F54" s="205" t="str">
        <f t="shared" si="0"/>
        <v/>
      </c>
      <c r="G54" s="205" t="str">
        <f t="shared" si="4"/>
        <v/>
      </c>
      <c r="H54" s="6" t="str">
        <f t="shared" si="6"/>
        <v/>
      </c>
      <c r="I54" s="228" t="str">
        <f t="shared" si="7"/>
        <v/>
      </c>
      <c r="M54" s="7"/>
    </row>
    <row r="55" spans="1:13" x14ac:dyDescent="0.25">
      <c r="A55" s="1" t="s">
        <v>771</v>
      </c>
      <c r="B55" s="228">
        <f>ROUND(N('Prior Year'!AQ85), 0)</f>
        <v>0</v>
      </c>
      <c r="C55" s="228">
        <f>data!AQ85</f>
        <v>0</v>
      </c>
      <c r="D55" s="228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4"/>
        <v/>
      </c>
      <c r="H55" s="6" t="str">
        <f t="shared" si="6"/>
        <v/>
      </c>
      <c r="I55" s="228" t="str">
        <f t="shared" si="7"/>
        <v/>
      </c>
      <c r="M55" s="7"/>
    </row>
    <row r="56" spans="1:13" x14ac:dyDescent="0.25">
      <c r="A56" s="1" t="s">
        <v>772</v>
      </c>
      <c r="B56" s="228">
        <f>ROUND(N('Prior Year'!AR85), 0)</f>
        <v>0</v>
      </c>
      <c r="C56" s="228">
        <f>data!AR85</f>
        <v>1009995.1799999999</v>
      </c>
      <c r="D56" s="228">
        <f>ROUND(N('Prior Year'!AR59), 0)</f>
        <v>0</v>
      </c>
      <c r="E56" s="1">
        <f>data!AR59</f>
        <v>0</v>
      </c>
      <c r="F56" s="205" t="str">
        <f t="shared" si="0"/>
        <v/>
      </c>
      <c r="G56" s="205" t="str">
        <f t="shared" si="4"/>
        <v/>
      </c>
      <c r="H56" s="6" t="str">
        <f t="shared" si="6"/>
        <v/>
      </c>
      <c r="I56" s="228" t="str">
        <f t="shared" si="7"/>
        <v/>
      </c>
      <c r="M56" s="7"/>
    </row>
    <row r="57" spans="1:13" x14ac:dyDescent="0.25">
      <c r="A57" s="1" t="s">
        <v>773</v>
      </c>
      <c r="B57" s="228">
        <f>ROUND(N('Prior Year'!AS85), 0)</f>
        <v>0</v>
      </c>
      <c r="C57" s="228">
        <f>data!AS85</f>
        <v>0</v>
      </c>
      <c r="D57" s="228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4"/>
        <v/>
      </c>
      <c r="H57" s="6" t="str">
        <f t="shared" si="6"/>
        <v/>
      </c>
      <c r="I57" s="228" t="str">
        <f t="shared" si="7"/>
        <v/>
      </c>
      <c r="M57" s="7"/>
    </row>
    <row r="58" spans="1:13" x14ac:dyDescent="0.25">
      <c r="A58" s="1" t="s">
        <v>774</v>
      </c>
      <c r="B58" s="228">
        <f>ROUND(N('Prior Year'!AT85), 0)</f>
        <v>0</v>
      </c>
      <c r="C58" s="228">
        <f>data!AT85</f>
        <v>0</v>
      </c>
      <c r="D58" s="228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4"/>
        <v/>
      </c>
      <c r="H58" s="6" t="str">
        <f t="shared" si="6"/>
        <v/>
      </c>
      <c r="I58" s="228" t="str">
        <f t="shared" si="7"/>
        <v/>
      </c>
      <c r="M58" s="7"/>
    </row>
    <row r="59" spans="1:13" x14ac:dyDescent="0.25">
      <c r="A59" s="1" t="s">
        <v>775</v>
      </c>
      <c r="B59" s="228">
        <f>ROUND(N('Prior Year'!AU85), 0)</f>
        <v>0</v>
      </c>
      <c r="C59" s="228">
        <f>data!AU85</f>
        <v>0</v>
      </c>
      <c r="D59" s="228">
        <f>ROUND(N('Prior Year'!AU59), 0)</f>
        <v>0</v>
      </c>
      <c r="E59" s="1">
        <f>data!AU59</f>
        <v>0</v>
      </c>
      <c r="F59" s="205" t="str">
        <f t="shared" si="0"/>
        <v/>
      </c>
      <c r="G59" s="205" t="str">
        <f t="shared" si="4"/>
        <v/>
      </c>
      <c r="H59" s="6" t="str">
        <f t="shared" si="6"/>
        <v/>
      </c>
      <c r="I59" s="228" t="str">
        <f t="shared" si="7"/>
        <v/>
      </c>
      <c r="M59" s="7"/>
    </row>
    <row r="60" spans="1:13" x14ac:dyDescent="0.25">
      <c r="A60" s="1" t="s">
        <v>776</v>
      </c>
      <c r="B60" s="228">
        <f>ROUND(N('Prior Year'!AV85), 0)</f>
        <v>48552060</v>
      </c>
      <c r="C60" s="228">
        <f>data!AV85</f>
        <v>12838164.65</v>
      </c>
      <c r="D60" s="228" t="s">
        <v>747</v>
      </c>
      <c r="E60" s="4" t="s">
        <v>747</v>
      </c>
      <c r="F60" s="205" t="s">
        <v>297</v>
      </c>
      <c r="G60" s="205"/>
      <c r="H60" s="6" t="s">
        <v>297</v>
      </c>
      <c r="I60" s="228" t="str">
        <f t="shared" si="7"/>
        <v/>
      </c>
      <c r="M60" s="7"/>
    </row>
    <row r="61" spans="1:13" x14ac:dyDescent="0.25">
      <c r="A61" s="1" t="s">
        <v>777</v>
      </c>
      <c r="B61" s="228">
        <f>ROUND(N('Prior Year'!AW85), 0)</f>
        <v>14779020</v>
      </c>
      <c r="C61" s="228">
        <f>data!AW85</f>
        <v>7607240.4999999991</v>
      </c>
      <c r="D61" s="228" t="s">
        <v>747</v>
      </c>
      <c r="E61" s="4" t="s">
        <v>747</v>
      </c>
      <c r="F61" s="205" t="s">
        <v>297</v>
      </c>
      <c r="G61" s="205"/>
      <c r="H61" s="6" t="s">
        <v>297</v>
      </c>
      <c r="I61" s="228" t="str">
        <f t="shared" si="7"/>
        <v/>
      </c>
      <c r="M61" s="7"/>
    </row>
    <row r="62" spans="1:13" x14ac:dyDescent="0.25">
      <c r="A62" s="1" t="s">
        <v>778</v>
      </c>
      <c r="B62" s="228">
        <f>ROUND(N('Prior Year'!AX85), 0)</f>
        <v>0</v>
      </c>
      <c r="C62" s="228">
        <f>data!AX85</f>
        <v>0</v>
      </c>
      <c r="D62" s="228" t="s">
        <v>747</v>
      </c>
      <c r="E62" s="4" t="s">
        <v>747</v>
      </c>
      <c r="F62" s="205" t="s">
        <v>297</v>
      </c>
      <c r="G62" s="205"/>
      <c r="H62" s="6" t="s">
        <v>297</v>
      </c>
      <c r="I62" s="228" t="str">
        <f t="shared" si="7"/>
        <v/>
      </c>
      <c r="M62" s="7"/>
    </row>
    <row r="63" spans="1:13" x14ac:dyDescent="0.25">
      <c r="A63" s="1" t="s">
        <v>779</v>
      </c>
      <c r="B63" s="228">
        <f>ROUND(N('Prior Year'!AY85), 0)</f>
        <v>1250958</v>
      </c>
      <c r="C63" s="228">
        <f>data!AY85</f>
        <v>198048.90999999968</v>
      </c>
      <c r="D63" s="228">
        <f>ROUND(N('Prior Year'!AY59), 0)</f>
        <v>388780</v>
      </c>
      <c r="E63" s="1">
        <f>data!AY59</f>
        <v>384908</v>
      </c>
      <c r="F63" s="205">
        <f>IF(B63=0,"",IF(D63=0,"",B63/D63))</f>
        <v>3.2176500848809093</v>
      </c>
      <c r="G63" s="205">
        <f t="shared" si="4"/>
        <v>0.5145357072339356</v>
      </c>
      <c r="H63" s="6">
        <f>IF(B63 = 0, "", IF(C63 = 0, "", IF(D63 = 0, "", IF(E63 = 0, "", IF(G63 / F63 - 1 &lt; -0.25, G63 / F63 - 1, IF(G63 / F63 - 1 &gt; 0.25, G63 / F63 - 1, ""))))))</f>
        <v>-0.84008960152266543</v>
      </c>
      <c r="I63" s="228" t="s">
        <v>1367</v>
      </c>
      <c r="M63" s="7"/>
    </row>
    <row r="64" spans="1:13" x14ac:dyDescent="0.25">
      <c r="A64" s="1" t="s">
        <v>780</v>
      </c>
      <c r="B64" s="228">
        <f>ROUND(N('Prior Year'!AZ85), 0)</f>
        <v>0</v>
      </c>
      <c r="C64" s="228">
        <f>data!AZ85</f>
        <v>0</v>
      </c>
      <c r="D64" s="228">
        <f>ROUND(N('Prior Year'!AZ59), 0)</f>
        <v>0</v>
      </c>
      <c r="E64" s="1">
        <f>data!AZ59</f>
        <v>0</v>
      </c>
      <c r="F64" s="205" t="str">
        <f>IF(B64=0,"",IF(D64=0,"",B64/D64))</f>
        <v/>
      </c>
      <c r="G64" s="205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8" t="str">
        <f t="shared" si="7"/>
        <v/>
      </c>
      <c r="M64" s="7"/>
    </row>
    <row r="65" spans="1:13" x14ac:dyDescent="0.25">
      <c r="A65" s="1" t="s">
        <v>781</v>
      </c>
      <c r="B65" s="228">
        <f>ROUND(N('Prior Year'!BA85), 0)</f>
        <v>0</v>
      </c>
      <c r="C65" s="228">
        <f>data!BA85</f>
        <v>0</v>
      </c>
      <c r="D65" s="228">
        <f>ROUND(N('Prior Year'!BA59), 0)</f>
        <v>0</v>
      </c>
      <c r="E65" s="1">
        <f>data!BA59</f>
        <v>0</v>
      </c>
      <c r="F65" s="205" t="str">
        <f>IF(B65=0,"",IF(D65=0,"",B65/D65))</f>
        <v/>
      </c>
      <c r="G65" s="205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8" t="str">
        <f t="shared" si="7"/>
        <v/>
      </c>
      <c r="M65" s="7"/>
    </row>
    <row r="66" spans="1:13" x14ac:dyDescent="0.25">
      <c r="A66" s="1" t="s">
        <v>782</v>
      </c>
      <c r="B66" s="228">
        <f>ROUND(N('Prior Year'!BB85), 0)</f>
        <v>3810613</v>
      </c>
      <c r="C66" s="228">
        <f>data!BB85</f>
        <v>22897.390000001062</v>
      </c>
      <c r="D66" s="228" t="s">
        <v>747</v>
      </c>
      <c r="E66" s="4" t="s">
        <v>747</v>
      </c>
      <c r="F66" s="205" t="s">
        <v>297</v>
      </c>
      <c r="G66" s="205" t="str">
        <f t="shared" ref="G66:G68" si="8">IFERROR(IF(C66=0,"",IF(E66=0,"",C66/E66)),"")</f>
        <v/>
      </c>
      <c r="H66" s="6" t="s">
        <v>297</v>
      </c>
      <c r="I66" s="228" t="str">
        <f t="shared" si="7"/>
        <v/>
      </c>
      <c r="M66" s="7"/>
    </row>
    <row r="67" spans="1:13" x14ac:dyDescent="0.25">
      <c r="A67" s="1" t="s">
        <v>783</v>
      </c>
      <c r="B67" s="228">
        <f>ROUND(N('Prior Year'!BC85), 0)</f>
        <v>2042736</v>
      </c>
      <c r="C67" s="228">
        <f>data!BC85</f>
        <v>4088.9099999999089</v>
      </c>
      <c r="D67" s="228" t="s">
        <v>747</v>
      </c>
      <c r="E67" s="4" t="s">
        <v>747</v>
      </c>
      <c r="F67" s="205" t="s">
        <v>297</v>
      </c>
      <c r="G67" s="205" t="str">
        <f t="shared" si="8"/>
        <v/>
      </c>
      <c r="H67" s="6" t="s">
        <v>297</v>
      </c>
      <c r="I67" s="228" t="str">
        <f t="shared" si="7"/>
        <v/>
      </c>
      <c r="M67" s="7"/>
    </row>
    <row r="68" spans="1:13" x14ac:dyDescent="0.25">
      <c r="A68" s="1" t="s">
        <v>784</v>
      </c>
      <c r="B68" s="228">
        <f>ROUND(N('Prior Year'!BD85), 0)</f>
        <v>962538</v>
      </c>
      <c r="C68" s="228">
        <f>data!BD85</f>
        <v>0</v>
      </c>
      <c r="D68" s="228" t="s">
        <v>747</v>
      </c>
      <c r="E68" s="4" t="s">
        <v>747</v>
      </c>
      <c r="F68" s="205" t="s">
        <v>297</v>
      </c>
      <c r="G68" s="205" t="str">
        <f t="shared" si="8"/>
        <v/>
      </c>
      <c r="H68" s="6" t="s">
        <v>297</v>
      </c>
      <c r="I68" s="228" t="str">
        <f t="shared" si="7"/>
        <v/>
      </c>
      <c r="M68" s="7"/>
    </row>
    <row r="69" spans="1:13" x14ac:dyDescent="0.25">
      <c r="A69" s="1" t="s">
        <v>785</v>
      </c>
      <c r="B69" s="228">
        <f>ROUND(N('Prior Year'!BE85), 0)</f>
        <v>3179677</v>
      </c>
      <c r="C69" s="228">
        <f>data!BE85</f>
        <v>5339.429999999702</v>
      </c>
      <c r="D69" s="228">
        <f>ROUND(N('Prior Year'!BE59), 0)</f>
        <v>552104</v>
      </c>
      <c r="E69" s="1">
        <f>data!BE59</f>
        <v>515622.34499999986</v>
      </c>
      <c r="F69" s="205">
        <f>IF(B69=0,"",IF(D69=0,"",B69/D69))</f>
        <v>5.7591993537449468</v>
      </c>
      <c r="G69" s="205">
        <f t="shared" si="4"/>
        <v>1.0355311502257923E-2</v>
      </c>
      <c r="H69" s="6">
        <f>IF(B69 = 0, "", IF(C69 = 0, "", IF(D69 = 0, "", IF(E69 = 0, "", IF(G69 / F69 - 1 &lt; -0.25, G69 / F69 - 1, IF(G69 / F69 - 1 &gt; 0.25, G69 / F69 - 1, ""))))))</f>
        <v>-0.99820195293369651</v>
      </c>
      <c r="I69" s="228" t="s">
        <v>1367</v>
      </c>
      <c r="M69" s="7"/>
    </row>
    <row r="70" spans="1:13" x14ac:dyDescent="0.25">
      <c r="A70" s="1" t="s">
        <v>786</v>
      </c>
      <c r="B70" s="228">
        <f>ROUND(N('Prior Year'!BF85), 0)</f>
        <v>2219310</v>
      </c>
      <c r="C70" s="228">
        <f>data!BF85</f>
        <v>20247.630000000005</v>
      </c>
      <c r="D70" s="228" t="s">
        <v>747</v>
      </c>
      <c r="E70" s="4" t="s">
        <v>747</v>
      </c>
      <c r="F70" s="205" t="s">
        <v>297</v>
      </c>
      <c r="G70" s="205" t="str">
        <f t="shared" ref="G70:G94" si="9">IFERROR(IF(C70=0,"",IF(E70=0,"",C70/E70)),"")</f>
        <v/>
      </c>
      <c r="H70" s="6" t="s">
        <v>297</v>
      </c>
      <c r="I70" s="228" t="str">
        <f t="shared" si="7"/>
        <v/>
      </c>
      <c r="M70" s="7"/>
    </row>
    <row r="71" spans="1:13" x14ac:dyDescent="0.25">
      <c r="A71" s="1" t="s">
        <v>787</v>
      </c>
      <c r="B71" s="228">
        <f>ROUND(N('Prior Year'!BG85), 0)</f>
        <v>0</v>
      </c>
      <c r="C71" s="228">
        <f>data!BG85</f>
        <v>0</v>
      </c>
      <c r="D71" s="228" t="s">
        <v>747</v>
      </c>
      <c r="E71" s="4" t="s">
        <v>747</v>
      </c>
      <c r="F71" s="205" t="s">
        <v>297</v>
      </c>
      <c r="G71" s="205" t="str">
        <f t="shared" si="9"/>
        <v/>
      </c>
      <c r="H71" s="6" t="s">
        <v>297</v>
      </c>
      <c r="I71" s="228" t="str">
        <f t="shared" si="7"/>
        <v/>
      </c>
      <c r="M71" s="7"/>
    </row>
    <row r="72" spans="1:13" x14ac:dyDescent="0.25">
      <c r="A72" s="1" t="s">
        <v>788</v>
      </c>
      <c r="B72" s="228">
        <f>ROUND(N('Prior Year'!BH85), 0)</f>
        <v>0</v>
      </c>
      <c r="C72" s="228">
        <f>data!BH85</f>
        <v>0</v>
      </c>
      <c r="D72" s="228" t="s">
        <v>747</v>
      </c>
      <c r="E72" s="4" t="s">
        <v>747</v>
      </c>
      <c r="F72" s="205" t="s">
        <v>297</v>
      </c>
      <c r="G72" s="205" t="str">
        <f t="shared" si="9"/>
        <v/>
      </c>
      <c r="H72" s="6" t="s">
        <v>297</v>
      </c>
      <c r="I72" s="228" t="str">
        <f t="shared" si="7"/>
        <v/>
      </c>
      <c r="M72" s="7"/>
    </row>
    <row r="73" spans="1:13" x14ac:dyDescent="0.25">
      <c r="A73" s="1" t="s">
        <v>789</v>
      </c>
      <c r="B73" s="228">
        <f>ROUND(N('Prior Year'!BI85), 0)</f>
        <v>0</v>
      </c>
      <c r="C73" s="228">
        <f>data!BI85</f>
        <v>524179.72</v>
      </c>
      <c r="D73" s="228" t="s">
        <v>747</v>
      </c>
      <c r="E73" s="4" t="s">
        <v>747</v>
      </c>
      <c r="F73" s="205" t="s">
        <v>297</v>
      </c>
      <c r="G73" s="205" t="str">
        <f t="shared" si="9"/>
        <v/>
      </c>
      <c r="H73" s="6" t="s">
        <v>297</v>
      </c>
      <c r="I73" s="228" t="str">
        <f t="shared" si="7"/>
        <v/>
      </c>
      <c r="M73" s="7"/>
    </row>
    <row r="74" spans="1:13" x14ac:dyDescent="0.25">
      <c r="A74" s="1" t="s">
        <v>790</v>
      </c>
      <c r="B74" s="228">
        <f>ROUND(N('Prior Year'!BJ85), 0)</f>
        <v>0</v>
      </c>
      <c r="C74" s="228">
        <f>data!BJ85</f>
        <v>0</v>
      </c>
      <c r="D74" s="228" t="s">
        <v>747</v>
      </c>
      <c r="E74" s="4" t="s">
        <v>747</v>
      </c>
      <c r="F74" s="205" t="s">
        <v>297</v>
      </c>
      <c r="G74" s="205" t="str">
        <f t="shared" si="9"/>
        <v/>
      </c>
      <c r="H74" s="6" t="s">
        <v>297</v>
      </c>
      <c r="I74" s="228" t="str">
        <f t="shared" si="7"/>
        <v/>
      </c>
      <c r="M74" s="7"/>
    </row>
    <row r="75" spans="1:13" x14ac:dyDescent="0.25">
      <c r="A75" s="1" t="s">
        <v>791</v>
      </c>
      <c r="B75" s="228">
        <f>ROUND(N('Prior Year'!BK85), 0)</f>
        <v>0</v>
      </c>
      <c r="C75" s="228">
        <f>data!BK85</f>
        <v>0</v>
      </c>
      <c r="D75" s="228" t="s">
        <v>747</v>
      </c>
      <c r="E75" s="4" t="s">
        <v>747</v>
      </c>
      <c r="F75" s="205" t="s">
        <v>297</v>
      </c>
      <c r="G75" s="205" t="str">
        <f t="shared" si="9"/>
        <v/>
      </c>
      <c r="H75" s="6" t="s">
        <v>297</v>
      </c>
      <c r="I75" s="228" t="str">
        <f t="shared" si="7"/>
        <v/>
      </c>
      <c r="M75" s="7"/>
    </row>
    <row r="76" spans="1:13" x14ac:dyDescent="0.25">
      <c r="A76" s="1" t="s">
        <v>792</v>
      </c>
      <c r="B76" s="228">
        <f>ROUND(N('Prior Year'!BL85), 0)</f>
        <v>2421431</v>
      </c>
      <c r="C76" s="228">
        <f>data!BL85</f>
        <v>-140977.87999999989</v>
      </c>
      <c r="D76" s="228" t="s">
        <v>747</v>
      </c>
      <c r="E76" s="4" t="s">
        <v>747</v>
      </c>
      <c r="F76" s="205" t="s">
        <v>297</v>
      </c>
      <c r="G76" s="205" t="str">
        <f t="shared" si="9"/>
        <v/>
      </c>
      <c r="H76" s="6" t="s">
        <v>297</v>
      </c>
      <c r="I76" s="228" t="str">
        <f t="shared" si="7"/>
        <v/>
      </c>
      <c r="M76" s="7"/>
    </row>
    <row r="77" spans="1:13" x14ac:dyDescent="0.25">
      <c r="A77" s="1" t="s">
        <v>793</v>
      </c>
      <c r="B77" s="228">
        <f>ROUND(N('Prior Year'!BM85), 0)</f>
        <v>0</v>
      </c>
      <c r="C77" s="228">
        <f>data!BM85</f>
        <v>0</v>
      </c>
      <c r="D77" s="228" t="s">
        <v>747</v>
      </c>
      <c r="E77" s="4" t="s">
        <v>747</v>
      </c>
      <c r="F77" s="205" t="s">
        <v>297</v>
      </c>
      <c r="G77" s="205" t="str">
        <f t="shared" si="9"/>
        <v/>
      </c>
      <c r="H77" s="6" t="s">
        <v>297</v>
      </c>
      <c r="I77" s="228" t="str">
        <f t="shared" si="7"/>
        <v/>
      </c>
      <c r="M77" s="7"/>
    </row>
    <row r="78" spans="1:13" x14ac:dyDescent="0.25">
      <c r="A78" s="1" t="s">
        <v>794</v>
      </c>
      <c r="B78" s="228">
        <f>ROUND(N('Prior Year'!BN85), 0)</f>
        <v>99597406</v>
      </c>
      <c r="C78" s="228">
        <f>data!BN85</f>
        <v>0</v>
      </c>
      <c r="D78" s="228" t="s">
        <v>747</v>
      </c>
      <c r="E78" s="4" t="s">
        <v>747</v>
      </c>
      <c r="F78" s="205" t="s">
        <v>297</v>
      </c>
      <c r="G78" s="205" t="str">
        <f t="shared" si="9"/>
        <v/>
      </c>
      <c r="H78" s="6" t="s">
        <v>297</v>
      </c>
      <c r="I78" s="228" t="str">
        <f t="shared" si="7"/>
        <v/>
      </c>
      <c r="M78" s="7"/>
    </row>
    <row r="79" spans="1:13" x14ac:dyDescent="0.25">
      <c r="A79" s="1" t="s">
        <v>795</v>
      </c>
      <c r="B79" s="228">
        <f>ROUND(N('Prior Year'!BO85), 0)</f>
        <v>0</v>
      </c>
      <c r="C79" s="228">
        <f>data!BO85</f>
        <v>0</v>
      </c>
      <c r="D79" s="228" t="s">
        <v>747</v>
      </c>
      <c r="E79" s="4" t="s">
        <v>747</v>
      </c>
      <c r="F79" s="205" t="s">
        <v>297</v>
      </c>
      <c r="G79" s="205" t="str">
        <f t="shared" si="9"/>
        <v/>
      </c>
      <c r="H79" s="6" t="s">
        <v>297</v>
      </c>
      <c r="I79" s="228" t="str">
        <f t="shared" ref="I79:I94" si="10">IF(H79 = "", "", IF(ABS(H79) &gt; 25 %, "Please provide explanation for the fluctuation noted here", ""))</f>
        <v/>
      </c>
      <c r="M79" s="7"/>
    </row>
    <row r="80" spans="1:13" x14ac:dyDescent="0.25">
      <c r="A80" s="1" t="s">
        <v>796</v>
      </c>
      <c r="B80" s="228">
        <f>ROUND(N('Prior Year'!BP85), 0)</f>
        <v>0</v>
      </c>
      <c r="C80" s="228">
        <f>data!BP85</f>
        <v>-14403.280000000028</v>
      </c>
      <c r="D80" s="228" t="s">
        <v>747</v>
      </c>
      <c r="E80" s="4" t="s">
        <v>747</v>
      </c>
      <c r="F80" s="205" t="s">
        <v>297</v>
      </c>
      <c r="G80" s="205" t="str">
        <f t="shared" si="9"/>
        <v/>
      </c>
      <c r="H80" s="6" t="s">
        <v>297</v>
      </c>
      <c r="I80" s="228" t="str">
        <f t="shared" si="10"/>
        <v/>
      </c>
      <c r="M80" s="7"/>
    </row>
    <row r="81" spans="1:13" x14ac:dyDescent="0.25">
      <c r="A81" s="1" t="s">
        <v>797</v>
      </c>
      <c r="B81" s="228">
        <f>ROUND(N('Prior Year'!BQ85), 0)</f>
        <v>0</v>
      </c>
      <c r="C81" s="228">
        <f>data!BQ85</f>
        <v>0</v>
      </c>
      <c r="D81" s="228" t="s">
        <v>747</v>
      </c>
      <c r="E81" s="4" t="s">
        <v>747</v>
      </c>
      <c r="F81" s="205" t="s">
        <v>297</v>
      </c>
      <c r="G81" s="205" t="str">
        <f t="shared" si="9"/>
        <v/>
      </c>
      <c r="H81" s="6" t="s">
        <v>297</v>
      </c>
      <c r="I81" s="228" t="str">
        <f t="shared" si="10"/>
        <v/>
      </c>
      <c r="M81" s="7"/>
    </row>
    <row r="82" spans="1:13" x14ac:dyDescent="0.25">
      <c r="A82" s="1" t="s">
        <v>798</v>
      </c>
      <c r="B82" s="228">
        <f>ROUND(N('Prior Year'!BR85), 0)</f>
        <v>0</v>
      </c>
      <c r="C82" s="228">
        <f>data!BR85</f>
        <v>0</v>
      </c>
      <c r="D82" s="228" t="s">
        <v>747</v>
      </c>
      <c r="E82" s="4" t="s">
        <v>747</v>
      </c>
      <c r="F82" s="205" t="s">
        <v>297</v>
      </c>
      <c r="G82" s="205" t="str">
        <f t="shared" si="9"/>
        <v/>
      </c>
      <c r="H82" s="6" t="s">
        <v>297</v>
      </c>
      <c r="I82" s="228" t="str">
        <f t="shared" si="10"/>
        <v/>
      </c>
      <c r="M82" s="7"/>
    </row>
    <row r="83" spans="1:13" x14ac:dyDescent="0.25">
      <c r="A83" s="1" t="s">
        <v>799</v>
      </c>
      <c r="B83" s="228">
        <f>ROUND(N('Prior Year'!BS85), 0)</f>
        <v>0</v>
      </c>
      <c r="C83" s="228">
        <f>data!BS85</f>
        <v>0</v>
      </c>
      <c r="D83" s="228" t="s">
        <v>747</v>
      </c>
      <c r="E83" s="4" t="s">
        <v>747</v>
      </c>
      <c r="F83" s="205" t="s">
        <v>297</v>
      </c>
      <c r="G83" s="205" t="str">
        <f t="shared" si="9"/>
        <v/>
      </c>
      <c r="H83" s="6" t="s">
        <v>297</v>
      </c>
      <c r="I83" s="228" t="str">
        <f t="shared" si="10"/>
        <v/>
      </c>
      <c r="M83" s="7"/>
    </row>
    <row r="84" spans="1:13" x14ac:dyDescent="0.25">
      <c r="A84" s="1" t="s">
        <v>800</v>
      </c>
      <c r="B84" s="228">
        <f>ROUND(N('Prior Year'!BT85), 0)</f>
        <v>0</v>
      </c>
      <c r="C84" s="228">
        <f>data!BT85</f>
        <v>0</v>
      </c>
      <c r="D84" s="228" t="s">
        <v>747</v>
      </c>
      <c r="E84" s="4" t="s">
        <v>747</v>
      </c>
      <c r="F84" s="205" t="s">
        <v>297</v>
      </c>
      <c r="G84" s="205" t="str">
        <f t="shared" si="9"/>
        <v/>
      </c>
      <c r="H84" s="6" t="s">
        <v>297</v>
      </c>
      <c r="I84" s="228" t="str">
        <f t="shared" si="10"/>
        <v/>
      </c>
      <c r="M84" s="7"/>
    </row>
    <row r="85" spans="1:13" x14ac:dyDescent="0.25">
      <c r="A85" s="1" t="s">
        <v>801</v>
      </c>
      <c r="B85" s="228">
        <f>ROUND(N('Prior Year'!BU85), 0)</f>
        <v>0</v>
      </c>
      <c r="C85" s="228">
        <f>data!BU85</f>
        <v>0</v>
      </c>
      <c r="D85" s="228" t="s">
        <v>747</v>
      </c>
      <c r="E85" s="4" t="s">
        <v>747</v>
      </c>
      <c r="F85" s="205" t="s">
        <v>297</v>
      </c>
      <c r="G85" s="205" t="str">
        <f t="shared" si="9"/>
        <v/>
      </c>
      <c r="H85" s="6" t="s">
        <v>297</v>
      </c>
      <c r="I85" s="228" t="str">
        <f t="shared" si="10"/>
        <v/>
      </c>
      <c r="M85" s="7"/>
    </row>
    <row r="86" spans="1:13" x14ac:dyDescent="0.25">
      <c r="A86" s="1" t="s">
        <v>802</v>
      </c>
      <c r="B86" s="228">
        <f>ROUND(N('Prior Year'!BV85), 0)</f>
        <v>0</v>
      </c>
      <c r="C86" s="228">
        <f>data!BV85</f>
        <v>0</v>
      </c>
      <c r="D86" s="228" t="s">
        <v>747</v>
      </c>
      <c r="E86" s="4" t="s">
        <v>747</v>
      </c>
      <c r="F86" s="205" t="s">
        <v>297</v>
      </c>
      <c r="G86" s="205" t="str">
        <f t="shared" si="9"/>
        <v/>
      </c>
      <c r="H86" s="6" t="s">
        <v>297</v>
      </c>
      <c r="I86" s="228" t="str">
        <f t="shared" si="10"/>
        <v/>
      </c>
      <c r="M86" s="7"/>
    </row>
    <row r="87" spans="1:13" x14ac:dyDescent="0.25">
      <c r="A87" s="1" t="s">
        <v>803</v>
      </c>
      <c r="B87" s="228">
        <f>ROUND(N('Prior Year'!BW85), 0)</f>
        <v>0</v>
      </c>
      <c r="C87" s="228">
        <f>data!BW85</f>
        <v>0</v>
      </c>
      <c r="D87" s="228" t="s">
        <v>747</v>
      </c>
      <c r="E87" s="4" t="s">
        <v>747</v>
      </c>
      <c r="F87" s="205" t="s">
        <v>297</v>
      </c>
      <c r="G87" s="205" t="str">
        <f t="shared" si="9"/>
        <v/>
      </c>
      <c r="H87" s="6" t="s">
        <v>297</v>
      </c>
      <c r="I87" s="228" t="str">
        <f t="shared" si="10"/>
        <v/>
      </c>
      <c r="M87" s="7"/>
    </row>
    <row r="88" spans="1:13" x14ac:dyDescent="0.25">
      <c r="A88" s="1" t="s">
        <v>804</v>
      </c>
      <c r="B88" s="228">
        <f>ROUND(N('Prior Year'!BX85), 0)</f>
        <v>5311737</v>
      </c>
      <c r="C88" s="228">
        <f>data!BX85</f>
        <v>0</v>
      </c>
      <c r="D88" s="228" t="s">
        <v>747</v>
      </c>
      <c r="E88" s="4" t="s">
        <v>747</v>
      </c>
      <c r="F88" s="205" t="s">
        <v>297</v>
      </c>
      <c r="G88" s="205" t="str">
        <f t="shared" si="9"/>
        <v/>
      </c>
      <c r="H88" s="6" t="s">
        <v>297</v>
      </c>
      <c r="I88" s="228" t="str">
        <f t="shared" si="10"/>
        <v/>
      </c>
      <c r="M88" s="7"/>
    </row>
    <row r="89" spans="1:13" x14ac:dyDescent="0.25">
      <c r="A89" s="1" t="s">
        <v>805</v>
      </c>
      <c r="B89" s="228">
        <f>ROUND(N('Prior Year'!BY85), 0)</f>
        <v>4382006</v>
      </c>
      <c r="C89" s="228">
        <f>data!BY85</f>
        <v>0</v>
      </c>
      <c r="D89" s="228" t="s">
        <v>747</v>
      </c>
      <c r="E89" s="4" t="s">
        <v>747</v>
      </c>
      <c r="F89" s="205" t="s">
        <v>297</v>
      </c>
      <c r="G89" s="205" t="str">
        <f t="shared" si="9"/>
        <v/>
      </c>
      <c r="H89" s="6" t="s">
        <v>297</v>
      </c>
      <c r="I89" s="228" t="str">
        <f t="shared" si="10"/>
        <v/>
      </c>
      <c r="M89" s="7"/>
    </row>
    <row r="90" spans="1:13" x14ac:dyDescent="0.25">
      <c r="A90" s="1" t="s">
        <v>806</v>
      </c>
      <c r="B90" s="228">
        <f>ROUND(N('Prior Year'!BZ85), 0)</f>
        <v>4490634</v>
      </c>
      <c r="C90" s="228">
        <f>data!BZ85</f>
        <v>1125949.2</v>
      </c>
      <c r="D90" s="228" t="s">
        <v>747</v>
      </c>
      <c r="E90" s="4" t="s">
        <v>747</v>
      </c>
      <c r="F90" s="205" t="s">
        <v>297</v>
      </c>
      <c r="G90" s="205" t="str">
        <f t="shared" si="9"/>
        <v/>
      </c>
      <c r="H90" s="6" t="s">
        <v>297</v>
      </c>
      <c r="I90" s="228" t="str">
        <f t="shared" si="10"/>
        <v/>
      </c>
      <c r="M90" s="7"/>
    </row>
    <row r="91" spans="1:13" x14ac:dyDescent="0.25">
      <c r="A91" s="1" t="s">
        <v>807</v>
      </c>
      <c r="B91" s="228">
        <f>ROUND(N('Prior Year'!CA85), 0)</f>
        <v>0</v>
      </c>
      <c r="C91" s="228">
        <f>data!CA85</f>
        <v>0</v>
      </c>
      <c r="D91" s="228" t="s">
        <v>747</v>
      </c>
      <c r="E91" s="4" t="s">
        <v>747</v>
      </c>
      <c r="F91" s="205" t="s">
        <v>297</v>
      </c>
      <c r="G91" s="205" t="str">
        <f t="shared" si="9"/>
        <v/>
      </c>
      <c r="H91" s="6" t="s">
        <v>297</v>
      </c>
      <c r="I91" s="228" t="str">
        <f t="shared" si="10"/>
        <v/>
      </c>
      <c r="M91" s="7"/>
    </row>
    <row r="92" spans="1:13" x14ac:dyDescent="0.25">
      <c r="A92" s="1" t="s">
        <v>808</v>
      </c>
      <c r="B92" s="228">
        <f>ROUND(N('Prior Year'!CB85), 0)</f>
        <v>0</v>
      </c>
      <c r="C92" s="228">
        <f>data!CB85</f>
        <v>0</v>
      </c>
      <c r="D92" s="228" t="s">
        <v>747</v>
      </c>
      <c r="E92" s="4" t="s">
        <v>747</v>
      </c>
      <c r="F92" s="205" t="s">
        <v>297</v>
      </c>
      <c r="G92" s="205" t="str">
        <f t="shared" si="9"/>
        <v/>
      </c>
      <c r="H92" s="6" t="s">
        <v>297</v>
      </c>
      <c r="I92" s="228" t="str">
        <f t="shared" si="10"/>
        <v/>
      </c>
      <c r="M92" s="7"/>
    </row>
    <row r="93" spans="1:13" x14ac:dyDescent="0.25">
      <c r="A93" s="1" t="s">
        <v>809</v>
      </c>
      <c r="B93" s="228">
        <f>ROUND(N('Prior Year'!CC85), 0)</f>
        <v>175046011</v>
      </c>
      <c r="C93" s="228">
        <f>data!CC85</f>
        <v>181174243.45000002</v>
      </c>
      <c r="D93" s="228" t="s">
        <v>747</v>
      </c>
      <c r="E93" s="4" t="s">
        <v>747</v>
      </c>
      <c r="F93" s="205" t="s">
        <v>297</v>
      </c>
      <c r="G93" s="205" t="str">
        <f t="shared" si="9"/>
        <v/>
      </c>
      <c r="H93" s="6" t="s">
        <v>297</v>
      </c>
      <c r="I93" s="228" t="str">
        <f t="shared" si="10"/>
        <v/>
      </c>
      <c r="M93" s="7"/>
    </row>
    <row r="94" spans="1:13" x14ac:dyDescent="0.25">
      <c r="A94" s="1" t="s">
        <v>810</v>
      </c>
      <c r="B94" s="228">
        <f>ROUND(N('Prior Year'!CD85), 0)</f>
        <v>0</v>
      </c>
      <c r="C94" s="228">
        <f>data!CD85</f>
        <v>0</v>
      </c>
      <c r="D94" s="228" t="s">
        <v>747</v>
      </c>
      <c r="E94" s="4" t="s">
        <v>747</v>
      </c>
      <c r="F94" s="205" t="s">
        <v>297</v>
      </c>
      <c r="G94" s="205" t="str">
        <f t="shared" si="9"/>
        <v/>
      </c>
      <c r="H94" s="6" t="s">
        <v>297</v>
      </c>
      <c r="I94" s="228" t="str">
        <f t="shared" si="10"/>
        <v/>
      </c>
      <c r="M94" s="7"/>
    </row>
  </sheetData>
  <sheetProtection algorithmName="SHA-512" hashValue="BF2L1SCn5nlr7zy8EzR+VqSMkz/aTLbVaOm447QcB3PLYstgZ1bXYWR/sDQ2XXbJXHRSj5h0mNyrEKIofDEvPw==" saltValue="k1pPwVURTuzXWTv0alh/uw==" spinCount="100000" sheet="1" objects="1" scenarios="1"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D36"/>
  <sheetViews>
    <sheetView topLeftCell="A6" workbookViewId="0">
      <selection activeCell="J24" sqref="J24"/>
    </sheetView>
  </sheetViews>
  <sheetFormatPr defaultRowHeight="15" x14ac:dyDescent="0.2"/>
  <sheetData>
    <row r="1" spans="1:4" ht="15.75" x14ac:dyDescent="0.25">
      <c r="A1" s="268" t="s">
        <v>811</v>
      </c>
      <c r="B1" s="267"/>
      <c r="C1" s="267"/>
      <c r="D1" s="267"/>
    </row>
    <row r="2" spans="1:4" ht="15.75" x14ac:dyDescent="0.25">
      <c r="A2" s="267"/>
      <c r="B2" s="267"/>
      <c r="C2" s="267"/>
      <c r="D2" s="267"/>
    </row>
    <row r="3" spans="1:4" ht="15.75" x14ac:dyDescent="0.25">
      <c r="A3" s="270" t="s">
        <v>812</v>
      </c>
      <c r="B3" s="267"/>
      <c r="C3" s="267"/>
      <c r="D3" s="267"/>
    </row>
    <row r="4" spans="1:4" ht="15.75" x14ac:dyDescent="0.25">
      <c r="A4" s="267" t="s">
        <v>813</v>
      </c>
      <c r="B4" s="267"/>
      <c r="C4" s="267"/>
      <c r="D4" s="267"/>
    </row>
    <row r="5" spans="1:4" ht="15.75" x14ac:dyDescent="0.25">
      <c r="A5" s="1" t="s">
        <v>814</v>
      </c>
      <c r="B5" s="267"/>
      <c r="C5" s="267"/>
      <c r="D5" s="267"/>
    </row>
    <row r="6" spans="1:4" ht="15.75" x14ac:dyDescent="0.25">
      <c r="A6" s="267"/>
      <c r="B6" s="267"/>
      <c r="C6" s="267"/>
      <c r="D6" s="267"/>
    </row>
    <row r="7" spans="1:4" ht="15.75" x14ac:dyDescent="0.25">
      <c r="A7" s="267" t="s">
        <v>815</v>
      </c>
      <c r="B7" s="267"/>
      <c r="C7" s="267"/>
      <c r="D7" s="267"/>
    </row>
    <row r="8" spans="1:4" ht="15.75" x14ac:dyDescent="0.25">
      <c r="A8" s="309" t="s">
        <v>816</v>
      </c>
      <c r="B8" s="267"/>
      <c r="C8" s="267"/>
      <c r="D8" s="267"/>
    </row>
    <row r="9" spans="1:4" ht="15.75" x14ac:dyDescent="0.25">
      <c r="A9" s="267"/>
      <c r="B9" s="267"/>
      <c r="C9" s="267"/>
      <c r="D9" s="267"/>
    </row>
    <row r="10" spans="1:4" ht="15.75" x14ac:dyDescent="0.25">
      <c r="A10" s="267"/>
      <c r="B10" s="267"/>
      <c r="C10" s="267"/>
      <c r="D10" s="267"/>
    </row>
    <row r="11" spans="1:4" ht="15.75" x14ac:dyDescent="0.25">
      <c r="A11" s="269" t="s">
        <v>817</v>
      </c>
      <c r="B11" s="267"/>
      <c r="C11" s="267"/>
      <c r="D11" s="267">
        <f>N(data!C380)</f>
        <v>6242901.480000007</v>
      </c>
    </row>
    <row r="12" spans="1:4" ht="15.75" x14ac:dyDescent="0.25">
      <c r="A12" s="269" t="s">
        <v>818</v>
      </c>
      <c r="B12" s="267"/>
      <c r="C12" s="267"/>
      <c r="D12" s="267" t="str">
        <f>IF(OR(N(data!C380) &gt; 1000000, N(data!C380) / (N(data!D360) + N(data!D383)) &gt; 0.01), "Yes", "No")</f>
        <v>Yes</v>
      </c>
    </row>
    <row r="13" spans="1:4" ht="15.75" x14ac:dyDescent="0.25">
      <c r="A13" s="267"/>
      <c r="B13" s="267"/>
      <c r="C13" s="267"/>
      <c r="D13" s="267"/>
    </row>
    <row r="14" spans="1:4" ht="15.75" x14ac:dyDescent="0.25">
      <c r="A14" s="269" t="s">
        <v>819</v>
      </c>
      <c r="B14" s="267"/>
      <c r="C14" s="267"/>
      <c r="D14" s="269" t="s">
        <v>820</v>
      </c>
    </row>
    <row r="15" spans="1:4" ht="15.75" x14ac:dyDescent="0.25">
      <c r="A15" s="1" t="s">
        <v>1368</v>
      </c>
      <c r="B15" s="267"/>
      <c r="C15" s="267"/>
      <c r="D15" s="267">
        <v>1979376.99</v>
      </c>
    </row>
    <row r="16" spans="1:4" ht="15.75" x14ac:dyDescent="0.25">
      <c r="A16" s="267" t="s">
        <v>821</v>
      </c>
      <c r="B16" s="267"/>
      <c r="C16" s="267"/>
      <c r="D16" s="267"/>
    </row>
    <row r="17" spans="1:4" ht="15.75" x14ac:dyDescent="0.25">
      <c r="A17" s="267" t="s">
        <v>821</v>
      </c>
      <c r="B17" s="267"/>
      <c r="C17" s="267"/>
      <c r="D17" s="267"/>
    </row>
    <row r="18" spans="1:4" ht="15.75" x14ac:dyDescent="0.25">
      <c r="A18" s="267" t="s">
        <v>821</v>
      </c>
      <c r="B18" s="267"/>
      <c r="C18" s="267"/>
      <c r="D18" s="267"/>
    </row>
    <row r="19" spans="1:4" ht="15.75" x14ac:dyDescent="0.25">
      <c r="A19" s="267" t="s">
        <v>821</v>
      </c>
      <c r="B19" s="267"/>
      <c r="C19" s="267"/>
      <c r="D19" s="267"/>
    </row>
    <row r="20" spans="1:4" ht="15.75" x14ac:dyDescent="0.25">
      <c r="A20" s="267" t="s">
        <v>821</v>
      </c>
      <c r="B20" s="267"/>
      <c r="C20" s="267"/>
      <c r="D20" s="267"/>
    </row>
    <row r="21" spans="1:4" ht="15.75" x14ac:dyDescent="0.25">
      <c r="A21" s="267" t="s">
        <v>821</v>
      </c>
      <c r="B21" s="267"/>
      <c r="C21" s="267"/>
      <c r="D21" s="267"/>
    </row>
    <row r="22" spans="1:4" ht="15.75" x14ac:dyDescent="0.25">
      <c r="A22" s="267"/>
      <c r="B22" s="267"/>
      <c r="C22" s="267"/>
      <c r="D22" s="267"/>
    </row>
    <row r="23" spans="1:4" ht="15.75" x14ac:dyDescent="0.25">
      <c r="A23" s="267"/>
      <c r="B23" s="267"/>
      <c r="C23" s="267"/>
      <c r="D23" s="267"/>
    </row>
    <row r="24" spans="1:4" ht="15.75" x14ac:dyDescent="0.25">
      <c r="A24" s="267"/>
      <c r="B24" s="267"/>
      <c r="C24" s="267"/>
      <c r="D24" s="267"/>
    </row>
    <row r="25" spans="1:4" ht="15.75" x14ac:dyDescent="0.25">
      <c r="A25" s="269" t="s">
        <v>822</v>
      </c>
      <c r="B25" s="267"/>
      <c r="C25" s="267"/>
      <c r="D25" s="267">
        <f>N(data!C414)</f>
        <v>62723646.440000013</v>
      </c>
    </row>
    <row r="26" spans="1:4" ht="15.75" x14ac:dyDescent="0.25">
      <c r="A26" s="269" t="s">
        <v>818</v>
      </c>
      <c r="B26" s="267"/>
      <c r="C26" s="267"/>
      <c r="D26" s="267" t="str">
        <f>IF(OR(N(data!C414)&gt;1000000,N(data!C414)/(N(data!D416))&gt;0.01),"Yes","No")</f>
        <v>Yes</v>
      </c>
    </row>
    <row r="27" spans="1:4" ht="15.75" x14ac:dyDescent="0.25">
      <c r="A27" s="267"/>
      <c r="B27" s="267"/>
      <c r="C27" s="267"/>
      <c r="D27" s="267"/>
    </row>
    <row r="28" spans="1:4" ht="15.75" x14ac:dyDescent="0.25">
      <c r="A28" s="269" t="s">
        <v>819</v>
      </c>
      <c r="B28" s="267"/>
      <c r="C28" s="267"/>
      <c r="D28" s="269" t="s">
        <v>820</v>
      </c>
    </row>
    <row r="29" spans="1:4" ht="15.75" x14ac:dyDescent="0.25">
      <c r="A29" s="1" t="s">
        <v>1369</v>
      </c>
      <c r="B29" s="267"/>
      <c r="C29" s="267"/>
      <c r="D29" s="267">
        <v>55600300</v>
      </c>
    </row>
    <row r="30" spans="1:4" ht="15.75" x14ac:dyDescent="0.25">
      <c r="A30" s="267" t="s">
        <v>823</v>
      </c>
      <c r="B30" s="267"/>
      <c r="C30" s="267"/>
      <c r="D30" s="267"/>
    </row>
    <row r="31" spans="1:4" ht="15.75" x14ac:dyDescent="0.25">
      <c r="A31" s="267" t="s">
        <v>823</v>
      </c>
      <c r="B31" s="267"/>
      <c r="C31" s="267"/>
      <c r="D31" s="267"/>
    </row>
    <row r="32" spans="1:4" ht="15.75" x14ac:dyDescent="0.25">
      <c r="A32" s="267" t="s">
        <v>823</v>
      </c>
      <c r="B32" s="267"/>
      <c r="C32" s="267"/>
      <c r="D32" s="267"/>
    </row>
    <row r="33" spans="1:4" ht="15.75" x14ac:dyDescent="0.25">
      <c r="A33" s="267" t="s">
        <v>823</v>
      </c>
      <c r="B33" s="267"/>
      <c r="C33" s="267"/>
      <c r="D33" s="267"/>
    </row>
    <row r="34" spans="1:4" ht="15.75" x14ac:dyDescent="0.25">
      <c r="A34" s="267" t="s">
        <v>823</v>
      </c>
      <c r="B34" s="267"/>
      <c r="C34" s="267"/>
      <c r="D34" s="267"/>
    </row>
    <row r="35" spans="1:4" ht="15.75" x14ac:dyDescent="0.25">
      <c r="A35" s="267" t="s">
        <v>823</v>
      </c>
      <c r="B35" s="267"/>
      <c r="C35" s="267"/>
      <c r="D35" s="267"/>
    </row>
    <row r="36" spans="1:4" ht="15.75" x14ac:dyDescent="0.25">
      <c r="A36" s="267"/>
      <c r="B36" s="267"/>
      <c r="C36" s="267"/>
      <c r="D36" s="267"/>
    </row>
  </sheetData>
  <sheetProtection algorithmName="SHA-512" hashValue="ckJbQ2gs0lQFNS2qRx3z/1Gru9KEDsgjQ5VdTnXcyjOkQ5kEe5QMNplofXGdsgNtiLCDaUdkzLMTn/RZeOSrgg==" saltValue="mZ3daS6eEQ4r6Y9EqxvGKA==" spinCount="100000" sheet="1" objects="1" scenarios="1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topLeftCell="A20" workbookViewId="0">
      <selection activeCell="J15" sqref="J15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G1" s="61" t="s">
        <v>824</v>
      </c>
    </row>
    <row r="2" spans="1:7" ht="20.100000000000001" customHeight="1" x14ac:dyDescent="0.25">
      <c r="A2" s="62" t="s">
        <v>825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"&amp;data!C96</f>
        <v>Fiscal Year Ended:  12/31/2024</v>
      </c>
      <c r="C4" s="64"/>
      <c r="D4" s="65"/>
      <c r="E4" s="66"/>
      <c r="F4" s="64" t="str">
        <f>"License Number:  "&amp;"H-"&amp;FIXED(data!C97,0)</f>
        <v>License Number:  H-176</v>
      </c>
      <c r="G4" s="67"/>
    </row>
    <row r="5" spans="1:7" ht="20.100000000000001" customHeight="1" x14ac:dyDescent="0.25">
      <c r="A5" s="63">
        <v>2</v>
      </c>
      <c r="B5" s="64" t="s">
        <v>301</v>
      </c>
      <c r="C5" s="67"/>
      <c r="D5" s="64" t="str">
        <f>"  "&amp;data!C98</f>
        <v xml:space="preserve">  Tacoma General / Allenmore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309</v>
      </c>
      <c r="C6" s="67"/>
      <c r="D6" s="64" t="str">
        <f>"  "&amp;data!C103</f>
        <v xml:space="preserve">  Pierce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826</v>
      </c>
      <c r="C7" s="67"/>
      <c r="D7" s="64" t="str">
        <f>"  "&amp;data!C104</f>
        <v xml:space="preserve">  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827</v>
      </c>
      <c r="C8" s="67"/>
      <c r="D8" s="64" t="str">
        <f>"  "&amp;data!C105</f>
        <v xml:space="preserve">  Matt Scherer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828</v>
      </c>
      <c r="C9" s="67"/>
      <c r="D9" s="64" t="str">
        <f>"  "&amp;data!C106</f>
        <v xml:space="preserve">  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829</v>
      </c>
      <c r="C10" s="67"/>
      <c r="D10" s="64" t="str">
        <f>"  "&amp;data!C107</f>
        <v xml:space="preserve">  2534031000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830</v>
      </c>
      <c r="C11" s="67"/>
      <c r="D11" s="64" t="str">
        <f>"  "&amp;data!C108</f>
        <v xml:space="preserve">  2434597859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831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319</v>
      </c>
      <c r="B15" s="74"/>
      <c r="C15" s="75" t="s">
        <v>321</v>
      </c>
      <c r="D15" s="74"/>
      <c r="E15" s="75" t="s">
        <v>323</v>
      </c>
      <c r="F15" s="76"/>
      <c r="G15" s="77"/>
    </row>
    <row r="16" spans="1:7" ht="20.100000000000001" customHeight="1" x14ac:dyDescent="0.25">
      <c r="A16" s="78" t="str">
        <f>IF(data!C113&gt;0," X","")</f>
        <v/>
      </c>
      <c r="B16" s="67" t="s">
        <v>306</v>
      </c>
      <c r="C16" s="79" t="str">
        <f>IF(data!C117&gt;0," X","")</f>
        <v/>
      </c>
      <c r="D16" s="80" t="s">
        <v>832</v>
      </c>
      <c r="E16" s="229" t="str">
        <f>IF(data!C120&gt;0," X","")</f>
        <v/>
      </c>
      <c r="F16" s="81" t="s">
        <v>324</v>
      </c>
      <c r="G16" s="67"/>
    </row>
    <row r="17" spans="1:7" ht="20.100000000000001" customHeight="1" x14ac:dyDescent="0.25">
      <c r="A17" s="78" t="str">
        <f>IF(data!C114&gt;0," X","")</f>
        <v/>
      </c>
      <c r="B17" s="67" t="s">
        <v>309</v>
      </c>
      <c r="C17" s="79" t="str">
        <f>IF(data!C118&gt;0," X","")</f>
        <v/>
      </c>
      <c r="D17" s="80" t="s">
        <v>405</v>
      </c>
      <c r="E17" s="229" t="str">
        <f>IF(data!C121&gt;0," X","")</f>
        <v/>
      </c>
      <c r="F17" s="81" t="s">
        <v>325</v>
      </c>
      <c r="G17" s="67"/>
    </row>
    <row r="18" spans="1:7" ht="20.100000000000001" customHeight="1" x14ac:dyDescent="0.25">
      <c r="A18" s="63"/>
      <c r="B18" s="67" t="s">
        <v>833</v>
      </c>
      <c r="C18" s="67"/>
      <c r="D18" s="67"/>
      <c r="E18" s="229" t="str">
        <f>IF(data!C122&gt;0," X","")</f>
        <v/>
      </c>
      <c r="F18" s="81" t="s">
        <v>326</v>
      </c>
      <c r="G18" s="67"/>
    </row>
    <row r="19" spans="1:7" ht="20.100000000000001" customHeight="1" x14ac:dyDescent="0.25">
      <c r="A19" s="78" t="str">
        <f>IF(data!C115&gt;0," X","")</f>
        <v/>
      </c>
      <c r="B19" s="80" t="s">
        <v>834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835</v>
      </c>
      <c r="C22" s="64"/>
      <c r="D22" s="64"/>
      <c r="E22" s="64"/>
      <c r="F22" s="78" t="s">
        <v>329</v>
      </c>
      <c r="G22" s="79" t="s">
        <v>241</v>
      </c>
    </row>
    <row r="23" spans="1:7" ht="20.100000000000001" customHeight="1" x14ac:dyDescent="0.25">
      <c r="A23" s="63"/>
      <c r="B23" s="64" t="s">
        <v>836</v>
      </c>
      <c r="C23" s="64"/>
      <c r="D23" s="64"/>
      <c r="E23" s="64"/>
      <c r="F23" s="63">
        <f>data!C127</f>
        <v>24790</v>
      </c>
      <c r="G23" s="67">
        <f>data!D127</f>
        <v>117290</v>
      </c>
    </row>
    <row r="24" spans="1:7" ht="20.100000000000001" customHeight="1" x14ac:dyDescent="0.25">
      <c r="A24" s="63"/>
      <c r="B24" s="64" t="s">
        <v>837</v>
      </c>
      <c r="C24" s="64"/>
      <c r="D24" s="64"/>
      <c r="E24" s="64"/>
      <c r="F24" s="63">
        <f>data!C128</f>
        <v>0</v>
      </c>
      <c r="G24" s="67">
        <f>data!D128</f>
        <v>0</v>
      </c>
    </row>
    <row r="25" spans="1:7" ht="20.100000000000001" customHeight="1" x14ac:dyDescent="0.25">
      <c r="A25" s="63"/>
      <c r="B25" s="64" t="s">
        <v>838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00000000000001" customHeight="1" x14ac:dyDescent="0.25">
      <c r="A26" s="63">
        <v>11</v>
      </c>
      <c r="B26" s="64" t="s">
        <v>333</v>
      </c>
      <c r="C26" s="64"/>
      <c r="D26" s="64"/>
      <c r="E26" s="64"/>
      <c r="F26" s="63">
        <f>data!C130</f>
        <v>3396</v>
      </c>
      <c r="G26" s="67">
        <f>data!D130</f>
        <v>5218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839</v>
      </c>
      <c r="C29" s="67"/>
      <c r="D29" s="79" t="s">
        <v>193</v>
      </c>
      <c r="E29" s="83" t="s">
        <v>839</v>
      </c>
      <c r="F29" s="67"/>
      <c r="G29" s="79" t="s">
        <v>193</v>
      </c>
    </row>
    <row r="30" spans="1:7" ht="20.100000000000001" customHeight="1" x14ac:dyDescent="0.25">
      <c r="A30" s="63"/>
      <c r="B30" s="64" t="s">
        <v>335</v>
      </c>
      <c r="C30" s="67"/>
      <c r="D30" s="67">
        <f>data!C132</f>
        <v>87</v>
      </c>
      <c r="E30" s="64" t="s">
        <v>341</v>
      </c>
      <c r="F30" s="67"/>
      <c r="G30" s="67">
        <f>data!C139</f>
        <v>0</v>
      </c>
    </row>
    <row r="31" spans="1:7" ht="20.100000000000001" customHeight="1" x14ac:dyDescent="0.25">
      <c r="A31" s="63"/>
      <c r="B31" s="83" t="s">
        <v>840</v>
      </c>
      <c r="C31" s="67"/>
      <c r="D31" s="67">
        <f>data!C133</f>
        <v>62</v>
      </c>
      <c r="E31" s="64" t="s">
        <v>342</v>
      </c>
      <c r="F31" s="67"/>
      <c r="G31" s="67">
        <f>data!C140</f>
        <v>0</v>
      </c>
    </row>
    <row r="32" spans="1:7" ht="20.100000000000001" customHeight="1" x14ac:dyDescent="0.25">
      <c r="A32" s="63"/>
      <c r="B32" s="83" t="s">
        <v>841</v>
      </c>
      <c r="C32" s="67"/>
      <c r="D32" s="67">
        <f>data!C134</f>
        <v>103</v>
      </c>
      <c r="E32" s="64" t="s">
        <v>842</v>
      </c>
      <c r="F32" s="67"/>
      <c r="G32" s="67">
        <f>data!C141</f>
        <v>0</v>
      </c>
    </row>
    <row r="33" spans="1:7" ht="20.100000000000001" customHeight="1" x14ac:dyDescent="0.25">
      <c r="A33" s="63"/>
      <c r="B33" s="83" t="s">
        <v>843</v>
      </c>
      <c r="C33" s="67"/>
      <c r="D33" s="67">
        <f>data!C135</f>
        <v>0</v>
      </c>
      <c r="E33" s="64" t="s">
        <v>844</v>
      </c>
      <c r="F33" s="67"/>
      <c r="G33" s="67">
        <f>data!C142</f>
        <v>92</v>
      </c>
    </row>
    <row r="34" spans="1:7" ht="20.100000000000001" customHeight="1" x14ac:dyDescent="0.25">
      <c r="A34" s="63"/>
      <c r="B34" s="83" t="s">
        <v>845</v>
      </c>
      <c r="C34" s="67"/>
      <c r="D34" s="67">
        <f>data!C136</f>
        <v>61</v>
      </c>
      <c r="E34" s="64" t="s">
        <v>344</v>
      </c>
      <c r="F34" s="67"/>
      <c r="G34" s="67">
        <f>data!E143</f>
        <v>432</v>
      </c>
    </row>
    <row r="35" spans="1:7" ht="20.100000000000001" customHeight="1" x14ac:dyDescent="0.25">
      <c r="A35" s="63"/>
      <c r="B35" s="83" t="s">
        <v>846</v>
      </c>
      <c r="C35" s="67"/>
      <c r="D35" s="67">
        <f>data!C137</f>
        <v>0</v>
      </c>
      <c r="E35" s="64" t="s">
        <v>847</v>
      </c>
      <c r="F35" s="84"/>
      <c r="G35" s="67"/>
    </row>
    <row r="36" spans="1:7" ht="20.100000000000001" customHeight="1" x14ac:dyDescent="0.25">
      <c r="A36" s="63"/>
      <c r="B36" s="64" t="s">
        <v>122</v>
      </c>
      <c r="C36" s="67"/>
      <c r="D36" s="67">
        <f>data!C138</f>
        <v>27</v>
      </c>
      <c r="E36" s="64" t="s">
        <v>345</v>
      </c>
      <c r="F36" s="67"/>
      <c r="G36" s="67">
        <f>data!C144</f>
        <v>497</v>
      </c>
    </row>
    <row r="37" spans="1:7" ht="20.100000000000001" customHeight="1" x14ac:dyDescent="0.25">
      <c r="A37" s="63"/>
      <c r="E37" s="64" t="s">
        <v>346</v>
      </c>
      <c r="F37" s="67"/>
      <c r="G37" s="67">
        <f>data!C145</f>
        <v>0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341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848</v>
      </c>
      <c r="C40" s="91" t="s">
        <v>299</v>
      </c>
      <c r="D40" s="72">
        <f>data!C147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E9" sqref="E9:F9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A1" s="120" t="s">
        <v>849</v>
      </c>
      <c r="G1" s="61" t="s">
        <v>850</v>
      </c>
    </row>
    <row r="2" spans="1:7" ht="20.100000000000001" customHeight="1" x14ac:dyDescent="0.25">
      <c r="A2" s="1" t="str">
        <f>"Hospital: "&amp;data!C98</f>
        <v>Hospital: Tacoma General / Allenmore</v>
      </c>
      <c r="G2" s="4" t="s">
        <v>851</v>
      </c>
    </row>
    <row r="3" spans="1:7" ht="20.100000000000001" customHeight="1" x14ac:dyDescent="0.25">
      <c r="G3" s="4" t="str">
        <f>"FYE: "&amp;data!C96</f>
        <v>FYE: 12/31/2024</v>
      </c>
    </row>
    <row r="4" spans="1:7" ht="20.100000000000001" customHeight="1" x14ac:dyDescent="0.25">
      <c r="A4" s="121" t="s">
        <v>852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853</v>
      </c>
      <c r="C5" s="74"/>
      <c r="D5" s="74"/>
      <c r="E5" s="125" t="s">
        <v>356</v>
      </c>
      <c r="F5" s="74"/>
      <c r="G5" s="74"/>
    </row>
    <row r="6" spans="1:7" ht="20.100000000000001" customHeight="1" x14ac:dyDescent="0.25">
      <c r="A6" s="126" t="s">
        <v>854</v>
      </c>
      <c r="B6" s="79" t="s">
        <v>329</v>
      </c>
      <c r="C6" s="79" t="s">
        <v>855</v>
      </c>
      <c r="D6" s="79" t="s">
        <v>352</v>
      </c>
      <c r="E6" s="79" t="s">
        <v>194</v>
      </c>
      <c r="F6" s="79" t="s">
        <v>157</v>
      </c>
      <c r="G6" s="79" t="s">
        <v>229</v>
      </c>
    </row>
    <row r="7" spans="1:7" ht="20.100000000000001" customHeight="1" x14ac:dyDescent="0.25">
      <c r="A7" s="63" t="s">
        <v>350</v>
      </c>
      <c r="B7" s="127">
        <f>data!B154</f>
        <v>11059.274662481803</v>
      </c>
      <c r="C7" s="127">
        <f>data!B155</f>
        <v>59387.224895622858</v>
      </c>
      <c r="D7" s="127">
        <f>data!B156</f>
        <v>149848</v>
      </c>
      <c r="E7" s="127">
        <f>data!B157</f>
        <v>964464226.80999994</v>
      </c>
      <c r="F7" s="127">
        <f>data!B158</f>
        <v>1286703504.1500001</v>
      </c>
      <c r="G7" s="127">
        <f>data!B157+data!B158</f>
        <v>2251167730.96</v>
      </c>
    </row>
    <row r="8" spans="1:7" ht="20.100000000000001" customHeight="1" x14ac:dyDescent="0.25">
      <c r="A8" s="63" t="s">
        <v>351</v>
      </c>
      <c r="B8" s="127">
        <f>data!C154</f>
        <v>5303.2904746423055</v>
      </c>
      <c r="C8" s="127">
        <f>data!C155</f>
        <v>25091.687768083742</v>
      </c>
      <c r="D8" s="127">
        <f>data!C156</f>
        <v>64325</v>
      </c>
      <c r="E8" s="127">
        <f>data!C157</f>
        <v>432927418.94999999</v>
      </c>
      <c r="F8" s="127">
        <f>data!C158</f>
        <v>653939293.06999993</v>
      </c>
      <c r="G8" s="127">
        <f>data!C157+data!C158</f>
        <v>1086866712.02</v>
      </c>
    </row>
    <row r="9" spans="1:7" ht="20.100000000000001" customHeight="1" x14ac:dyDescent="0.25">
      <c r="A9" s="63" t="s">
        <v>856</v>
      </c>
      <c r="B9" s="127">
        <f>data!D154</f>
        <v>8427.4348628758926</v>
      </c>
      <c r="C9" s="127">
        <f>data!D155</f>
        <v>39873.0873362934</v>
      </c>
      <c r="D9" s="127">
        <f>data!D156</f>
        <v>194326</v>
      </c>
      <c r="E9" s="127">
        <f>data!D157</f>
        <v>539583467.00999999</v>
      </c>
      <c r="F9" s="127">
        <f>data!D158</f>
        <v>1344097566.8300002</v>
      </c>
      <c r="G9" s="127">
        <f>data!D157+data!D158</f>
        <v>1883681033.8400002</v>
      </c>
    </row>
    <row r="10" spans="1:7" ht="20.100000000000001" customHeight="1" x14ac:dyDescent="0.25">
      <c r="A10" s="78" t="s">
        <v>229</v>
      </c>
      <c r="B10" s="127">
        <f>data!E154</f>
        <v>24790</v>
      </c>
      <c r="C10" s="127">
        <f>data!E155</f>
        <v>124352</v>
      </c>
      <c r="D10" s="127">
        <f>data!E156</f>
        <v>408499</v>
      </c>
      <c r="E10" s="127">
        <f>data!E157</f>
        <v>1936975112.77</v>
      </c>
      <c r="F10" s="127">
        <f>data!E158</f>
        <v>3284740364.0500002</v>
      </c>
      <c r="G10" s="127">
        <f>E10+F10</f>
        <v>5221715476.8199997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857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853</v>
      </c>
      <c r="C14" s="133"/>
      <c r="D14" s="133"/>
      <c r="E14" s="133" t="s">
        <v>356</v>
      </c>
      <c r="F14" s="133"/>
      <c r="G14" s="133"/>
    </row>
    <row r="15" spans="1:7" ht="20.100000000000001" customHeight="1" x14ac:dyDescent="0.25">
      <c r="A15" s="126" t="s">
        <v>854</v>
      </c>
      <c r="B15" s="79" t="s">
        <v>329</v>
      </c>
      <c r="C15" s="79" t="s">
        <v>855</v>
      </c>
      <c r="D15" s="79" t="s">
        <v>352</v>
      </c>
      <c r="E15" s="79" t="s">
        <v>194</v>
      </c>
      <c r="F15" s="79" t="s">
        <v>157</v>
      </c>
      <c r="G15" s="79" t="s">
        <v>229</v>
      </c>
    </row>
    <row r="16" spans="1:7" ht="20.100000000000001" customHeight="1" x14ac:dyDescent="0.25">
      <c r="A16" s="63" t="s">
        <v>350</v>
      </c>
      <c r="B16" s="127">
        <f>data!B160</f>
        <v>0</v>
      </c>
      <c r="C16" s="127">
        <f>data!B161</f>
        <v>0</v>
      </c>
      <c r="D16" s="127">
        <f>data!B162</f>
        <v>0</v>
      </c>
      <c r="E16" s="127">
        <f>data!B163</f>
        <v>0</v>
      </c>
      <c r="F16" s="127">
        <f>data!B164</f>
        <v>0</v>
      </c>
      <c r="G16" s="127">
        <f>data!B163+data!B164</f>
        <v>0</v>
      </c>
    </row>
    <row r="17" spans="1:7" ht="20.100000000000001" customHeight="1" x14ac:dyDescent="0.25">
      <c r="A17" s="63" t="s">
        <v>351</v>
      </c>
      <c r="B17" s="127">
        <f>data!C160</f>
        <v>0</v>
      </c>
      <c r="C17" s="127">
        <f>data!C161</f>
        <v>0</v>
      </c>
      <c r="D17" s="127">
        <f>data!C162</f>
        <v>0</v>
      </c>
      <c r="E17" s="127">
        <f>data!C163</f>
        <v>0</v>
      </c>
      <c r="F17" s="127">
        <f>data!C164</f>
        <v>0</v>
      </c>
      <c r="G17" s="127">
        <f>data!C163+data!C164</f>
        <v>0</v>
      </c>
    </row>
    <row r="18" spans="1:7" ht="20.100000000000001" customHeight="1" x14ac:dyDescent="0.25">
      <c r="A18" s="63" t="s">
        <v>856</v>
      </c>
      <c r="B18" s="127">
        <f>data!D160</f>
        <v>0</v>
      </c>
      <c r="C18" s="127">
        <f>data!D161</f>
        <v>0</v>
      </c>
      <c r="D18" s="127">
        <f>data!D162</f>
        <v>0</v>
      </c>
      <c r="E18" s="127">
        <f>data!D163</f>
        <v>0</v>
      </c>
      <c r="F18" s="127">
        <f>data!D164</f>
        <v>0</v>
      </c>
      <c r="G18" s="127">
        <f>data!D163+data!D164</f>
        <v>0</v>
      </c>
    </row>
    <row r="19" spans="1:7" ht="20.100000000000001" customHeight="1" x14ac:dyDescent="0.25">
      <c r="A19" s="78" t="s">
        <v>229</v>
      </c>
      <c r="B19" s="127">
        <f>data!E160</f>
        <v>0</v>
      </c>
      <c r="C19" s="127">
        <f>data!E161</f>
        <v>0</v>
      </c>
      <c r="D19" s="127">
        <f>data!E162</f>
        <v>0</v>
      </c>
      <c r="E19" s="127">
        <f>data!E163</f>
        <v>0</v>
      </c>
      <c r="F19" s="127">
        <f>data!E164</f>
        <v>0</v>
      </c>
      <c r="G19" s="127">
        <f>data!E163+data!E164</f>
        <v>0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858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853</v>
      </c>
      <c r="C23" s="74"/>
      <c r="D23" s="74"/>
      <c r="E23" s="74" t="s">
        <v>356</v>
      </c>
      <c r="F23" s="74"/>
      <c r="G23" s="74"/>
    </row>
    <row r="24" spans="1:7" ht="20.100000000000001" customHeight="1" x14ac:dyDescent="0.25">
      <c r="A24" s="126" t="s">
        <v>854</v>
      </c>
      <c r="B24" s="79" t="s">
        <v>329</v>
      </c>
      <c r="C24" s="79" t="s">
        <v>855</v>
      </c>
      <c r="D24" s="79" t="s">
        <v>352</v>
      </c>
      <c r="E24" s="79" t="s">
        <v>194</v>
      </c>
      <c r="F24" s="79" t="s">
        <v>157</v>
      </c>
      <c r="G24" s="79" t="s">
        <v>229</v>
      </c>
    </row>
    <row r="25" spans="1:7" ht="20.100000000000001" customHeight="1" x14ac:dyDescent="0.25">
      <c r="A25" s="63" t="s">
        <v>350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00000000000001" customHeight="1" x14ac:dyDescent="0.25">
      <c r="A26" s="63" t="s">
        <v>351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00000000000001" customHeight="1" x14ac:dyDescent="0.25">
      <c r="A27" s="63" t="s">
        <v>856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00000000000001" customHeight="1" x14ac:dyDescent="0.25">
      <c r="A28" s="78" t="s">
        <v>229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859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860</v>
      </c>
      <c r="C32" s="139">
        <f>data!B173</f>
        <v>0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861</v>
      </c>
      <c r="C33" s="135">
        <f>data!C173</f>
        <v>0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2" workbookViewId="0">
      <selection activeCell="C18" sqref="C18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8" width="8.77734375" style="1" customWidth="1"/>
    <col min="9" max="16384" width="8.77734375" style="1"/>
  </cols>
  <sheetData>
    <row r="1" spans="1:3" ht="20.100000000000001" customHeight="1" x14ac:dyDescent="0.25">
      <c r="A1" s="141" t="s">
        <v>359</v>
      </c>
      <c r="B1" s="62"/>
      <c r="C1" s="61" t="s">
        <v>862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"&amp;data!C98</f>
        <v>Hospital: Tacoma General / Allenmore</v>
      </c>
      <c r="B3" s="69"/>
      <c r="C3" s="142" t="str">
        <f>"FYE: "&amp;data!C96</f>
        <v>FYE: 12/31/2024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360</v>
      </c>
      <c r="C5" s="123"/>
    </row>
    <row r="6" spans="1:3" ht="20.100000000000001" customHeight="1" x14ac:dyDescent="0.25">
      <c r="A6" s="143">
        <v>2</v>
      </c>
      <c r="B6" s="64" t="s">
        <v>863</v>
      </c>
      <c r="C6" s="63">
        <f>data!C181</f>
        <v>26892585.239999998</v>
      </c>
    </row>
    <row r="7" spans="1:3" ht="20.100000000000001" customHeight="1" x14ac:dyDescent="0.25">
      <c r="A7" s="144">
        <v>3</v>
      </c>
      <c r="B7" s="83" t="s">
        <v>362</v>
      </c>
      <c r="C7" s="63">
        <f>data!C182</f>
        <v>-402.73</v>
      </c>
    </row>
    <row r="8" spans="1:3" ht="20.100000000000001" customHeight="1" x14ac:dyDescent="0.25">
      <c r="A8" s="144">
        <v>4</v>
      </c>
      <c r="B8" s="64" t="s">
        <v>363</v>
      </c>
      <c r="C8" s="63">
        <f>data!C183</f>
        <v>0</v>
      </c>
    </row>
    <row r="9" spans="1:3" ht="20.100000000000001" customHeight="1" x14ac:dyDescent="0.25">
      <c r="A9" s="144">
        <v>5</v>
      </c>
      <c r="B9" s="64" t="s">
        <v>364</v>
      </c>
      <c r="C9" s="63">
        <f>data!C184</f>
        <v>39907312.5</v>
      </c>
    </row>
    <row r="10" spans="1:3" ht="20.100000000000001" customHeight="1" x14ac:dyDescent="0.25">
      <c r="A10" s="144">
        <v>6</v>
      </c>
      <c r="B10" s="64" t="s">
        <v>365</v>
      </c>
      <c r="C10" s="63">
        <f>data!C185</f>
        <v>0</v>
      </c>
    </row>
    <row r="11" spans="1:3" ht="20.100000000000001" customHeight="1" x14ac:dyDescent="0.25">
      <c r="A11" s="144">
        <v>7</v>
      </c>
      <c r="B11" s="64" t="s">
        <v>366</v>
      </c>
      <c r="C11" s="63">
        <f>data!C186</f>
        <v>0</v>
      </c>
    </row>
    <row r="12" spans="1:3" ht="20.100000000000001" customHeight="1" x14ac:dyDescent="0.25">
      <c r="A12" s="144">
        <v>8</v>
      </c>
      <c r="B12" s="64" t="s">
        <v>367</v>
      </c>
      <c r="C12" s="63">
        <f>data!C187</f>
        <v>19427591.350000001</v>
      </c>
    </row>
    <row r="13" spans="1:3" ht="20.100000000000001" customHeight="1" x14ac:dyDescent="0.25">
      <c r="A13" s="144">
        <v>9</v>
      </c>
      <c r="B13" s="64" t="s">
        <v>367</v>
      </c>
      <c r="C13" s="63">
        <f>data!C188</f>
        <v>250397.38</v>
      </c>
    </row>
    <row r="14" spans="1:3" ht="20.100000000000001" customHeight="1" x14ac:dyDescent="0.25">
      <c r="A14" s="144">
        <v>10</v>
      </c>
      <c r="B14" s="64" t="s">
        <v>864</v>
      </c>
      <c r="C14" s="63">
        <f>data!D189</f>
        <v>86477483.739999995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368</v>
      </c>
      <c r="C17" s="77"/>
    </row>
    <row r="18" spans="1:3" ht="20.100000000000001" customHeight="1" x14ac:dyDescent="0.25">
      <c r="A18" s="63">
        <v>12</v>
      </c>
      <c r="B18" s="64" t="s">
        <v>865</v>
      </c>
      <c r="C18" s="63">
        <f>data!C191</f>
        <v>4122893.61</v>
      </c>
    </row>
    <row r="19" spans="1:3" ht="20.100000000000001" customHeight="1" x14ac:dyDescent="0.25">
      <c r="A19" s="63">
        <v>13</v>
      </c>
      <c r="B19" s="64" t="s">
        <v>866</v>
      </c>
      <c r="C19" s="63">
        <f>data!C192</f>
        <v>5797307.71</v>
      </c>
    </row>
    <row r="20" spans="1:3" ht="20.100000000000001" customHeight="1" x14ac:dyDescent="0.25">
      <c r="A20" s="63">
        <v>14</v>
      </c>
      <c r="B20" s="64" t="s">
        <v>867</v>
      </c>
      <c r="C20" s="63">
        <f>data!D193</f>
        <v>9920201.3200000003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371</v>
      </c>
      <c r="C23" s="123"/>
    </row>
    <row r="24" spans="1:3" ht="20.100000000000001" customHeight="1" x14ac:dyDescent="0.25">
      <c r="A24" s="63">
        <v>16</v>
      </c>
      <c r="B24" s="75" t="s">
        <v>868</v>
      </c>
      <c r="C24" s="148"/>
    </row>
    <row r="25" spans="1:3" ht="20.100000000000001" customHeight="1" x14ac:dyDescent="0.25">
      <c r="A25" s="63">
        <v>17</v>
      </c>
      <c r="B25" s="64" t="s">
        <v>869</v>
      </c>
      <c r="C25" s="63">
        <f>data!C195</f>
        <v>14844643.01</v>
      </c>
    </row>
    <row r="26" spans="1:3" ht="20.100000000000001" customHeight="1" x14ac:dyDescent="0.25">
      <c r="A26" s="63">
        <v>18</v>
      </c>
      <c r="B26" s="64" t="s">
        <v>373</v>
      </c>
      <c r="C26" s="63">
        <f>data!C196</f>
        <v>0</v>
      </c>
    </row>
    <row r="27" spans="1:3" ht="20.100000000000001" customHeight="1" x14ac:dyDescent="0.25">
      <c r="A27" s="63">
        <v>19</v>
      </c>
      <c r="B27" s="64" t="s">
        <v>870</v>
      </c>
      <c r="C27" s="63">
        <f>data!D197</f>
        <v>14844643.01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871</v>
      </c>
      <c r="C30" s="133"/>
    </row>
    <row r="31" spans="1:3" ht="20.100000000000001" customHeight="1" x14ac:dyDescent="0.25">
      <c r="A31" s="63">
        <v>21</v>
      </c>
      <c r="B31" s="64" t="s">
        <v>375</v>
      </c>
      <c r="C31" s="63">
        <f>data!C199</f>
        <v>230866.24</v>
      </c>
    </row>
    <row r="32" spans="1:3" ht="20.100000000000001" customHeight="1" x14ac:dyDescent="0.25">
      <c r="A32" s="63">
        <v>22</v>
      </c>
      <c r="B32" s="64" t="s">
        <v>872</v>
      </c>
      <c r="C32" s="63">
        <f>data!C200</f>
        <v>9142021.9800000004</v>
      </c>
    </row>
    <row r="33" spans="1:3" ht="20.100000000000001" customHeight="1" x14ac:dyDescent="0.25">
      <c r="A33" s="63">
        <v>23</v>
      </c>
      <c r="B33" s="64" t="s">
        <v>158</v>
      </c>
      <c r="C33" s="63">
        <f>data!C201</f>
        <v>75317.67</v>
      </c>
    </row>
    <row r="34" spans="1:3" ht="20.100000000000001" customHeight="1" x14ac:dyDescent="0.25">
      <c r="A34" s="63">
        <v>24</v>
      </c>
      <c r="B34" s="64" t="s">
        <v>873</v>
      </c>
      <c r="C34" s="63">
        <f>data!D202</f>
        <v>9448205.8900000006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/>
      <c r="C36" s="70"/>
    </row>
    <row r="37" spans="1:3" ht="20.100000000000001" customHeight="1" x14ac:dyDescent="0.25">
      <c r="A37" s="124">
        <v>25</v>
      </c>
      <c r="B37" s="147" t="s">
        <v>377</v>
      </c>
      <c r="C37" s="123"/>
    </row>
    <row r="38" spans="1:3" ht="20.100000000000001" customHeight="1" x14ac:dyDescent="0.25">
      <c r="A38" s="63">
        <v>26</v>
      </c>
      <c r="B38" s="64" t="s">
        <v>874</v>
      </c>
      <c r="C38" s="63">
        <f>data!C204</f>
        <v>0</v>
      </c>
    </row>
    <row r="39" spans="1:3" ht="20.100000000000001" customHeight="1" x14ac:dyDescent="0.25">
      <c r="A39" s="63">
        <v>27</v>
      </c>
      <c r="B39" s="64" t="s">
        <v>379</v>
      </c>
      <c r="C39" s="63">
        <f>data!C205</f>
        <v>17999065.68</v>
      </c>
    </row>
    <row r="40" spans="1:3" ht="20.100000000000001" customHeight="1" x14ac:dyDescent="0.25">
      <c r="A40" s="63">
        <v>28</v>
      </c>
      <c r="B40" s="64" t="s">
        <v>875</v>
      </c>
      <c r="C40" s="63">
        <f>data!D206</f>
        <v>17999065.68</v>
      </c>
    </row>
    <row r="41" spans="1:3" x14ac:dyDescent="0.2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topLeftCell="A10" workbookViewId="0">
      <selection activeCell="C24" sqref="C2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1" width="8.77734375" style="1" customWidth="1"/>
    <col min="12" max="16384" width="8.77734375" style="1"/>
  </cols>
  <sheetData>
    <row r="1" spans="1:6" ht="20.100000000000001" customHeight="1" x14ac:dyDescent="0.25">
      <c r="A1" s="141" t="s">
        <v>380</v>
      </c>
      <c r="B1" s="62"/>
      <c r="C1" s="62"/>
      <c r="D1" s="62"/>
      <c r="E1" s="62"/>
      <c r="F1" s="61" t="s">
        <v>876</v>
      </c>
    </row>
    <row r="3" spans="1:6" ht="20.100000000000001" customHeight="1" x14ac:dyDescent="0.25">
      <c r="A3" s="120" t="str">
        <f>"Hospital: "&amp;data!C98</f>
        <v>Hospital: Tacoma General / Allenmore</v>
      </c>
      <c r="F3" s="142" t="str">
        <f>"FYE: "&amp;data!C96</f>
        <v>FYE: 12/31/2024</v>
      </c>
    </row>
    <row r="4" spans="1:6" ht="20.100000000000001" customHeight="1" x14ac:dyDescent="0.25">
      <c r="A4" s="148" t="s">
        <v>381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877</v>
      </c>
      <c r="D5" s="151"/>
      <c r="E5" s="151"/>
      <c r="F5" s="151" t="s">
        <v>878</v>
      </c>
    </row>
    <row r="6" spans="1:6" ht="20.100000000000001" customHeight="1" x14ac:dyDescent="0.25">
      <c r="A6" s="152"/>
      <c r="B6" s="70"/>
      <c r="C6" s="153" t="s">
        <v>879</v>
      </c>
      <c r="D6" s="153" t="s">
        <v>383</v>
      </c>
      <c r="E6" s="153" t="s">
        <v>880</v>
      </c>
      <c r="F6" s="153" t="s">
        <v>879</v>
      </c>
    </row>
    <row r="7" spans="1:6" ht="20.100000000000001" customHeight="1" x14ac:dyDescent="0.25">
      <c r="A7" s="63">
        <v>1</v>
      </c>
      <c r="B7" s="67" t="s">
        <v>386</v>
      </c>
      <c r="C7" s="67">
        <f>data!B211</f>
        <v>7581710.04</v>
      </c>
      <c r="D7" s="67">
        <f>data!C211</f>
        <v>0</v>
      </c>
      <c r="E7" s="67">
        <f>data!D211</f>
        <v>0</v>
      </c>
      <c r="F7" s="67">
        <f>data!E211</f>
        <v>7581710.04</v>
      </c>
    </row>
    <row r="8" spans="1:6" ht="20.100000000000001" customHeight="1" x14ac:dyDescent="0.25">
      <c r="A8" s="63">
        <v>2</v>
      </c>
      <c r="B8" s="67" t="s">
        <v>387</v>
      </c>
      <c r="C8" s="67">
        <f>data!B212</f>
        <v>3324681.27</v>
      </c>
      <c r="D8" s="67">
        <f>data!C212</f>
        <v>1378070.3699999999</v>
      </c>
      <c r="E8" s="67">
        <f>data!D212</f>
        <v>0</v>
      </c>
      <c r="F8" s="67">
        <f>data!E212</f>
        <v>4702751.6399999997</v>
      </c>
    </row>
    <row r="9" spans="1:6" ht="20.100000000000001" customHeight="1" x14ac:dyDescent="0.25">
      <c r="A9" s="63">
        <v>3</v>
      </c>
      <c r="B9" s="67" t="s">
        <v>388</v>
      </c>
      <c r="C9" s="67">
        <f>data!B213</f>
        <v>642016330.22000003</v>
      </c>
      <c r="D9" s="67">
        <f>data!C213</f>
        <v>3425105.07</v>
      </c>
      <c r="E9" s="67">
        <f>data!D213</f>
        <v>8768265.6500000004</v>
      </c>
      <c r="F9" s="67">
        <f>data!E213</f>
        <v>636673169.6400001</v>
      </c>
    </row>
    <row r="10" spans="1:6" ht="20.100000000000001" customHeight="1" x14ac:dyDescent="0.25">
      <c r="A10" s="63">
        <v>4</v>
      </c>
      <c r="B10" s="67" t="s">
        <v>881</v>
      </c>
      <c r="C10" s="67">
        <f>data!B214</f>
        <v>0</v>
      </c>
      <c r="D10" s="67">
        <f>data!C214</f>
        <v>0</v>
      </c>
      <c r="E10" s="67">
        <f>data!D214</f>
        <v>0</v>
      </c>
      <c r="F10" s="67">
        <f>data!E214</f>
        <v>0</v>
      </c>
    </row>
    <row r="11" spans="1:6" ht="20.100000000000001" customHeight="1" x14ac:dyDescent="0.25">
      <c r="A11" s="63">
        <v>5</v>
      </c>
      <c r="B11" s="67" t="s">
        <v>882</v>
      </c>
      <c r="C11" s="67">
        <f>data!B215</f>
        <v>35342627.979999997</v>
      </c>
      <c r="D11" s="67">
        <f>data!C215</f>
        <v>371407.78</v>
      </c>
      <c r="E11" s="67">
        <f>data!D215</f>
        <v>116</v>
      </c>
      <c r="F11" s="67">
        <f>data!E215</f>
        <v>35713919.759999998</v>
      </c>
    </row>
    <row r="12" spans="1:6" ht="20.100000000000001" customHeight="1" x14ac:dyDescent="0.25">
      <c r="A12" s="63">
        <v>6</v>
      </c>
      <c r="B12" s="67" t="s">
        <v>883</v>
      </c>
      <c r="C12" s="67">
        <f>data!B216</f>
        <v>199638405.87</v>
      </c>
      <c r="D12" s="67">
        <f>data!C216</f>
        <v>12083508.01</v>
      </c>
      <c r="E12" s="67">
        <f>data!D216</f>
        <v>11114419.879999999</v>
      </c>
      <c r="F12" s="67">
        <f>data!E216</f>
        <v>200607494</v>
      </c>
    </row>
    <row r="13" spans="1:6" ht="20.100000000000001" customHeight="1" x14ac:dyDescent="0.25">
      <c r="A13" s="63">
        <v>7</v>
      </c>
      <c r="B13" s="67" t="s">
        <v>884</v>
      </c>
      <c r="C13" s="67">
        <f>data!B217</f>
        <v>0</v>
      </c>
      <c r="D13" s="67">
        <f>data!C217</f>
        <v>0</v>
      </c>
      <c r="E13" s="67">
        <f>data!D217</f>
        <v>0</v>
      </c>
      <c r="F13" s="67">
        <f>data!E217</f>
        <v>0</v>
      </c>
    </row>
    <row r="14" spans="1:6" ht="20.100000000000001" customHeight="1" x14ac:dyDescent="0.25">
      <c r="A14" s="63">
        <v>8</v>
      </c>
      <c r="B14" s="67" t="s">
        <v>394</v>
      </c>
      <c r="C14" s="67">
        <f>data!B218</f>
        <v>14880078.33</v>
      </c>
      <c r="D14" s="67">
        <f>data!C218</f>
        <v>0</v>
      </c>
      <c r="E14" s="67">
        <f>data!D218</f>
        <v>250000</v>
      </c>
      <c r="F14" s="67">
        <f>data!E218</f>
        <v>14630078.33</v>
      </c>
    </row>
    <row r="15" spans="1:6" ht="20.100000000000001" customHeight="1" x14ac:dyDescent="0.25">
      <c r="A15" s="63">
        <v>9</v>
      </c>
      <c r="B15" s="67" t="s">
        <v>885</v>
      </c>
      <c r="C15" s="67">
        <f>data!B219</f>
        <v>409522</v>
      </c>
      <c r="D15" s="67">
        <f>data!C219</f>
        <v>23094916.359999999</v>
      </c>
      <c r="E15" s="67">
        <f>data!D219</f>
        <v>8300746.2199999997</v>
      </c>
      <c r="F15" s="67">
        <f>data!E219</f>
        <v>15203692.140000001</v>
      </c>
    </row>
    <row r="16" spans="1:6" ht="20.100000000000001" customHeight="1" x14ac:dyDescent="0.25">
      <c r="A16" s="63">
        <v>10</v>
      </c>
      <c r="B16" s="67" t="s">
        <v>609</v>
      </c>
      <c r="C16" s="67">
        <f>data!B220</f>
        <v>903193355.71000004</v>
      </c>
      <c r="D16" s="67">
        <f>data!C220</f>
        <v>40353007.590000004</v>
      </c>
      <c r="E16" s="67">
        <f>data!D220</f>
        <v>28433547.75</v>
      </c>
      <c r="F16" s="67">
        <f>data!E220</f>
        <v>915112815.55000007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396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877</v>
      </c>
      <c r="D21" s="4" t="s">
        <v>229</v>
      </c>
      <c r="E21" s="153"/>
      <c r="F21" s="153" t="s">
        <v>878</v>
      </c>
    </row>
    <row r="22" spans="1:6" ht="20.100000000000001" customHeight="1" x14ac:dyDescent="0.25">
      <c r="A22" s="154"/>
      <c r="B22" s="146"/>
      <c r="C22" s="153" t="s">
        <v>879</v>
      </c>
      <c r="D22" s="153" t="s">
        <v>886</v>
      </c>
      <c r="E22" s="153" t="s">
        <v>880</v>
      </c>
      <c r="F22" s="153" t="s">
        <v>879</v>
      </c>
    </row>
    <row r="23" spans="1:6" ht="20.100000000000001" customHeight="1" x14ac:dyDescent="0.25">
      <c r="A23" s="63">
        <v>11</v>
      </c>
      <c r="B23" s="155" t="s">
        <v>386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387</v>
      </c>
      <c r="C24" s="67">
        <f>data!B225</f>
        <v>2626408.09</v>
      </c>
      <c r="D24" s="67">
        <f>data!C225</f>
        <v>343512.83</v>
      </c>
      <c r="E24" s="67">
        <f>data!D225</f>
        <v>0</v>
      </c>
      <c r="F24" s="67">
        <f>data!E225</f>
        <v>2969920.92</v>
      </c>
    </row>
    <row r="25" spans="1:6" ht="20.100000000000001" customHeight="1" x14ac:dyDescent="0.25">
      <c r="A25" s="63">
        <v>13</v>
      </c>
      <c r="B25" s="67" t="s">
        <v>388</v>
      </c>
      <c r="C25" s="67">
        <f>data!B226</f>
        <v>343285301.45999998</v>
      </c>
      <c r="D25" s="67">
        <f>data!C226</f>
        <v>14875302.779999999</v>
      </c>
      <c r="E25" s="67">
        <f>data!D226</f>
        <v>2704882.1</v>
      </c>
      <c r="F25" s="67">
        <f>data!E226</f>
        <v>355455722.13999993</v>
      </c>
    </row>
    <row r="26" spans="1:6" ht="20.100000000000001" customHeight="1" x14ac:dyDescent="0.25">
      <c r="A26" s="63">
        <v>14</v>
      </c>
      <c r="B26" s="67" t="s">
        <v>881</v>
      </c>
      <c r="C26" s="67">
        <f>data!B227</f>
        <v>0</v>
      </c>
      <c r="D26" s="67">
        <f>data!C227</f>
        <v>0</v>
      </c>
      <c r="E26" s="67">
        <f>data!D227</f>
        <v>0</v>
      </c>
      <c r="F26" s="67">
        <f>data!E227</f>
        <v>0</v>
      </c>
    </row>
    <row r="27" spans="1:6" ht="20.100000000000001" customHeight="1" x14ac:dyDescent="0.25">
      <c r="A27" s="63">
        <v>15</v>
      </c>
      <c r="B27" s="67" t="s">
        <v>882</v>
      </c>
      <c r="C27" s="67">
        <f>data!B228</f>
        <v>28639860.48</v>
      </c>
      <c r="D27" s="67">
        <f>data!C228</f>
        <v>1151774.7</v>
      </c>
      <c r="E27" s="67">
        <f>data!D228</f>
        <v>0</v>
      </c>
      <c r="F27" s="67">
        <f>data!E228</f>
        <v>29791635.18</v>
      </c>
    </row>
    <row r="28" spans="1:6" ht="20.100000000000001" customHeight="1" x14ac:dyDescent="0.25">
      <c r="A28" s="63">
        <v>16</v>
      </c>
      <c r="B28" s="67" t="s">
        <v>883</v>
      </c>
      <c r="C28" s="67">
        <f>data!B229</f>
        <v>154072721.66</v>
      </c>
      <c r="D28" s="67">
        <f>data!C229</f>
        <v>9564431.5299999993</v>
      </c>
      <c r="E28" s="67">
        <f>data!D229</f>
        <v>9359581</v>
      </c>
      <c r="F28" s="67">
        <f>data!E229</f>
        <v>154277572.19</v>
      </c>
    </row>
    <row r="29" spans="1:6" ht="20.100000000000001" customHeight="1" x14ac:dyDescent="0.25">
      <c r="A29" s="63">
        <v>17</v>
      </c>
      <c r="B29" s="67" t="s">
        <v>884</v>
      </c>
      <c r="C29" s="67">
        <f>data!B230</f>
        <v>0</v>
      </c>
      <c r="D29" s="67">
        <f>data!C230</f>
        <v>0</v>
      </c>
      <c r="E29" s="67">
        <f>data!D230</f>
        <v>0</v>
      </c>
      <c r="F29" s="67">
        <f>data!E230</f>
        <v>0</v>
      </c>
    </row>
    <row r="30" spans="1:6" ht="20.100000000000001" customHeight="1" x14ac:dyDescent="0.25">
      <c r="A30" s="63">
        <v>18</v>
      </c>
      <c r="B30" s="67" t="s">
        <v>394</v>
      </c>
      <c r="C30" s="67">
        <f>data!B231</f>
        <v>11047329.050000001</v>
      </c>
      <c r="D30" s="67">
        <f>data!C231</f>
        <v>812181.79</v>
      </c>
      <c r="E30" s="67">
        <f>data!D231</f>
        <v>0</v>
      </c>
      <c r="F30" s="67">
        <f>data!E231</f>
        <v>11859510.84</v>
      </c>
    </row>
    <row r="31" spans="1:6" ht="20.100000000000001" customHeight="1" x14ac:dyDescent="0.25">
      <c r="A31" s="63">
        <v>19</v>
      </c>
      <c r="B31" s="67" t="s">
        <v>885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00000000000001" customHeight="1" x14ac:dyDescent="0.25">
      <c r="A32" s="63">
        <v>20</v>
      </c>
      <c r="B32" s="67" t="s">
        <v>609</v>
      </c>
      <c r="C32" s="67">
        <f>data!B233</f>
        <v>539671620.73999989</v>
      </c>
      <c r="D32" s="67">
        <f>data!C233</f>
        <v>26747203.629999995</v>
      </c>
      <c r="E32" s="67">
        <f>data!D233</f>
        <v>12064463.1</v>
      </c>
      <c r="F32" s="67">
        <f>data!E233</f>
        <v>554354361.26999998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topLeftCell="A7"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9" width="8.77734375" style="1" customWidth="1"/>
    <col min="10" max="16384" width="8.77734375" style="1"/>
  </cols>
  <sheetData>
    <row r="1" spans="1:4" ht="20.100000000000001" customHeight="1" x14ac:dyDescent="0.25">
      <c r="A1" s="62" t="s">
        <v>887</v>
      </c>
      <c r="B1" s="62"/>
      <c r="C1" s="62"/>
      <c r="D1" s="61" t="s">
        <v>888</v>
      </c>
    </row>
    <row r="2" spans="1:4" ht="20.100000000000001" customHeight="1" x14ac:dyDescent="0.25">
      <c r="A2" s="120" t="str">
        <f>"Hospital: "&amp;data!C98</f>
        <v>Hospital: Tacoma General / Allenmore</v>
      </c>
      <c r="B2" s="69"/>
      <c r="C2" s="69"/>
      <c r="D2" s="142" t="str">
        <f>"FYE: "&amp;data!C96</f>
        <v>FYE: 12/31/2024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889</v>
      </c>
      <c r="C4" s="156" t="s">
        <v>890</v>
      </c>
      <c r="D4" s="157"/>
    </row>
    <row r="5" spans="1:4" ht="20.100000000000001" customHeight="1" x14ac:dyDescent="0.25">
      <c r="A5" s="124">
        <v>1</v>
      </c>
      <c r="B5" s="158"/>
      <c r="C5" s="80" t="s">
        <v>398</v>
      </c>
      <c r="D5" s="67">
        <f>data!D237</f>
        <v>30913860.77</v>
      </c>
    </row>
    <row r="6" spans="1:4" ht="20.100000000000001" customHeight="1" x14ac:dyDescent="0.25">
      <c r="A6" s="63">
        <v>2</v>
      </c>
      <c r="B6" s="69"/>
      <c r="C6" s="142" t="s">
        <v>494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350</v>
      </c>
      <c r="D7" s="67">
        <f>data!C239</f>
        <v>1618797857.5138028</v>
      </c>
    </row>
    <row r="8" spans="1:4" ht="20.100000000000001" customHeight="1" x14ac:dyDescent="0.25">
      <c r="A8" s="63">
        <v>4</v>
      </c>
      <c r="B8" s="158">
        <v>5820</v>
      </c>
      <c r="C8" s="67" t="s">
        <v>351</v>
      </c>
      <c r="D8" s="67">
        <f>data!C240</f>
        <v>776267478.66643357</v>
      </c>
    </row>
    <row r="9" spans="1:4" ht="20.100000000000001" customHeight="1" x14ac:dyDescent="0.25">
      <c r="A9" s="63">
        <v>5</v>
      </c>
      <c r="B9" s="158">
        <v>5830</v>
      </c>
      <c r="C9" s="67" t="s">
        <v>363</v>
      </c>
      <c r="D9" s="67">
        <f>data!C241</f>
        <v>37952976.549999982</v>
      </c>
    </row>
    <row r="10" spans="1:4" ht="20.100000000000001" customHeight="1" x14ac:dyDescent="0.25">
      <c r="A10" s="63">
        <v>6</v>
      </c>
      <c r="B10" s="158">
        <v>5840</v>
      </c>
      <c r="C10" s="67" t="s">
        <v>403</v>
      </c>
      <c r="D10" s="67">
        <f>data!C242</f>
        <v>119068536.93914366</v>
      </c>
    </row>
    <row r="11" spans="1:4" ht="20.100000000000001" customHeight="1" x14ac:dyDescent="0.25">
      <c r="A11" s="63">
        <v>7</v>
      </c>
      <c r="B11" s="158">
        <v>5850</v>
      </c>
      <c r="C11" s="67" t="s">
        <v>891</v>
      </c>
      <c r="D11" s="67">
        <f>data!C243</f>
        <v>0</v>
      </c>
    </row>
    <row r="12" spans="1:4" ht="20.100000000000001" customHeight="1" x14ac:dyDescent="0.25">
      <c r="A12" s="63">
        <v>8</v>
      </c>
      <c r="B12" s="158">
        <v>5860</v>
      </c>
      <c r="C12" s="67" t="s">
        <v>158</v>
      </c>
      <c r="D12" s="67">
        <f>data!C244</f>
        <v>1045261779.9206202</v>
      </c>
    </row>
    <row r="13" spans="1:4" ht="20.100000000000001" customHeight="1" x14ac:dyDescent="0.25">
      <c r="A13" s="63">
        <v>9</v>
      </c>
      <c r="B13" s="67"/>
      <c r="C13" s="67" t="s">
        <v>892</v>
      </c>
      <c r="D13" s="67">
        <f>data!D245</f>
        <v>3597348629.5900002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407</v>
      </c>
      <c r="D15" s="153"/>
    </row>
    <row r="16" spans="1:4" ht="20.100000000000001" customHeight="1" x14ac:dyDescent="0.25">
      <c r="A16" s="152">
        <v>12</v>
      </c>
      <c r="B16" s="79"/>
      <c r="C16" s="64" t="s">
        <v>893</v>
      </c>
      <c r="D16" s="63">
        <f>data!C247</f>
        <v>29275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409</v>
      </c>
      <c r="D18" s="67">
        <f>data!C249</f>
        <v>28518556.600000001</v>
      </c>
    </row>
    <row r="19" spans="1:4" ht="20.100000000000001" customHeight="1" x14ac:dyDescent="0.25">
      <c r="A19" s="161">
        <v>15</v>
      </c>
      <c r="B19" s="158">
        <v>5910</v>
      </c>
      <c r="C19" s="80" t="s">
        <v>894</v>
      </c>
      <c r="D19" s="67">
        <f>data!C250</f>
        <v>63359804.009999998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895</v>
      </c>
      <c r="D22" s="67">
        <f>data!D252</f>
        <v>91878360.609999999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413</v>
      </c>
      <c r="D24" s="67">
        <f>data!C254</f>
        <v>31279839.500000004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896</v>
      </c>
      <c r="D26" s="67">
        <f>data!C255</f>
        <v>26616644.449999999</v>
      </c>
    </row>
    <row r="27" spans="1:4" ht="20.100000000000001" customHeight="1" x14ac:dyDescent="0.25">
      <c r="A27" s="144">
        <v>23</v>
      </c>
      <c r="B27" s="163" t="s">
        <v>897</v>
      </c>
      <c r="C27" s="79"/>
      <c r="D27" s="67">
        <f>data!D256</f>
        <v>57896483.950000003</v>
      </c>
    </row>
    <row r="28" spans="1:4" ht="20.100000000000001" customHeight="1" x14ac:dyDescent="0.25">
      <c r="A28" s="72">
        <v>24</v>
      </c>
      <c r="B28" s="138" t="s">
        <v>898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Metadata/LabelInfo.xml><?xml version="1.0" encoding="utf-8"?>
<clbl:labelList xmlns:clbl="http://schemas.microsoft.com/office/2020/mipLabelMetadata">
  <clbl:label id="{1520fa42-cf58-4c22-8b93-58cf1d3bd1cb}" enabled="1" method="Standard" siteId="{11d0e217-264e-400a-8ba0-57dcc127d72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Reichley, Emily K (DOH)</cp:lastModifiedBy>
  <cp:lastPrinted>2024-04-17T17:23:16Z</cp:lastPrinted>
  <dcterms:created xsi:type="dcterms:W3CDTF">1999-06-02T22:01:56Z</dcterms:created>
  <dcterms:modified xsi:type="dcterms:W3CDTF">2025-07-29T20:56:00Z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