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EBCD3528-93A9-44F3-A2DA-621F7D190B11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30" l="1"/>
  <c r="AV88" i="24" l="1"/>
  <c r="D158" i="24"/>
  <c r="C359" i="24"/>
  <c r="C199" i="24" l="1"/>
  <c r="C200" i="24"/>
  <c r="CC83" i="24"/>
  <c r="B52" i="24"/>
  <c r="C187" i="24"/>
  <c r="CC47" i="24"/>
  <c r="AV87" i="24" l="1"/>
  <c r="S87" i="24"/>
  <c r="P88" i="24"/>
  <c r="P87" i="24"/>
  <c r="C184" i="24" l="1"/>
  <c r="B51" i="24"/>
  <c r="E93" i="24" l="1"/>
  <c r="Y93" i="24" l="1"/>
  <c r="E91" i="24" l="1"/>
  <c r="CC80" i="24" l="1"/>
  <c r="E80" i="24"/>
  <c r="BY90" i="24"/>
  <c r="BE90" i="24"/>
  <c r="E90" i="24"/>
  <c r="S90" i="24"/>
  <c r="BQ77" i="24"/>
  <c r="Y77" i="24"/>
  <c r="S77" i="24"/>
  <c r="E77" i="24"/>
  <c r="BY71" i="24" l="1"/>
  <c r="AV71" i="24"/>
  <c r="E71" i="24"/>
  <c r="CC68" i="24" l="1"/>
  <c r="BL66" i="24"/>
  <c r="BH66" i="24"/>
  <c r="AY66" i="24"/>
  <c r="AB66" i="24"/>
  <c r="S66" i="24"/>
  <c r="BQ65" i="24"/>
  <c r="Y65" i="24"/>
  <c r="CC64" i="24"/>
  <c r="BY64" i="24"/>
  <c r="S64" i="24"/>
  <c r="AY64" i="24"/>
  <c r="P64" i="24"/>
  <c r="U70" i="24"/>
  <c r="CC75" i="24"/>
  <c r="CC61" i="24"/>
  <c r="E61" i="24"/>
  <c r="BY61" i="24"/>
  <c r="BL61" i="24"/>
  <c r="E51" i="24"/>
  <c r="BY60" i="24" l="1"/>
  <c r="BL60" i="24" l="1"/>
  <c r="BI60" i="24"/>
  <c r="BH60" i="24"/>
  <c r="AY60" i="24"/>
  <c r="AV60" i="24"/>
  <c r="AL60" i="24"/>
  <c r="Y60" i="24"/>
  <c r="E47" i="24" l="1"/>
  <c r="AV47" i="24"/>
  <c r="BY47" i="24"/>
  <c r="BL47" i="24"/>
  <c r="BI47" i="24"/>
  <c r="BH47" i="24"/>
  <c r="AY47" i="24"/>
  <c r="Y47" i="24"/>
  <c r="AL47" i="24"/>
  <c r="AE47" i="24"/>
  <c r="S47" i="24"/>
  <c r="B47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G179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H64" i="15"/>
  <c r="I64" i="15" s="1"/>
  <c r="F64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H59" i="15"/>
  <c r="I59" i="15" s="1"/>
  <c r="E59" i="15"/>
  <c r="D59" i="15"/>
  <c r="B59" i="15"/>
  <c r="F59" i="15" s="1"/>
  <c r="H58" i="15"/>
  <c r="I58" i="15" s="1"/>
  <c r="E58" i="15"/>
  <c r="D58" i="15"/>
  <c r="B58" i="15"/>
  <c r="F58" i="15" s="1"/>
  <c r="H57" i="15"/>
  <c r="I57" i="15" s="1"/>
  <c r="F57" i="15"/>
  <c r="E57" i="15"/>
  <c r="D57" i="15"/>
  <c r="B57" i="15"/>
  <c r="H56" i="15"/>
  <c r="I56" i="15" s="1"/>
  <c r="E56" i="15"/>
  <c r="D56" i="15"/>
  <c r="B56" i="15"/>
  <c r="F56" i="15" s="1"/>
  <c r="H55" i="15"/>
  <c r="I55" i="15" s="1"/>
  <c r="E55" i="15"/>
  <c r="D55" i="15"/>
  <c r="B55" i="15"/>
  <c r="F55" i="15" s="1"/>
  <c r="H54" i="15"/>
  <c r="I54" i="15" s="1"/>
  <c r="F54" i="15"/>
  <c r="E54" i="15"/>
  <c r="D54" i="15"/>
  <c r="B54" i="15"/>
  <c r="H53" i="15"/>
  <c r="I53" i="15" s="1"/>
  <c r="E53" i="15"/>
  <c r="D53" i="15"/>
  <c r="B53" i="15"/>
  <c r="F53" i="15" s="1"/>
  <c r="H52" i="15"/>
  <c r="I52" i="15" s="1"/>
  <c r="E52" i="15"/>
  <c r="D52" i="15"/>
  <c r="B52" i="15"/>
  <c r="F52" i="15" s="1"/>
  <c r="H51" i="15"/>
  <c r="I51" i="15" s="1"/>
  <c r="F51" i="15"/>
  <c r="E51" i="15"/>
  <c r="D51" i="15"/>
  <c r="B51" i="15"/>
  <c r="E50" i="15"/>
  <c r="D50" i="15"/>
  <c r="B50" i="15"/>
  <c r="F50" i="15" s="1"/>
  <c r="H49" i="15"/>
  <c r="I49" i="15" s="1"/>
  <c r="E49" i="15"/>
  <c r="D49" i="15"/>
  <c r="B49" i="15"/>
  <c r="F49" i="15" s="1"/>
  <c r="E48" i="15"/>
  <c r="D48" i="15"/>
  <c r="F48" i="15" s="1"/>
  <c r="B48" i="15"/>
  <c r="E47" i="15"/>
  <c r="D47" i="15"/>
  <c r="B47" i="15"/>
  <c r="F47" i="15" s="1"/>
  <c r="H46" i="15"/>
  <c r="I46" i="15" s="1"/>
  <c r="E46" i="15"/>
  <c r="D46" i="15"/>
  <c r="B46" i="15"/>
  <c r="F46" i="15" s="1"/>
  <c r="E45" i="15"/>
  <c r="D45" i="15"/>
  <c r="F45" i="15" s="1"/>
  <c r="B45" i="15"/>
  <c r="H44" i="15"/>
  <c r="I44" i="15" s="1"/>
  <c r="E44" i="15"/>
  <c r="D44" i="15"/>
  <c r="B44" i="15"/>
  <c r="F44" i="15" s="1"/>
  <c r="E43" i="15"/>
  <c r="D43" i="15"/>
  <c r="B43" i="15"/>
  <c r="F43" i="15" s="1"/>
  <c r="E42" i="15"/>
  <c r="D42" i="15"/>
  <c r="F42" i="15" s="1"/>
  <c r="B42" i="15"/>
  <c r="E41" i="15"/>
  <c r="D41" i="15"/>
  <c r="B41" i="15"/>
  <c r="F41" i="15" s="1"/>
  <c r="I40" i="15"/>
  <c r="B40" i="15"/>
  <c r="E39" i="15"/>
  <c r="D39" i="15"/>
  <c r="B39" i="15"/>
  <c r="F39" i="15" s="1"/>
  <c r="H38" i="15"/>
  <c r="I38" i="15" s="1"/>
  <c r="E38" i="15"/>
  <c r="D38" i="15"/>
  <c r="B38" i="15"/>
  <c r="F38" i="15" s="1"/>
  <c r="E37" i="15"/>
  <c r="D37" i="15"/>
  <c r="F37" i="15" s="1"/>
  <c r="B37" i="15"/>
  <c r="E36" i="15"/>
  <c r="D36" i="15"/>
  <c r="B36" i="15"/>
  <c r="F36" i="15" s="1"/>
  <c r="E35" i="15"/>
  <c r="D35" i="15"/>
  <c r="B35" i="15"/>
  <c r="F35" i="15" s="1"/>
  <c r="E34" i="15"/>
  <c r="D34" i="15"/>
  <c r="F34" i="15" s="1"/>
  <c r="B34" i="15"/>
  <c r="E33" i="15"/>
  <c r="D33" i="15"/>
  <c r="B33" i="15"/>
  <c r="F33" i="15" s="1"/>
  <c r="I32" i="15"/>
  <c r="B32" i="15"/>
  <c r="I31" i="15"/>
  <c r="B31" i="15"/>
  <c r="E30" i="15"/>
  <c r="D30" i="15"/>
  <c r="F30" i="15" s="1"/>
  <c r="B30" i="15"/>
  <c r="E29" i="15"/>
  <c r="D29" i="15"/>
  <c r="B29" i="15"/>
  <c r="F29" i="15" s="1"/>
  <c r="E28" i="15"/>
  <c r="D28" i="15"/>
  <c r="F28" i="15" s="1"/>
  <c r="B28" i="15"/>
  <c r="H27" i="15"/>
  <c r="I27" i="15" s="1"/>
  <c r="F27" i="15"/>
  <c r="E27" i="15"/>
  <c r="D27" i="15"/>
  <c r="B27" i="15"/>
  <c r="H26" i="15"/>
  <c r="I26" i="15" s="1"/>
  <c r="E26" i="15"/>
  <c r="D26" i="15"/>
  <c r="B26" i="15"/>
  <c r="F26" i="15" s="1"/>
  <c r="H25" i="15"/>
  <c r="I25" i="15" s="1"/>
  <c r="F25" i="15"/>
  <c r="E25" i="15"/>
  <c r="D25" i="15"/>
  <c r="B25" i="15"/>
  <c r="H24" i="15"/>
  <c r="I24" i="15" s="1"/>
  <c r="F24" i="15"/>
  <c r="E24" i="15"/>
  <c r="D24" i="15"/>
  <c r="B24" i="15"/>
  <c r="H23" i="15"/>
  <c r="I23" i="15" s="1"/>
  <c r="E23" i="15"/>
  <c r="D23" i="15"/>
  <c r="B23" i="15"/>
  <c r="F23" i="15" s="1"/>
  <c r="E22" i="15"/>
  <c r="D22" i="15"/>
  <c r="F22" i="15" s="1"/>
  <c r="B22" i="15"/>
  <c r="H21" i="15"/>
  <c r="I21" i="15" s="1"/>
  <c r="F21" i="15"/>
  <c r="E21" i="15"/>
  <c r="D21" i="15"/>
  <c r="B21" i="15"/>
  <c r="H20" i="15"/>
  <c r="I20" i="15" s="1"/>
  <c r="E20" i="15"/>
  <c r="D20" i="15"/>
  <c r="B20" i="15"/>
  <c r="F20" i="15" s="1"/>
  <c r="H19" i="15"/>
  <c r="I19" i="15" s="1"/>
  <c r="F19" i="15"/>
  <c r="E19" i="15"/>
  <c r="D19" i="15"/>
  <c r="B19" i="15"/>
  <c r="H18" i="15"/>
  <c r="I18" i="15" s="1"/>
  <c r="F18" i="15"/>
  <c r="E18" i="15"/>
  <c r="D18" i="15"/>
  <c r="B18" i="15"/>
  <c r="E17" i="15"/>
  <c r="D17" i="15"/>
  <c r="B17" i="15"/>
  <c r="F17" i="15" s="1"/>
  <c r="H16" i="15"/>
  <c r="I16" i="15" s="1"/>
  <c r="F16" i="15"/>
  <c r="E16" i="15"/>
  <c r="D16" i="15"/>
  <c r="B16" i="15"/>
  <c r="E15" i="15"/>
  <c r="D15" i="15"/>
  <c r="F15" i="15" s="1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0" i="24"/>
  <c r="D340" i="24"/>
  <c r="C86" i="8" s="1"/>
  <c r="D339" i="24"/>
  <c r="D329" i="24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1" i="24"/>
  <c r="I381" i="32" s="1"/>
  <c r="AZ91" i="24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O80" i="31" s="1"/>
  <c r="CB69" i="24"/>
  <c r="CA69" i="24"/>
  <c r="BZ69" i="24"/>
  <c r="BY69" i="24"/>
  <c r="BX69" i="24"/>
  <c r="BW69" i="24"/>
  <c r="BV69" i="24"/>
  <c r="BU69" i="24"/>
  <c r="BT69" i="24"/>
  <c r="BS69" i="24"/>
  <c r="BR69" i="24"/>
  <c r="O69" i="31" s="1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O41" i="31" s="1"/>
  <c r="AO69" i="24"/>
  <c r="AN69" i="24"/>
  <c r="AM69" i="24"/>
  <c r="AL69" i="24"/>
  <c r="AK69" i="24"/>
  <c r="AJ69" i="24"/>
  <c r="O35" i="31" s="1"/>
  <c r="AI69" i="24"/>
  <c r="O34" i="31" s="1"/>
  <c r="AH69" i="24"/>
  <c r="AG69" i="24"/>
  <c r="AF69" i="24"/>
  <c r="AE69" i="24"/>
  <c r="AD69" i="24"/>
  <c r="AC69" i="24"/>
  <c r="O28" i="31" s="1"/>
  <c r="AB69" i="24"/>
  <c r="AA69" i="24"/>
  <c r="Z69" i="24"/>
  <c r="Y69" i="24"/>
  <c r="X69" i="24"/>
  <c r="W69" i="24"/>
  <c r="V69" i="24"/>
  <c r="U69" i="24"/>
  <c r="O20" i="31" s="1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B53" i="24"/>
  <c r="CE51" i="24"/>
  <c r="B49" i="24"/>
  <c r="CE47" i="24"/>
  <c r="D416" i="24" l="1"/>
  <c r="E414" i="24" s="1"/>
  <c r="D258" i="24"/>
  <c r="C363" i="24"/>
  <c r="G10" i="4"/>
  <c r="G612" i="24"/>
  <c r="CF91" i="24"/>
  <c r="G147" i="32"/>
  <c r="D371" i="32"/>
  <c r="X48" i="24"/>
  <c r="X62" i="24" s="1"/>
  <c r="BB48" i="24"/>
  <c r="BB62" i="24" s="1"/>
  <c r="Z48" i="24"/>
  <c r="Z62" i="24" s="1"/>
  <c r="BG48" i="24"/>
  <c r="BG62" i="24" s="1"/>
  <c r="AD48" i="24"/>
  <c r="AD62" i="24" s="1"/>
  <c r="BI48" i="24"/>
  <c r="BI62" i="24" s="1"/>
  <c r="BJ48" i="24"/>
  <c r="BJ62" i="24" s="1"/>
  <c r="E48" i="24"/>
  <c r="E62" i="24" s="1"/>
  <c r="F48" i="24"/>
  <c r="F62" i="24" s="1"/>
  <c r="H5" i="31" s="1"/>
  <c r="AG48" i="24"/>
  <c r="AG62" i="24" s="1"/>
  <c r="BK48" i="24"/>
  <c r="BK62" i="24" s="1"/>
  <c r="G268" i="32" s="1"/>
  <c r="I48" i="24"/>
  <c r="I62" i="24" s="1"/>
  <c r="H8" i="31" s="1"/>
  <c r="AJ48" i="24"/>
  <c r="AJ62" i="24" s="1"/>
  <c r="BQ48" i="24"/>
  <c r="BQ62" i="24" s="1"/>
  <c r="H68" i="31" s="1"/>
  <c r="K48" i="24"/>
  <c r="K62" i="24" s="1"/>
  <c r="AK48" i="24"/>
  <c r="AK62" i="24" s="1"/>
  <c r="H36" i="31" s="1"/>
  <c r="BR48" i="24"/>
  <c r="BR62" i="24" s="1"/>
  <c r="AF48" i="24"/>
  <c r="AF62" i="24" s="1"/>
  <c r="M48" i="24"/>
  <c r="M62" i="24" s="1"/>
  <c r="F44" i="32" s="1"/>
  <c r="AR48" i="24"/>
  <c r="AR62" i="24" s="1"/>
  <c r="BZ48" i="24"/>
  <c r="BZ62" i="24" s="1"/>
  <c r="N48" i="24"/>
  <c r="N62" i="24" s="1"/>
  <c r="H13" i="31" s="1"/>
  <c r="AT48" i="24"/>
  <c r="AT62" i="24" s="1"/>
  <c r="D204" i="32" s="1"/>
  <c r="CD48" i="24"/>
  <c r="AU48" i="24"/>
  <c r="AU62" i="24" s="1"/>
  <c r="U48" i="24"/>
  <c r="U62" i="24" s="1"/>
  <c r="H20" i="31" s="1"/>
  <c r="AV48" i="24"/>
  <c r="AV62" i="24" s="1"/>
  <c r="O48" i="24"/>
  <c r="O62" i="24" s="1"/>
  <c r="V48" i="24"/>
  <c r="V62" i="24" s="1"/>
  <c r="AY48" i="24"/>
  <c r="AY62" i="24" s="1"/>
  <c r="H48" i="24"/>
  <c r="H62" i="24" s="1"/>
  <c r="H7" i="31" s="1"/>
  <c r="W48" i="24"/>
  <c r="W62" i="24" s="1"/>
  <c r="AL48" i="24"/>
  <c r="AL62" i="24" s="1"/>
  <c r="BD48" i="24"/>
  <c r="BD62" i="24" s="1"/>
  <c r="H55" i="31" s="1"/>
  <c r="BS48" i="24"/>
  <c r="BS62" i="24" s="1"/>
  <c r="H300" i="32" s="1"/>
  <c r="AM48" i="24"/>
  <c r="AM62" i="24" s="1"/>
  <c r="H38" i="31" s="1"/>
  <c r="BE48" i="24"/>
  <c r="BE62" i="24" s="1"/>
  <c r="BT48" i="24"/>
  <c r="BT62" i="24" s="1"/>
  <c r="H71" i="31" s="1"/>
  <c r="J48" i="24"/>
  <c r="J62" i="24" s="1"/>
  <c r="C44" i="32" s="1"/>
  <c r="Y48" i="24"/>
  <c r="Y62" i="24" s="1"/>
  <c r="AP48" i="24"/>
  <c r="AP62" i="24" s="1"/>
  <c r="BF48" i="24"/>
  <c r="BF62" i="24" s="1"/>
  <c r="BU48" i="24"/>
  <c r="BU62" i="24" s="1"/>
  <c r="H72" i="31" s="1"/>
  <c r="BV48" i="24"/>
  <c r="BV62" i="24" s="1"/>
  <c r="L48" i="24"/>
  <c r="L62" i="24" s="1"/>
  <c r="H11" i="31" s="1"/>
  <c r="AA48" i="24"/>
  <c r="AA62" i="24" s="1"/>
  <c r="H26" i="31" s="1"/>
  <c r="AS48" i="24"/>
  <c r="AS62" i="24" s="1"/>
  <c r="BH48" i="24"/>
  <c r="BH62" i="24" s="1"/>
  <c r="BW48" i="24"/>
  <c r="BW62" i="24" s="1"/>
  <c r="H74" i="31" s="1"/>
  <c r="R48" i="24"/>
  <c r="R62" i="24" s="1"/>
  <c r="H17" i="31" s="1"/>
  <c r="AH48" i="24"/>
  <c r="AH62" i="24" s="1"/>
  <c r="H33" i="31" s="1"/>
  <c r="AW48" i="24"/>
  <c r="AW62" i="24" s="1"/>
  <c r="H48" i="31" s="1"/>
  <c r="BN48" i="24"/>
  <c r="BN62" i="24" s="1"/>
  <c r="C48" i="24"/>
  <c r="C62" i="24" s="1"/>
  <c r="D48" i="24"/>
  <c r="D62" i="24" s="1"/>
  <c r="H3" i="31" s="1"/>
  <c r="T48" i="24"/>
  <c r="T62" i="24" s="1"/>
  <c r="F76" i="32" s="1"/>
  <c r="AI48" i="24"/>
  <c r="AI62" i="24" s="1"/>
  <c r="G140" i="32" s="1"/>
  <c r="AX48" i="24"/>
  <c r="AX62" i="24" s="1"/>
  <c r="H49" i="31" s="1"/>
  <c r="BP48" i="24"/>
  <c r="BP62" i="24" s="1"/>
  <c r="H67" i="31" s="1"/>
  <c r="P48" i="24"/>
  <c r="P62" i="24" s="1"/>
  <c r="H15" i="31" s="1"/>
  <c r="AB48" i="24"/>
  <c r="AB62" i="24" s="1"/>
  <c r="AN48" i="24"/>
  <c r="AN62" i="24" s="1"/>
  <c r="H39" i="31" s="1"/>
  <c r="AZ48" i="24"/>
  <c r="AZ62" i="24" s="1"/>
  <c r="C236" i="32" s="1"/>
  <c r="BL48" i="24"/>
  <c r="BL62" i="24" s="1"/>
  <c r="BX48" i="24"/>
  <c r="BX62" i="24" s="1"/>
  <c r="H75" i="31" s="1"/>
  <c r="Q48" i="24"/>
  <c r="Q62" i="24" s="1"/>
  <c r="AC48" i="24"/>
  <c r="AC62" i="24" s="1"/>
  <c r="H28" i="31" s="1"/>
  <c r="AO48" i="24"/>
  <c r="AO62" i="24" s="1"/>
  <c r="BA48" i="24"/>
  <c r="BA62" i="24" s="1"/>
  <c r="D236" i="32" s="1"/>
  <c r="BM48" i="24"/>
  <c r="BM62" i="24" s="1"/>
  <c r="I268" i="32" s="1"/>
  <c r="BY48" i="24"/>
  <c r="BY62" i="24" s="1"/>
  <c r="G332" i="32" s="1"/>
  <c r="G48" i="24"/>
  <c r="G62" i="24" s="1"/>
  <c r="H6" i="31" s="1"/>
  <c r="S48" i="24"/>
  <c r="S62" i="24" s="1"/>
  <c r="AE48" i="24"/>
  <c r="AE62" i="24" s="1"/>
  <c r="H30" i="31" s="1"/>
  <c r="AQ48" i="24"/>
  <c r="AQ62" i="24" s="1"/>
  <c r="H42" i="31" s="1"/>
  <c r="BC48" i="24"/>
  <c r="BC62" i="24" s="1"/>
  <c r="H54" i="31" s="1"/>
  <c r="BO48" i="24"/>
  <c r="BO62" i="24" s="1"/>
  <c r="H66" i="31" s="1"/>
  <c r="CA48" i="24"/>
  <c r="CA62" i="24" s="1"/>
  <c r="CB48" i="24"/>
  <c r="CB62" i="24" s="1"/>
  <c r="H79" i="31" s="1"/>
  <c r="CC48" i="24"/>
  <c r="CC62" i="24" s="1"/>
  <c r="H80" i="31" s="1"/>
  <c r="H50" i="31"/>
  <c r="I204" i="32"/>
  <c r="H60" i="31"/>
  <c r="E268" i="32"/>
  <c r="CE69" i="24"/>
  <c r="I371" i="32" s="1"/>
  <c r="AE12" i="31"/>
  <c r="F58" i="32"/>
  <c r="AE24" i="31"/>
  <c r="D122" i="32"/>
  <c r="AE36" i="31"/>
  <c r="I154" i="32"/>
  <c r="CE89" i="24"/>
  <c r="E76" i="32"/>
  <c r="H19" i="31"/>
  <c r="H31" i="31"/>
  <c r="D140" i="32"/>
  <c r="H43" i="31"/>
  <c r="I172" i="32"/>
  <c r="F69" i="15"/>
  <c r="H21" i="31"/>
  <c r="H76" i="32"/>
  <c r="H69" i="31"/>
  <c r="G300" i="32"/>
  <c r="H57" i="31"/>
  <c r="I236" i="32"/>
  <c r="BK2" i="30"/>
  <c r="I362" i="32"/>
  <c r="H612" i="24"/>
  <c r="H10" i="31"/>
  <c r="D44" i="32"/>
  <c r="H22" i="31"/>
  <c r="I76" i="32"/>
  <c r="H46" i="31"/>
  <c r="E204" i="32"/>
  <c r="H58" i="31"/>
  <c r="H25" i="31"/>
  <c r="E108" i="32"/>
  <c r="O3" i="31"/>
  <c r="D19" i="32"/>
  <c r="O15" i="31"/>
  <c r="I51" i="32"/>
  <c r="O27" i="31"/>
  <c r="G115" i="32"/>
  <c r="O39" i="31"/>
  <c r="E179" i="32"/>
  <c r="O51" i="31"/>
  <c r="C243" i="32"/>
  <c r="O63" i="31"/>
  <c r="H275" i="32"/>
  <c r="O75" i="31"/>
  <c r="F339" i="32"/>
  <c r="I332" i="32"/>
  <c r="H23" i="31"/>
  <c r="C108" i="32"/>
  <c r="H35" i="31"/>
  <c r="H140" i="32"/>
  <c r="H47" i="31"/>
  <c r="F204" i="32"/>
  <c r="H27" i="31"/>
  <c r="G108" i="32"/>
  <c r="O76" i="31"/>
  <c r="G339" i="32"/>
  <c r="O6" i="31"/>
  <c r="G19" i="32"/>
  <c r="O18" i="31"/>
  <c r="E83" i="32"/>
  <c r="O30" i="31"/>
  <c r="C147" i="32"/>
  <c r="O42" i="31"/>
  <c r="H179" i="32"/>
  <c r="O54" i="31"/>
  <c r="F243" i="32"/>
  <c r="O66" i="31"/>
  <c r="D307" i="32"/>
  <c r="O78" i="31"/>
  <c r="I339" i="32"/>
  <c r="H61" i="31"/>
  <c r="H73" i="31"/>
  <c r="D332" i="32"/>
  <c r="O4" i="31"/>
  <c r="E19" i="32"/>
  <c r="O16" i="31"/>
  <c r="C83" i="32"/>
  <c r="O40" i="31"/>
  <c r="F179" i="32"/>
  <c r="O52" i="31"/>
  <c r="D243" i="32"/>
  <c r="O64" i="31"/>
  <c r="I275" i="32"/>
  <c r="O5" i="31"/>
  <c r="F19" i="32"/>
  <c r="O17" i="31"/>
  <c r="D83" i="32"/>
  <c r="O29" i="31"/>
  <c r="I115" i="32"/>
  <c r="O53" i="31"/>
  <c r="E243" i="32"/>
  <c r="C307" i="32"/>
  <c r="O65" i="31"/>
  <c r="O77" i="31"/>
  <c r="H339" i="32"/>
  <c r="AE11" i="31"/>
  <c r="E58" i="32"/>
  <c r="AE23" i="31"/>
  <c r="C122" i="32"/>
  <c r="AE35" i="31"/>
  <c r="H154" i="32"/>
  <c r="AE47" i="31"/>
  <c r="F218" i="32"/>
  <c r="G28" i="4"/>
  <c r="E28" i="4"/>
  <c r="D383" i="24"/>
  <c r="C137" i="8" s="1"/>
  <c r="F65" i="15"/>
  <c r="H147" i="32"/>
  <c r="O7" i="31"/>
  <c r="H19" i="32"/>
  <c r="O67" i="31"/>
  <c r="E307" i="32"/>
  <c r="H332" i="32"/>
  <c r="O68" i="31"/>
  <c r="F307" i="32"/>
  <c r="H115" i="32"/>
  <c r="H16" i="31"/>
  <c r="C76" i="32"/>
  <c r="AE13" i="31"/>
  <c r="G58" i="32"/>
  <c r="H53" i="31"/>
  <c r="E236" i="32"/>
  <c r="O8" i="31"/>
  <c r="I19" i="32"/>
  <c r="C211" i="32"/>
  <c r="O44" i="31"/>
  <c r="O9" i="31"/>
  <c r="C51" i="32"/>
  <c r="O21" i="31"/>
  <c r="H83" i="32"/>
  <c r="O33" i="31"/>
  <c r="F147" i="32"/>
  <c r="D211" i="32"/>
  <c r="O45" i="31"/>
  <c r="I243" i="32"/>
  <c r="O57" i="31"/>
  <c r="E371" i="32"/>
  <c r="CD85" i="24"/>
  <c r="C615" i="24"/>
  <c r="O10" i="31"/>
  <c r="D51" i="32"/>
  <c r="O22" i="31"/>
  <c r="I83" i="32"/>
  <c r="O46" i="31"/>
  <c r="E211" i="32"/>
  <c r="O58" i="31"/>
  <c r="C275" i="32"/>
  <c r="O70" i="31"/>
  <c r="H307" i="32"/>
  <c r="AE4" i="31"/>
  <c r="E26" i="32"/>
  <c r="F63" i="15"/>
  <c r="G243" i="32"/>
  <c r="O55" i="31"/>
  <c r="AE25" i="31"/>
  <c r="E122" i="32"/>
  <c r="H41" i="31"/>
  <c r="G172" i="32"/>
  <c r="O56" i="31"/>
  <c r="H243" i="32"/>
  <c r="H56" i="31"/>
  <c r="H236" i="32"/>
  <c r="O47" i="31"/>
  <c r="F211" i="32"/>
  <c r="O59" i="31"/>
  <c r="D275" i="32"/>
  <c r="O71" i="31"/>
  <c r="I307" i="32"/>
  <c r="AE5" i="31"/>
  <c r="F26" i="32"/>
  <c r="AE17" i="31"/>
  <c r="D90" i="32"/>
  <c r="AE29" i="31"/>
  <c r="I122" i="32"/>
  <c r="AE41" i="31"/>
  <c r="G186" i="32"/>
  <c r="C74" i="8"/>
  <c r="H40" i="31"/>
  <c r="F172" i="32"/>
  <c r="O19" i="31"/>
  <c r="F83" i="32"/>
  <c r="AE37" i="31"/>
  <c r="C186" i="32"/>
  <c r="O23" i="31"/>
  <c r="C115" i="32"/>
  <c r="O12" i="31"/>
  <c r="F51" i="32"/>
  <c r="O24" i="31"/>
  <c r="D115" i="32"/>
  <c r="O36" i="31"/>
  <c r="I147" i="32"/>
  <c r="O48" i="31"/>
  <c r="G211" i="32"/>
  <c r="O60" i="31"/>
  <c r="E275" i="32"/>
  <c r="C339" i="32"/>
  <c r="O72" i="31"/>
  <c r="AE6" i="31"/>
  <c r="G26" i="32"/>
  <c r="C85" i="8"/>
  <c r="D341" i="24"/>
  <c r="C87" i="8" s="1"/>
  <c r="F612" i="24"/>
  <c r="H4" i="31"/>
  <c r="E12" i="32"/>
  <c r="O31" i="31"/>
  <c r="D147" i="32"/>
  <c r="C371" i="32"/>
  <c r="O79" i="31"/>
  <c r="H29" i="31"/>
  <c r="I108" i="32"/>
  <c r="O13" i="31"/>
  <c r="G51" i="32"/>
  <c r="O25" i="31"/>
  <c r="E115" i="32"/>
  <c r="O37" i="31"/>
  <c r="C179" i="32"/>
  <c r="O49" i="31"/>
  <c r="H211" i="32"/>
  <c r="O61" i="31"/>
  <c r="F275" i="32"/>
  <c r="D339" i="32"/>
  <c r="O73" i="31"/>
  <c r="E233" i="24"/>
  <c r="F32" i="6" s="1"/>
  <c r="G83" i="32"/>
  <c r="G307" i="32"/>
  <c r="O43" i="31"/>
  <c r="I179" i="32"/>
  <c r="I380" i="32"/>
  <c r="D612" i="24"/>
  <c r="CF90" i="24"/>
  <c r="BY52" i="24" s="1"/>
  <c r="BY67" i="24" s="1"/>
  <c r="H65" i="31"/>
  <c r="C300" i="32"/>
  <c r="O32" i="31"/>
  <c r="E147" i="32"/>
  <c r="F300" i="32"/>
  <c r="O11" i="31"/>
  <c r="E51" i="32"/>
  <c r="O2" i="31"/>
  <c r="C19" i="32"/>
  <c r="O14" i="31"/>
  <c r="H51" i="32"/>
  <c r="O26" i="31"/>
  <c r="F115" i="32"/>
  <c r="O38" i="31"/>
  <c r="D179" i="32"/>
  <c r="O50" i="31"/>
  <c r="I211" i="32"/>
  <c r="G275" i="32"/>
  <c r="O62" i="31"/>
  <c r="E339" i="32"/>
  <c r="O74" i="31"/>
  <c r="D27" i="7"/>
  <c r="C365" i="24"/>
  <c r="C113" i="8"/>
  <c r="AE2" i="31"/>
  <c r="C26" i="32"/>
  <c r="AE14" i="31"/>
  <c r="H58" i="32"/>
  <c r="AE26" i="31"/>
  <c r="F122" i="32"/>
  <c r="AE38" i="31"/>
  <c r="D186" i="32"/>
  <c r="AE3" i="31"/>
  <c r="D26" i="32"/>
  <c r="AE15" i="31"/>
  <c r="I58" i="32"/>
  <c r="AE27" i="31"/>
  <c r="G122" i="32"/>
  <c r="AE39" i="31"/>
  <c r="E186" i="32"/>
  <c r="AH51" i="31"/>
  <c r="C253" i="32"/>
  <c r="I612" i="24"/>
  <c r="AE16" i="31"/>
  <c r="C90" i="32"/>
  <c r="AE28" i="31"/>
  <c r="H122" i="32"/>
  <c r="AE40" i="31"/>
  <c r="F186" i="32"/>
  <c r="J612" i="24"/>
  <c r="AE18" i="31"/>
  <c r="E90" i="32"/>
  <c r="AE30" i="31"/>
  <c r="C154" i="32"/>
  <c r="AE42" i="31"/>
  <c r="H186" i="32"/>
  <c r="BN2" i="30"/>
  <c r="C117" i="8"/>
  <c r="DF2" i="30"/>
  <c r="C170" i="8"/>
  <c r="L612" i="24"/>
  <c r="AE7" i="31"/>
  <c r="H26" i="32"/>
  <c r="AE19" i="31"/>
  <c r="F90" i="32"/>
  <c r="AE31" i="31"/>
  <c r="D154" i="32"/>
  <c r="AE43" i="31"/>
  <c r="I186" i="32"/>
  <c r="G19" i="4"/>
  <c r="E19" i="4"/>
  <c r="E220" i="24"/>
  <c r="F420" i="24"/>
  <c r="AE8" i="31"/>
  <c r="I26" i="32"/>
  <c r="AE20" i="31"/>
  <c r="G90" i="32"/>
  <c r="AE32" i="31"/>
  <c r="E154" i="32"/>
  <c r="AE44" i="31"/>
  <c r="C218" i="32"/>
  <c r="D308" i="24"/>
  <c r="AE9" i="31"/>
  <c r="C58" i="32"/>
  <c r="AE21" i="31"/>
  <c r="H90" i="32"/>
  <c r="AE33" i="31"/>
  <c r="F154" i="32"/>
  <c r="AE45" i="31"/>
  <c r="D218" i="32"/>
  <c r="CF2" i="28"/>
  <c r="D5" i="7"/>
  <c r="AE10" i="31"/>
  <c r="D58" i="32"/>
  <c r="AE22" i="31"/>
  <c r="I90" i="32"/>
  <c r="AE34" i="31"/>
  <c r="G154" i="32"/>
  <c r="AE46" i="31"/>
  <c r="E218" i="32"/>
  <c r="C715" i="34"/>
  <c r="D615" i="34"/>
  <c r="C648" i="34"/>
  <c r="M716" i="34" s="1"/>
  <c r="D26" i="33" l="1"/>
  <c r="C167" i="8"/>
  <c r="D350" i="24"/>
  <c r="D364" i="32"/>
  <c r="M76" i="31"/>
  <c r="G337" i="32"/>
  <c r="CB52" i="24"/>
  <c r="CB67" i="24" s="1"/>
  <c r="CA52" i="24"/>
  <c r="CA67" i="24" s="1"/>
  <c r="CA85" i="24" s="1"/>
  <c r="C91" i="15" s="1"/>
  <c r="G91" i="15" s="1"/>
  <c r="BQ52" i="24"/>
  <c r="BQ67" i="24" s="1"/>
  <c r="BE52" i="24"/>
  <c r="BE67" i="24" s="1"/>
  <c r="AS52" i="24"/>
  <c r="AS67" i="24" s="1"/>
  <c r="AS85" i="24" s="1"/>
  <c r="AG52" i="24"/>
  <c r="AG67" i="24" s="1"/>
  <c r="AG85" i="24" s="1"/>
  <c r="U52" i="24"/>
  <c r="U67" i="24" s="1"/>
  <c r="U85" i="24" s="1"/>
  <c r="C33" i="15" s="1"/>
  <c r="I52" i="24"/>
  <c r="I67" i="24" s="1"/>
  <c r="I85" i="24" s="1"/>
  <c r="C674" i="24" s="1"/>
  <c r="BP52" i="24"/>
  <c r="BP67" i="24" s="1"/>
  <c r="BP85" i="24" s="1"/>
  <c r="C80" i="15" s="1"/>
  <c r="G80" i="15" s="1"/>
  <c r="BD52" i="24"/>
  <c r="BD67" i="24" s="1"/>
  <c r="BD85" i="24" s="1"/>
  <c r="G245" i="32" s="1"/>
  <c r="AR52" i="24"/>
  <c r="AR67" i="24" s="1"/>
  <c r="AF52" i="24"/>
  <c r="AF67" i="24" s="1"/>
  <c r="T52" i="24"/>
  <c r="T67" i="24" s="1"/>
  <c r="H52" i="24"/>
  <c r="H67" i="24" s="1"/>
  <c r="H85" i="24" s="1"/>
  <c r="C20" i="15" s="1"/>
  <c r="G20" i="15" s="1"/>
  <c r="BO52" i="24"/>
  <c r="BO67" i="24" s="1"/>
  <c r="BC52" i="24"/>
  <c r="BC67" i="24" s="1"/>
  <c r="AQ52" i="24"/>
  <c r="AQ67" i="24" s="1"/>
  <c r="AE52" i="24"/>
  <c r="AE67" i="24" s="1"/>
  <c r="S52" i="24"/>
  <c r="S67" i="24" s="1"/>
  <c r="S85" i="24" s="1"/>
  <c r="G52" i="24"/>
  <c r="G67" i="24" s="1"/>
  <c r="G85" i="24" s="1"/>
  <c r="G21" i="32" s="1"/>
  <c r="BZ52" i="24"/>
  <c r="BZ67" i="24" s="1"/>
  <c r="BZ85" i="24" s="1"/>
  <c r="BN52" i="24"/>
  <c r="BN67" i="24" s="1"/>
  <c r="BN85" i="24" s="1"/>
  <c r="BB52" i="24"/>
  <c r="BB67" i="24" s="1"/>
  <c r="AP52" i="24"/>
  <c r="AP67" i="24" s="1"/>
  <c r="AD52" i="24"/>
  <c r="AD67" i="24" s="1"/>
  <c r="R52" i="24"/>
  <c r="R67" i="24" s="1"/>
  <c r="R85" i="24" s="1"/>
  <c r="D85" i="32" s="1"/>
  <c r="F52" i="24"/>
  <c r="F67" i="24" s="1"/>
  <c r="BM52" i="24"/>
  <c r="BM67" i="24" s="1"/>
  <c r="BA52" i="24"/>
  <c r="BA67" i="24" s="1"/>
  <c r="AO52" i="24"/>
  <c r="AO67" i="24" s="1"/>
  <c r="AO85" i="24" s="1"/>
  <c r="AC52" i="24"/>
  <c r="AC67" i="24" s="1"/>
  <c r="AC85" i="24" s="1"/>
  <c r="H117" i="32" s="1"/>
  <c r="Q52" i="24"/>
  <c r="Q67" i="24" s="1"/>
  <c r="E52" i="24"/>
  <c r="E67" i="24" s="1"/>
  <c r="D52" i="24"/>
  <c r="D67" i="24" s="1"/>
  <c r="D85" i="24" s="1"/>
  <c r="C52" i="24"/>
  <c r="BL52" i="24"/>
  <c r="BL67" i="24" s="1"/>
  <c r="AZ52" i="24"/>
  <c r="AZ67" i="24" s="1"/>
  <c r="AN52" i="24"/>
  <c r="AN67" i="24" s="1"/>
  <c r="AB52" i="24"/>
  <c r="AB67" i="24" s="1"/>
  <c r="P52" i="24"/>
  <c r="P67" i="24" s="1"/>
  <c r="P85" i="24" s="1"/>
  <c r="I53" i="32" s="1"/>
  <c r="O52" i="24"/>
  <c r="O67" i="24" s="1"/>
  <c r="O85" i="24" s="1"/>
  <c r="BR52" i="24"/>
  <c r="BR67" i="24" s="1"/>
  <c r="AT52" i="24"/>
  <c r="AT67" i="24" s="1"/>
  <c r="AT85" i="24" s="1"/>
  <c r="C711" i="24" s="1"/>
  <c r="V52" i="24"/>
  <c r="V67" i="24" s="1"/>
  <c r="BK52" i="24"/>
  <c r="BK67" i="24" s="1"/>
  <c r="BK85" i="24" s="1"/>
  <c r="G277" i="32" s="1"/>
  <c r="AY52" i="24"/>
  <c r="AY67" i="24" s="1"/>
  <c r="AM52" i="24"/>
  <c r="AM67" i="24" s="1"/>
  <c r="AA52" i="24"/>
  <c r="AA67" i="24" s="1"/>
  <c r="AA85" i="24" s="1"/>
  <c r="C39" i="15" s="1"/>
  <c r="BJ52" i="24"/>
  <c r="BJ67" i="24" s="1"/>
  <c r="AX52" i="24"/>
  <c r="AX67" i="24" s="1"/>
  <c r="AX85" i="24" s="1"/>
  <c r="H213" i="32" s="1"/>
  <c r="AL52" i="24"/>
  <c r="AL67" i="24" s="1"/>
  <c r="Z52" i="24"/>
  <c r="Z67" i="24" s="1"/>
  <c r="N52" i="24"/>
  <c r="N67" i="24" s="1"/>
  <c r="N85" i="24" s="1"/>
  <c r="G53" i="32" s="1"/>
  <c r="BI52" i="24"/>
  <c r="BI67" i="24" s="1"/>
  <c r="AW52" i="24"/>
  <c r="AW67" i="24" s="1"/>
  <c r="AW85" i="24" s="1"/>
  <c r="G213" i="32" s="1"/>
  <c r="AK52" i="24"/>
  <c r="AK67" i="24" s="1"/>
  <c r="Y52" i="24"/>
  <c r="Y67" i="24" s="1"/>
  <c r="Y85" i="24" s="1"/>
  <c r="M52" i="24"/>
  <c r="M67" i="24" s="1"/>
  <c r="M85" i="24" s="1"/>
  <c r="BH52" i="24"/>
  <c r="BH67" i="24" s="1"/>
  <c r="BH85" i="24" s="1"/>
  <c r="AV52" i="24"/>
  <c r="AV67" i="24" s="1"/>
  <c r="AJ52" i="24"/>
  <c r="AJ67" i="24" s="1"/>
  <c r="X52" i="24"/>
  <c r="X67" i="24" s="1"/>
  <c r="L52" i="24"/>
  <c r="L67" i="24" s="1"/>
  <c r="BG52" i="24"/>
  <c r="BG67" i="24" s="1"/>
  <c r="AU52" i="24"/>
  <c r="AU67" i="24" s="1"/>
  <c r="AI52" i="24"/>
  <c r="AI67" i="24" s="1"/>
  <c r="AI85" i="24" s="1"/>
  <c r="C700" i="24" s="1"/>
  <c r="W52" i="24"/>
  <c r="W67" i="24" s="1"/>
  <c r="K52" i="24"/>
  <c r="K67" i="24" s="1"/>
  <c r="CD52" i="24"/>
  <c r="BF52" i="24"/>
  <c r="BF67" i="24" s="1"/>
  <c r="AH52" i="24"/>
  <c r="AH67" i="24" s="1"/>
  <c r="J52" i="24"/>
  <c r="J67" i="24" s="1"/>
  <c r="BJ85" i="24"/>
  <c r="F277" i="32" s="1"/>
  <c r="BX52" i="24"/>
  <c r="BX67" i="24" s="1"/>
  <c r="BX85" i="24" s="1"/>
  <c r="C88" i="15" s="1"/>
  <c r="G88" i="15" s="1"/>
  <c r="BW52" i="24"/>
  <c r="BW67" i="24" s="1"/>
  <c r="BV52" i="24"/>
  <c r="BV67" i="24" s="1"/>
  <c r="BL85" i="24"/>
  <c r="C76" i="15" s="1"/>
  <c r="G76" i="15" s="1"/>
  <c r="BU52" i="24"/>
  <c r="BU67" i="24" s="1"/>
  <c r="BU85" i="24" s="1"/>
  <c r="C341" i="32" s="1"/>
  <c r="BT52" i="24"/>
  <c r="BT67" i="24" s="1"/>
  <c r="BT85" i="24" s="1"/>
  <c r="I309" i="32" s="1"/>
  <c r="BS52" i="24"/>
  <c r="BS67" i="24" s="1"/>
  <c r="BS85" i="24" s="1"/>
  <c r="H309" i="32" s="1"/>
  <c r="CC52" i="24"/>
  <c r="CC67" i="24" s="1"/>
  <c r="H12" i="31"/>
  <c r="C268" i="32"/>
  <c r="I140" i="32"/>
  <c r="H14" i="31"/>
  <c r="D108" i="32"/>
  <c r="H24" i="31"/>
  <c r="C204" i="32"/>
  <c r="F268" i="32"/>
  <c r="C332" i="32"/>
  <c r="CB85" i="24"/>
  <c r="C373" i="32" s="1"/>
  <c r="H12" i="32"/>
  <c r="C364" i="32"/>
  <c r="H108" i="32"/>
  <c r="BO85" i="24"/>
  <c r="D309" i="32" s="1"/>
  <c r="H45" i="31"/>
  <c r="D12" i="32"/>
  <c r="H76" i="31"/>
  <c r="H77" i="31"/>
  <c r="E44" i="32"/>
  <c r="F85" i="24"/>
  <c r="C671" i="24" s="1"/>
  <c r="F12" i="32"/>
  <c r="H52" i="31"/>
  <c r="D76" i="32"/>
  <c r="H78" i="31"/>
  <c r="H34" i="31"/>
  <c r="L85" i="24"/>
  <c r="C24" i="15" s="1"/>
  <c r="G24" i="15" s="1"/>
  <c r="C172" i="32"/>
  <c r="BA85" i="24"/>
  <c r="D245" i="32" s="1"/>
  <c r="H37" i="31"/>
  <c r="H44" i="32"/>
  <c r="H44" i="31"/>
  <c r="H62" i="31"/>
  <c r="E300" i="32"/>
  <c r="H70" i="31"/>
  <c r="D300" i="32"/>
  <c r="H204" i="32"/>
  <c r="G44" i="32"/>
  <c r="G236" i="32"/>
  <c r="F332" i="32"/>
  <c r="H64" i="31"/>
  <c r="E140" i="32"/>
  <c r="H32" i="31"/>
  <c r="G12" i="32"/>
  <c r="D268" i="32"/>
  <c r="H59" i="31"/>
  <c r="AM85" i="24"/>
  <c r="D181" i="32" s="1"/>
  <c r="D172" i="32"/>
  <c r="I12" i="32"/>
  <c r="I300" i="32"/>
  <c r="AN85" i="24"/>
  <c r="E181" i="32" s="1"/>
  <c r="AE85" i="24"/>
  <c r="C149" i="32" s="1"/>
  <c r="H18" i="31"/>
  <c r="F108" i="32"/>
  <c r="C140" i="32"/>
  <c r="G76" i="32"/>
  <c r="E172" i="32"/>
  <c r="H9" i="31"/>
  <c r="AZ85" i="24"/>
  <c r="C245" i="32" s="1"/>
  <c r="G204" i="32"/>
  <c r="H63" i="31"/>
  <c r="H51" i="31"/>
  <c r="AH85" i="24"/>
  <c r="F149" i="32" s="1"/>
  <c r="F140" i="32"/>
  <c r="E332" i="32"/>
  <c r="H172" i="32"/>
  <c r="I44" i="32"/>
  <c r="J85" i="24"/>
  <c r="C22" i="15" s="1"/>
  <c r="F236" i="32"/>
  <c r="H268" i="32"/>
  <c r="CE48" i="24"/>
  <c r="BY85" i="24"/>
  <c r="C89" i="15" s="1"/>
  <c r="G89" i="15" s="1"/>
  <c r="BP2" i="30"/>
  <c r="C119" i="8"/>
  <c r="H2" i="31"/>
  <c r="C12" i="32"/>
  <c r="CE62" i="24"/>
  <c r="I364" i="32" s="1"/>
  <c r="C74" i="15"/>
  <c r="G74" i="15" s="1"/>
  <c r="C617" i="24"/>
  <c r="D710" i="34"/>
  <c r="D711" i="34"/>
  <c r="D713" i="34"/>
  <c r="D716" i="34"/>
  <c r="D712" i="34"/>
  <c r="D693" i="34"/>
  <c r="D681" i="34"/>
  <c r="D669" i="34"/>
  <c r="D694" i="34"/>
  <c r="D682" i="34"/>
  <c r="D670" i="34"/>
  <c r="D645" i="34"/>
  <c r="D626" i="34"/>
  <c r="D623" i="34"/>
  <c r="D617" i="34"/>
  <c r="D705" i="34"/>
  <c r="D695" i="34"/>
  <c r="D683" i="34"/>
  <c r="D671" i="34"/>
  <c r="D642" i="34"/>
  <c r="D639" i="34"/>
  <c r="D636" i="34"/>
  <c r="D633" i="34"/>
  <c r="D630" i="34"/>
  <c r="D696" i="34"/>
  <c r="D684" i="34"/>
  <c r="D672" i="34"/>
  <c r="D628" i="34"/>
  <c r="D622" i="34"/>
  <c r="D616" i="34"/>
  <c r="D707" i="34"/>
  <c r="D697" i="34"/>
  <c r="D685" i="34"/>
  <c r="D673" i="34"/>
  <c r="D709" i="34"/>
  <c r="D698" i="34"/>
  <c r="D686" i="34"/>
  <c r="D674" i="34"/>
  <c r="D646" i="34"/>
  <c r="D621" i="34"/>
  <c r="D700" i="34"/>
  <c r="D688" i="34"/>
  <c r="D676" i="34"/>
  <c r="D620" i="34"/>
  <c r="D701" i="34"/>
  <c r="D689" i="34"/>
  <c r="D677" i="34"/>
  <c r="D627" i="34"/>
  <c r="D706" i="34"/>
  <c r="D702" i="34"/>
  <c r="D690" i="34"/>
  <c r="D678" i="34"/>
  <c r="D647" i="34"/>
  <c r="D629" i="34"/>
  <c r="D619" i="34"/>
  <c r="D703" i="34"/>
  <c r="D691" i="34"/>
  <c r="D679" i="34"/>
  <c r="D644" i="34"/>
  <c r="D641" i="34"/>
  <c r="D638" i="34"/>
  <c r="D635" i="34"/>
  <c r="D632" i="34"/>
  <c r="D624" i="34"/>
  <c r="D708" i="34"/>
  <c r="D704" i="34"/>
  <c r="D692" i="34"/>
  <c r="D680" i="34"/>
  <c r="D668" i="34"/>
  <c r="D618" i="34"/>
  <c r="D634" i="34"/>
  <c r="D675" i="34"/>
  <c r="D640" i="34"/>
  <c r="D625" i="34"/>
  <c r="D687" i="34"/>
  <c r="D699" i="34"/>
  <c r="D631" i="34"/>
  <c r="D637" i="34"/>
  <c r="D643" i="34"/>
  <c r="I378" i="32"/>
  <c r="K612" i="24"/>
  <c r="F16" i="6"/>
  <c r="F234" i="24"/>
  <c r="D366" i="24"/>
  <c r="D12" i="33"/>
  <c r="C50" i="8"/>
  <c r="F309" i="24"/>
  <c r="D352" i="24"/>
  <c r="C103" i="8" s="1"/>
  <c r="E380" i="24"/>
  <c r="E373" i="32"/>
  <c r="C94" i="15"/>
  <c r="G94" i="15" s="1"/>
  <c r="H53" i="32" l="1"/>
  <c r="C680" i="24"/>
  <c r="C92" i="15"/>
  <c r="G92" i="15" s="1"/>
  <c r="C684" i="24"/>
  <c r="E85" i="32"/>
  <c r="C31" i="15"/>
  <c r="G31" i="15" s="1"/>
  <c r="C636" i="24"/>
  <c r="C72" i="15"/>
  <c r="G72" i="15" s="1"/>
  <c r="D277" i="32"/>
  <c r="H277" i="32"/>
  <c r="D117" i="32"/>
  <c r="C690" i="24"/>
  <c r="C37" i="15"/>
  <c r="G37" i="15" s="1"/>
  <c r="D21" i="32"/>
  <c r="C16" i="15"/>
  <c r="G16" i="15" s="1"/>
  <c r="C669" i="24"/>
  <c r="F53" i="32"/>
  <c r="C678" i="24"/>
  <c r="C25" i="15"/>
  <c r="G25" i="15" s="1"/>
  <c r="C78" i="15"/>
  <c r="G78" i="15" s="1"/>
  <c r="C619" i="24"/>
  <c r="C309" i="32"/>
  <c r="C27" i="15"/>
  <c r="G27" i="15" s="1"/>
  <c r="C90" i="15"/>
  <c r="G90" i="15" s="1"/>
  <c r="C646" i="24"/>
  <c r="H341" i="32"/>
  <c r="C698" i="24"/>
  <c r="E149" i="32"/>
  <c r="C45" i="15"/>
  <c r="H45" i="15" s="1"/>
  <c r="I45" i="15" s="1"/>
  <c r="C213" i="32"/>
  <c r="C710" i="24"/>
  <c r="C57" i="15"/>
  <c r="G57" i="15" s="1"/>
  <c r="C53" i="15"/>
  <c r="G53" i="15" s="1"/>
  <c r="F181" i="32"/>
  <c r="C706" i="24"/>
  <c r="M80" i="31"/>
  <c r="D369" i="32"/>
  <c r="M64" i="31"/>
  <c r="I273" i="32"/>
  <c r="BE85" i="24"/>
  <c r="M56" i="31"/>
  <c r="H241" i="32"/>
  <c r="M11" i="31"/>
  <c r="E49" i="32"/>
  <c r="M37" i="31"/>
  <c r="C177" i="32"/>
  <c r="AB85" i="24"/>
  <c r="M27" i="31"/>
  <c r="G113" i="32"/>
  <c r="M5" i="31"/>
  <c r="F17" i="32"/>
  <c r="M66" i="31"/>
  <c r="D305" i="32"/>
  <c r="BQ85" i="24"/>
  <c r="M68" i="31"/>
  <c r="F305" i="32"/>
  <c r="M54" i="31"/>
  <c r="F241" i="32"/>
  <c r="M70" i="31"/>
  <c r="H305" i="32"/>
  <c r="F337" i="32"/>
  <c r="M75" i="31"/>
  <c r="M23" i="31"/>
  <c r="C113" i="32"/>
  <c r="X85" i="24"/>
  <c r="M49" i="31"/>
  <c r="H209" i="32"/>
  <c r="E177" i="32"/>
  <c r="M39" i="31"/>
  <c r="M17" i="31"/>
  <c r="D81" i="32"/>
  <c r="M7" i="31"/>
  <c r="H17" i="32"/>
  <c r="M58" i="31"/>
  <c r="C273" i="32"/>
  <c r="C647" i="24"/>
  <c r="M71" i="31"/>
  <c r="I305" i="32"/>
  <c r="H145" i="32"/>
  <c r="AJ85" i="24"/>
  <c r="M35" i="31"/>
  <c r="M61" i="31"/>
  <c r="F273" i="32"/>
  <c r="M51" i="31"/>
  <c r="C241" i="32"/>
  <c r="M29" i="31"/>
  <c r="AD85" i="24"/>
  <c r="I113" i="32"/>
  <c r="T85" i="24"/>
  <c r="M19" i="31"/>
  <c r="F81" i="32"/>
  <c r="CC85" i="24"/>
  <c r="M72" i="31"/>
  <c r="C337" i="32"/>
  <c r="M9" i="31"/>
  <c r="C49" i="32"/>
  <c r="M47" i="31"/>
  <c r="F209" i="32"/>
  <c r="AV85" i="24"/>
  <c r="F113" i="32"/>
  <c r="M26" i="31"/>
  <c r="M63" i="31"/>
  <c r="H273" i="32"/>
  <c r="M41" i="31"/>
  <c r="G177" i="32"/>
  <c r="AP85" i="24"/>
  <c r="AF85" i="24"/>
  <c r="M31" i="31"/>
  <c r="D145" i="32"/>
  <c r="M78" i="31"/>
  <c r="I337" i="32"/>
  <c r="M25" i="31"/>
  <c r="E113" i="32"/>
  <c r="Z85" i="24"/>
  <c r="I341" i="32"/>
  <c r="BG85" i="24"/>
  <c r="F145" i="32"/>
  <c r="M33" i="31"/>
  <c r="M59" i="31"/>
  <c r="D273" i="32"/>
  <c r="M38" i="31"/>
  <c r="D177" i="32"/>
  <c r="C67" i="24"/>
  <c r="CE52" i="24"/>
  <c r="BB85" i="24"/>
  <c r="M53" i="31"/>
  <c r="E241" i="32"/>
  <c r="AR85" i="24"/>
  <c r="M43" i="31"/>
  <c r="I177" i="32"/>
  <c r="M57" i="31"/>
  <c r="I241" i="32"/>
  <c r="BF85" i="24"/>
  <c r="M12" i="31"/>
  <c r="F49" i="32"/>
  <c r="M50" i="31"/>
  <c r="I209" i="32"/>
  <c r="AY85" i="24"/>
  <c r="M3" i="31"/>
  <c r="D17" i="32"/>
  <c r="C305" i="32"/>
  <c r="M65" i="31"/>
  <c r="M55" i="31"/>
  <c r="G241" i="32"/>
  <c r="AL85" i="24"/>
  <c r="M15" i="31"/>
  <c r="I49" i="32"/>
  <c r="C637" i="24"/>
  <c r="M24" i="31"/>
  <c r="D113" i="32"/>
  <c r="M62" i="31"/>
  <c r="G273" i="32"/>
  <c r="E85" i="24"/>
  <c r="M4" i="31"/>
  <c r="E17" i="32"/>
  <c r="M77" i="31"/>
  <c r="H337" i="32"/>
  <c r="E305" i="32"/>
  <c r="M67" i="31"/>
  <c r="M79" i="31"/>
  <c r="C369" i="32"/>
  <c r="D49" i="32"/>
  <c r="K85" i="24"/>
  <c r="M10" i="31"/>
  <c r="AK85" i="24"/>
  <c r="M36" i="31"/>
  <c r="I145" i="32"/>
  <c r="V85" i="24"/>
  <c r="M21" i="31"/>
  <c r="H81" i="32"/>
  <c r="Q85" i="24"/>
  <c r="C81" i="32"/>
  <c r="M16" i="31"/>
  <c r="G17" i="32"/>
  <c r="M6" i="31"/>
  <c r="M8" i="31"/>
  <c r="I17" i="32"/>
  <c r="BC85" i="24"/>
  <c r="F245" i="32" s="1"/>
  <c r="D337" i="32"/>
  <c r="BV85" i="24"/>
  <c r="M73" i="31"/>
  <c r="I81" i="32"/>
  <c r="M22" i="31"/>
  <c r="W85" i="24"/>
  <c r="M48" i="31"/>
  <c r="G209" i="32"/>
  <c r="M45" i="31"/>
  <c r="D209" i="32"/>
  <c r="M28" i="31"/>
  <c r="H113" i="32"/>
  <c r="M18" i="31"/>
  <c r="E81" i="32"/>
  <c r="M20" i="31"/>
  <c r="G81" i="32"/>
  <c r="BM85" i="24"/>
  <c r="I277" i="32" s="1"/>
  <c r="M34" i="31"/>
  <c r="G145" i="32"/>
  <c r="E273" i="32"/>
  <c r="BI85" i="24"/>
  <c r="M60" i="31"/>
  <c r="M69" i="31"/>
  <c r="G305" i="32"/>
  <c r="BR85" i="24"/>
  <c r="M40" i="31"/>
  <c r="F177" i="32"/>
  <c r="M30" i="31"/>
  <c r="C145" i="32"/>
  <c r="M32" i="31"/>
  <c r="E145" i="32"/>
  <c r="M74" i="31"/>
  <c r="BW85" i="24"/>
  <c r="E337" i="32"/>
  <c r="M46" i="31"/>
  <c r="E209" i="32"/>
  <c r="AU85" i="24"/>
  <c r="M13" i="31"/>
  <c r="G49" i="32"/>
  <c r="M14" i="31"/>
  <c r="H49" i="32"/>
  <c r="M52" i="31"/>
  <c r="D241" i="32"/>
  <c r="AQ85" i="24"/>
  <c r="M42" i="31"/>
  <c r="H177" i="32"/>
  <c r="M44" i="31"/>
  <c r="C209" i="32"/>
  <c r="C694" i="24"/>
  <c r="C673" i="24"/>
  <c r="H21" i="32"/>
  <c r="D213" i="32"/>
  <c r="C622" i="24"/>
  <c r="C677" i="24"/>
  <c r="E53" i="32"/>
  <c r="C85" i="15"/>
  <c r="G85" i="15" s="1"/>
  <c r="C641" i="24"/>
  <c r="C18" i="15"/>
  <c r="G18" i="15" s="1"/>
  <c r="F21" i="32"/>
  <c r="C630" i="24"/>
  <c r="C65" i="15"/>
  <c r="G65" i="15" s="1"/>
  <c r="C624" i="24"/>
  <c r="C26" i="15"/>
  <c r="G26" i="15" s="1"/>
  <c r="C41" i="15"/>
  <c r="H41" i="15" s="1"/>
  <c r="I41" i="15" s="1"/>
  <c r="C635" i="24"/>
  <c r="C75" i="15"/>
  <c r="G75" i="15" s="1"/>
  <c r="C79" i="15"/>
  <c r="G79" i="15" s="1"/>
  <c r="C627" i="24"/>
  <c r="C679" i="24"/>
  <c r="G149" i="32"/>
  <c r="C47" i="15"/>
  <c r="G47" i="15" s="1"/>
  <c r="G341" i="32"/>
  <c r="C21" i="15"/>
  <c r="G21" i="15" s="1"/>
  <c r="C704" i="24"/>
  <c r="C51" i="15"/>
  <c r="G51" i="15" s="1"/>
  <c r="C644" i="24"/>
  <c r="F341" i="32"/>
  <c r="C699" i="24"/>
  <c r="C46" i="15"/>
  <c r="G46" i="15" s="1"/>
  <c r="I21" i="32"/>
  <c r="C681" i="24"/>
  <c r="E309" i="32"/>
  <c r="C645" i="24"/>
  <c r="C621" i="24"/>
  <c r="C692" i="24"/>
  <c r="C28" i="15"/>
  <c r="H28" i="15" s="1"/>
  <c r="I28" i="15" s="1"/>
  <c r="C639" i="24"/>
  <c r="C83" i="15"/>
  <c r="G83" i="15" s="1"/>
  <c r="C631" i="24"/>
  <c r="C58" i="15"/>
  <c r="G58" i="15" s="1"/>
  <c r="C616" i="24"/>
  <c r="C62" i="15"/>
  <c r="C19" i="15"/>
  <c r="G19" i="15" s="1"/>
  <c r="F117" i="32"/>
  <c r="C68" i="15"/>
  <c r="G68" i="15" s="1"/>
  <c r="C61" i="15"/>
  <c r="C640" i="24"/>
  <c r="C84" i="15"/>
  <c r="G84" i="15" s="1"/>
  <c r="C696" i="24"/>
  <c r="C43" i="15"/>
  <c r="G43" i="15" s="1"/>
  <c r="C53" i="32"/>
  <c r="C64" i="15"/>
  <c r="G64" i="15" s="1"/>
  <c r="C675" i="24"/>
  <c r="C683" i="24"/>
  <c r="C30" i="15"/>
  <c r="G30" i="15" s="1"/>
  <c r="C52" i="15"/>
  <c r="G52" i="15" s="1"/>
  <c r="C705" i="24"/>
  <c r="C628" i="24"/>
  <c r="C672" i="24"/>
  <c r="C686" i="24"/>
  <c r="G85" i="32"/>
  <c r="H22" i="15"/>
  <c r="I22" i="15" s="1"/>
  <c r="G22" i="15"/>
  <c r="H37" i="15"/>
  <c r="I37" i="15" s="1"/>
  <c r="H33" i="15"/>
  <c r="I33" i="15" s="1"/>
  <c r="G33" i="15"/>
  <c r="G39" i="15"/>
  <c r="H39" i="15"/>
  <c r="I39" i="15" s="1"/>
  <c r="D715" i="34"/>
  <c r="E623" i="34"/>
  <c r="C120" i="8"/>
  <c r="D367" i="24"/>
  <c r="E612" i="34"/>
  <c r="G45" i="15" l="1"/>
  <c r="C638" i="24"/>
  <c r="C633" i="24"/>
  <c r="C67" i="15"/>
  <c r="G67" i="15" s="1"/>
  <c r="C626" i="24"/>
  <c r="G309" i="32"/>
  <c r="C82" i="15"/>
  <c r="G82" i="15" s="1"/>
  <c r="C54" i="15"/>
  <c r="G54" i="15" s="1"/>
  <c r="G181" i="32"/>
  <c r="C707" i="24"/>
  <c r="D149" i="32"/>
  <c r="C44" i="15"/>
  <c r="G44" i="15" s="1"/>
  <c r="C697" i="24"/>
  <c r="I149" i="32"/>
  <c r="C702" i="24"/>
  <c r="C49" i="15"/>
  <c r="G49" i="15" s="1"/>
  <c r="C17" i="15"/>
  <c r="E21" i="32"/>
  <c r="C670" i="24"/>
  <c r="E213" i="32"/>
  <c r="C712" i="24"/>
  <c r="C59" i="15"/>
  <c r="G59" i="15" s="1"/>
  <c r="I181" i="32"/>
  <c r="C709" i="24"/>
  <c r="C56" i="15"/>
  <c r="G56" i="15" s="1"/>
  <c r="C277" i="32"/>
  <c r="C618" i="24"/>
  <c r="C71" i="15"/>
  <c r="G71" i="15" s="1"/>
  <c r="D373" i="32"/>
  <c r="C93" i="15"/>
  <c r="G93" i="15" s="1"/>
  <c r="C620" i="24"/>
  <c r="H149" i="32"/>
  <c r="C48" i="15"/>
  <c r="C701" i="24"/>
  <c r="E341" i="32"/>
  <c r="C87" i="15"/>
  <c r="G87" i="15" s="1"/>
  <c r="C643" i="24"/>
  <c r="E277" i="32"/>
  <c r="C73" i="15"/>
  <c r="G73" i="15" s="1"/>
  <c r="C634" i="24"/>
  <c r="C23" i="15"/>
  <c r="G23" i="15" s="1"/>
  <c r="D53" i="32"/>
  <c r="C676" i="24"/>
  <c r="G117" i="32"/>
  <c r="C40" i="15"/>
  <c r="G40" i="15" s="1"/>
  <c r="C693" i="24"/>
  <c r="H181" i="32"/>
  <c r="C55" i="15"/>
  <c r="G55" i="15" s="1"/>
  <c r="C708" i="24"/>
  <c r="C625" i="24"/>
  <c r="I213" i="32"/>
  <c r="C63" i="15"/>
  <c r="C691" i="24"/>
  <c r="C38" i="15"/>
  <c r="G38" i="15" s="1"/>
  <c r="E117" i="32"/>
  <c r="F309" i="32"/>
  <c r="C81" i="15"/>
  <c r="G81" i="15" s="1"/>
  <c r="C623" i="24"/>
  <c r="C66" i="15"/>
  <c r="G66" i="15" s="1"/>
  <c r="E245" i="32"/>
  <c r="C632" i="24"/>
  <c r="F85" i="32"/>
  <c r="C685" i="24"/>
  <c r="C32" i="15"/>
  <c r="G32" i="15" s="1"/>
  <c r="C689" i="24"/>
  <c r="C117" i="32"/>
  <c r="C36" i="15"/>
  <c r="C77" i="15"/>
  <c r="G77" i="15" s="1"/>
  <c r="I85" i="32"/>
  <c r="C688" i="24"/>
  <c r="C35" i="15"/>
  <c r="C69" i="15"/>
  <c r="C614" i="24"/>
  <c r="H245" i="32"/>
  <c r="C85" i="32"/>
  <c r="C29" i="15"/>
  <c r="C682" i="24"/>
  <c r="CE67" i="24"/>
  <c r="I369" i="32" s="1"/>
  <c r="C85" i="24"/>
  <c r="M2" i="31"/>
  <c r="C17" i="32"/>
  <c r="C60" i="15"/>
  <c r="C713" i="24"/>
  <c r="F213" i="32"/>
  <c r="I117" i="32"/>
  <c r="C695" i="24"/>
  <c r="C42" i="15"/>
  <c r="C181" i="32"/>
  <c r="C50" i="15"/>
  <c r="C703" i="24"/>
  <c r="I245" i="32"/>
  <c r="C70" i="15"/>
  <c r="G70" i="15" s="1"/>
  <c r="C629" i="24"/>
  <c r="D341" i="32"/>
  <c r="C86" i="15"/>
  <c r="G86" i="15" s="1"/>
  <c r="C642" i="24"/>
  <c r="C687" i="24"/>
  <c r="H85" i="32"/>
  <c r="C34" i="15"/>
  <c r="H47" i="15"/>
  <c r="I47" i="15" s="1"/>
  <c r="H65" i="15"/>
  <c r="I65" i="15" s="1"/>
  <c r="G41" i="15"/>
  <c r="G28" i="15"/>
  <c r="H43" i="15"/>
  <c r="I43" i="15" s="1"/>
  <c r="H30" i="15"/>
  <c r="I30" i="15" s="1"/>
  <c r="E711" i="34"/>
  <c r="E712" i="34"/>
  <c r="E716" i="34"/>
  <c r="E705" i="34"/>
  <c r="E694" i="34"/>
  <c r="E682" i="34"/>
  <c r="E670" i="34"/>
  <c r="E645" i="34"/>
  <c r="E626" i="34"/>
  <c r="E695" i="34"/>
  <c r="E683" i="34"/>
  <c r="E671" i="34"/>
  <c r="E642" i="34"/>
  <c r="E639" i="34"/>
  <c r="E636" i="34"/>
  <c r="E633" i="34"/>
  <c r="E630" i="34"/>
  <c r="E696" i="34"/>
  <c r="E684" i="34"/>
  <c r="E672" i="34"/>
  <c r="E628" i="34"/>
  <c r="E707" i="34"/>
  <c r="E697" i="34"/>
  <c r="E685" i="34"/>
  <c r="E673" i="34"/>
  <c r="E709" i="34"/>
  <c r="E698" i="34"/>
  <c r="E686" i="34"/>
  <c r="E674" i="34"/>
  <c r="E646" i="34"/>
  <c r="E699" i="34"/>
  <c r="E687" i="34"/>
  <c r="E675" i="34"/>
  <c r="E643" i="34"/>
  <c r="E640" i="34"/>
  <c r="E637" i="34"/>
  <c r="E634" i="34"/>
  <c r="E631" i="34"/>
  <c r="E625" i="34"/>
  <c r="E701" i="34"/>
  <c r="E689" i="34"/>
  <c r="E677" i="34"/>
  <c r="E627" i="34"/>
  <c r="E706" i="34"/>
  <c r="E702" i="34"/>
  <c r="E690" i="34"/>
  <c r="E678" i="34"/>
  <c r="E647" i="34"/>
  <c r="E629" i="34"/>
  <c r="E703" i="34"/>
  <c r="E691" i="34"/>
  <c r="E679" i="34"/>
  <c r="E644" i="34"/>
  <c r="E641" i="34"/>
  <c r="E638" i="34"/>
  <c r="E635" i="34"/>
  <c r="E632" i="34"/>
  <c r="E624" i="34"/>
  <c r="E710" i="34"/>
  <c r="E708" i="34"/>
  <c r="E704" i="34"/>
  <c r="E692" i="34"/>
  <c r="E680" i="34"/>
  <c r="E668" i="34"/>
  <c r="E693" i="34"/>
  <c r="E681" i="34"/>
  <c r="E669" i="34"/>
  <c r="E676" i="34"/>
  <c r="E688" i="34"/>
  <c r="E700" i="34"/>
  <c r="E713" i="34"/>
  <c r="C121" i="8"/>
  <c r="D384" i="24"/>
  <c r="G34" i="15" l="1"/>
  <c r="H34" i="15"/>
  <c r="I34" i="15" s="1"/>
  <c r="G42" i="15"/>
  <c r="H42" i="15"/>
  <c r="I42" i="15" s="1"/>
  <c r="G29" i="15"/>
  <c r="H29" i="15"/>
  <c r="I29" i="15" s="1"/>
  <c r="C648" i="24"/>
  <c r="M716" i="24" s="1"/>
  <c r="D615" i="24"/>
  <c r="G69" i="15"/>
  <c r="H69" i="15" s="1"/>
  <c r="I69" i="15" s="1"/>
  <c r="G35" i="15"/>
  <c r="H35" i="15"/>
  <c r="I35" i="15" s="1"/>
  <c r="G63" i="15"/>
  <c r="H63" i="15" s="1"/>
  <c r="I63" i="15" s="1"/>
  <c r="H48" i="15"/>
  <c r="I48" i="15" s="1"/>
  <c r="G48" i="15"/>
  <c r="C668" i="24"/>
  <c r="C715" i="24" s="1"/>
  <c r="C21" i="32"/>
  <c r="C15" i="15"/>
  <c r="CE85" i="24"/>
  <c r="G36" i="15"/>
  <c r="H36" i="15"/>
  <c r="I36" i="15" s="1"/>
  <c r="H50" i="15"/>
  <c r="I50" i="15" s="1"/>
  <c r="G50" i="15"/>
  <c r="G17" i="15"/>
  <c r="H17" i="15"/>
  <c r="I17" i="15" s="1"/>
  <c r="E715" i="34"/>
  <c r="F624" i="34"/>
  <c r="C138" i="8"/>
  <c r="D417" i="24"/>
  <c r="I373" i="32" l="1"/>
  <c r="C716" i="24"/>
  <c r="D711" i="24"/>
  <c r="D696" i="24"/>
  <c r="D620" i="24"/>
  <c r="D635" i="24"/>
  <c r="D681" i="24"/>
  <c r="D639" i="24"/>
  <c r="D629" i="24"/>
  <c r="D632" i="24"/>
  <c r="D623" i="24"/>
  <c r="D643" i="24"/>
  <c r="D645" i="24"/>
  <c r="D628" i="24"/>
  <c r="D699" i="24"/>
  <c r="D687" i="24"/>
  <c r="D703" i="24"/>
  <c r="D669" i="24"/>
  <c r="D690" i="24"/>
  <c r="D716" i="24"/>
  <c r="D616" i="24"/>
  <c r="D712" i="24"/>
  <c r="D675" i="24"/>
  <c r="D697" i="24"/>
  <c r="D624" i="24"/>
  <c r="D682" i="24"/>
  <c r="D671" i="24"/>
  <c r="D619" i="24"/>
  <c r="D689" i="24"/>
  <c r="D630" i="24"/>
  <c r="D704" i="24"/>
  <c r="D695" i="24"/>
  <c r="D640" i="24"/>
  <c r="D677" i="24"/>
  <c r="D713" i="24"/>
  <c r="D626" i="24"/>
  <c r="D707" i="24"/>
  <c r="D647" i="24"/>
  <c r="D702" i="24"/>
  <c r="D670" i="24"/>
  <c r="D622" i="24"/>
  <c r="D710" i="24"/>
  <c r="D638" i="24"/>
  <c r="D685" i="24"/>
  <c r="D637" i="24"/>
  <c r="D627" i="24"/>
  <c r="D701" i="24"/>
  <c r="D694" i="24"/>
  <c r="D684" i="24"/>
  <c r="D706" i="24"/>
  <c r="D680" i="24"/>
  <c r="D673" i="24"/>
  <c r="D634" i="24"/>
  <c r="D692" i="24"/>
  <c r="D617" i="24"/>
  <c r="D705" i="24"/>
  <c r="D631" i="24"/>
  <c r="D691" i="24"/>
  <c r="D621" i="24"/>
  <c r="D686" i="24"/>
  <c r="D625" i="24"/>
  <c r="D679" i="24"/>
  <c r="D668" i="24"/>
  <c r="D709" i="24"/>
  <c r="D683" i="24"/>
  <c r="D693" i="24"/>
  <c r="D674" i="24"/>
  <c r="D700" i="24"/>
  <c r="D644" i="24"/>
  <c r="D618" i="24"/>
  <c r="D636" i="24"/>
  <c r="D642" i="24"/>
  <c r="D678" i="24"/>
  <c r="D708" i="24"/>
  <c r="D646" i="24"/>
  <c r="D688" i="24"/>
  <c r="D641" i="24"/>
  <c r="D698" i="24"/>
  <c r="D672" i="24"/>
  <c r="D633" i="24"/>
  <c r="D676" i="24"/>
  <c r="G15" i="15"/>
  <c r="H15" i="15"/>
  <c r="I15" i="15" s="1"/>
  <c r="C168" i="8"/>
  <c r="D421" i="24"/>
  <c r="F712" i="34"/>
  <c r="F713" i="34"/>
  <c r="F716" i="34"/>
  <c r="F705" i="34"/>
  <c r="F706" i="34"/>
  <c r="F695" i="34"/>
  <c r="F683" i="34"/>
  <c r="F671" i="34"/>
  <c r="F642" i="34"/>
  <c r="F639" i="34"/>
  <c r="F636" i="34"/>
  <c r="F633" i="34"/>
  <c r="F630" i="34"/>
  <c r="F696" i="34"/>
  <c r="F684" i="34"/>
  <c r="F672" i="34"/>
  <c r="F628" i="34"/>
  <c r="F707" i="34"/>
  <c r="F697" i="34"/>
  <c r="F685" i="34"/>
  <c r="F673" i="34"/>
  <c r="F709" i="34"/>
  <c r="F698" i="34"/>
  <c r="F686" i="34"/>
  <c r="F674" i="34"/>
  <c r="F646" i="34"/>
  <c r="F699" i="34"/>
  <c r="F687" i="34"/>
  <c r="F675" i="34"/>
  <c r="F643" i="34"/>
  <c r="F640" i="34"/>
  <c r="F637" i="34"/>
  <c r="F634" i="34"/>
  <c r="F631" i="34"/>
  <c r="F625" i="34"/>
  <c r="F711" i="34"/>
  <c r="F700" i="34"/>
  <c r="F688" i="34"/>
  <c r="F676" i="34"/>
  <c r="F702" i="34"/>
  <c r="F690" i="34"/>
  <c r="F678" i="34"/>
  <c r="F647" i="34"/>
  <c r="F629" i="34"/>
  <c r="F703" i="34"/>
  <c r="F691" i="34"/>
  <c r="F679" i="34"/>
  <c r="F644" i="34"/>
  <c r="F641" i="34"/>
  <c r="F638" i="34"/>
  <c r="F635" i="34"/>
  <c r="F632" i="34"/>
  <c r="F710" i="34"/>
  <c r="F708" i="34"/>
  <c r="F704" i="34"/>
  <c r="F692" i="34"/>
  <c r="F680" i="34"/>
  <c r="F668" i="34"/>
  <c r="F693" i="34"/>
  <c r="F681" i="34"/>
  <c r="F669" i="34"/>
  <c r="F694" i="34"/>
  <c r="F682" i="34"/>
  <c r="F670" i="34"/>
  <c r="F645" i="34"/>
  <c r="F626" i="34"/>
  <c r="F689" i="34"/>
  <c r="F627" i="34"/>
  <c r="F701" i="34"/>
  <c r="F677" i="34"/>
  <c r="E623" i="24" l="1"/>
  <c r="E612" i="24"/>
  <c r="D715" i="24"/>
  <c r="F715" i="34"/>
  <c r="G625" i="34"/>
  <c r="C172" i="8"/>
  <c r="D424" i="24"/>
  <c r="C177" i="8" s="1"/>
  <c r="E697" i="24" l="1"/>
  <c r="E643" i="24"/>
  <c r="E627" i="24"/>
  <c r="E693" i="24"/>
  <c r="E672" i="24"/>
  <c r="E702" i="24"/>
  <c r="E711" i="24"/>
  <c r="E640" i="24"/>
  <c r="E708" i="24"/>
  <c r="E681" i="24"/>
  <c r="E699" i="24"/>
  <c r="E684" i="24"/>
  <c r="E712" i="24"/>
  <c r="E637" i="24"/>
  <c r="E690" i="24"/>
  <c r="E669" i="24"/>
  <c r="E695" i="24"/>
  <c r="E707" i="24"/>
  <c r="E698" i="24"/>
  <c r="E700" i="24"/>
  <c r="E634" i="24"/>
  <c r="E678" i="24"/>
  <c r="E704" i="24"/>
  <c r="E685" i="24"/>
  <c r="E683" i="24"/>
  <c r="E713" i="24"/>
  <c r="E631" i="24"/>
  <c r="E647" i="24"/>
  <c r="E682" i="24"/>
  <c r="E691" i="24"/>
  <c r="E642" i="24"/>
  <c r="E675" i="24"/>
  <c r="E705" i="24"/>
  <c r="E625" i="24"/>
  <c r="E629" i="24"/>
  <c r="E670" i="24"/>
  <c r="E644" i="24"/>
  <c r="E633" i="24"/>
  <c r="E632" i="24"/>
  <c r="E686" i="24"/>
  <c r="E688" i="24"/>
  <c r="E716" i="24"/>
  <c r="E645" i="24"/>
  <c r="E635" i="24"/>
  <c r="E628" i="24"/>
  <c r="E671" i="24"/>
  <c r="E674" i="24"/>
  <c r="E676" i="24"/>
  <c r="E701" i="24"/>
  <c r="E626" i="24"/>
  <c r="E624" i="24"/>
  <c r="E673" i="24"/>
  <c r="E646" i="24"/>
  <c r="E710" i="24"/>
  <c r="E692" i="24"/>
  <c r="E679" i="24"/>
  <c r="E694" i="24"/>
  <c r="E638" i="24"/>
  <c r="E636" i="24"/>
  <c r="E696" i="24"/>
  <c r="E703" i="24"/>
  <c r="E680" i="24"/>
  <c r="E641" i="24"/>
  <c r="E706" i="24"/>
  <c r="E709" i="24"/>
  <c r="E677" i="24"/>
  <c r="E630" i="24"/>
  <c r="E687" i="24"/>
  <c r="E689" i="24"/>
  <c r="E668" i="24"/>
  <c r="E639" i="24"/>
  <c r="G710" i="34"/>
  <c r="G713" i="34"/>
  <c r="G705" i="34"/>
  <c r="G706" i="34"/>
  <c r="G707" i="34"/>
  <c r="G696" i="34"/>
  <c r="G684" i="34"/>
  <c r="G672" i="34"/>
  <c r="G628" i="34"/>
  <c r="H628" i="34" s="1"/>
  <c r="G697" i="34"/>
  <c r="G685" i="34"/>
  <c r="G673" i="34"/>
  <c r="G709" i="34"/>
  <c r="G698" i="34"/>
  <c r="G686" i="34"/>
  <c r="G674" i="34"/>
  <c r="G646" i="34"/>
  <c r="G699" i="34"/>
  <c r="G687" i="34"/>
  <c r="G675" i="34"/>
  <c r="G643" i="34"/>
  <c r="G640" i="34"/>
  <c r="G637" i="34"/>
  <c r="G634" i="34"/>
  <c r="G631" i="34"/>
  <c r="G711" i="34"/>
  <c r="G700" i="34"/>
  <c r="G688" i="34"/>
  <c r="G676" i="34"/>
  <c r="G701" i="34"/>
  <c r="G689" i="34"/>
  <c r="G677" i="34"/>
  <c r="G627" i="34"/>
  <c r="G703" i="34"/>
  <c r="G691" i="34"/>
  <c r="G679" i="34"/>
  <c r="G644" i="34"/>
  <c r="G641" i="34"/>
  <c r="G638" i="34"/>
  <c r="G635" i="34"/>
  <c r="G632" i="34"/>
  <c r="G708" i="34"/>
  <c r="G704" i="34"/>
  <c r="G692" i="34"/>
  <c r="G680" i="34"/>
  <c r="G668" i="34"/>
  <c r="G716" i="34"/>
  <c r="G693" i="34"/>
  <c r="G681" i="34"/>
  <c r="G669" i="34"/>
  <c r="G694" i="34"/>
  <c r="G682" i="34"/>
  <c r="G670" i="34"/>
  <c r="G645" i="34"/>
  <c r="G626" i="34"/>
  <c r="G712" i="34"/>
  <c r="G695" i="34"/>
  <c r="G683" i="34"/>
  <c r="G671" i="34"/>
  <c r="G642" i="34"/>
  <c r="G639" i="34"/>
  <c r="G636" i="34"/>
  <c r="G633" i="34"/>
  <c r="G630" i="34"/>
  <c r="G702" i="34"/>
  <c r="G647" i="34"/>
  <c r="G678" i="34"/>
  <c r="G629" i="34"/>
  <c r="G690" i="34"/>
  <c r="F624" i="24" l="1"/>
  <c r="E715" i="24"/>
  <c r="H711" i="34"/>
  <c r="H713" i="34"/>
  <c r="H716" i="34"/>
  <c r="H705" i="34"/>
  <c r="H706" i="34"/>
  <c r="H707" i="34"/>
  <c r="H708" i="34"/>
  <c r="H697" i="34"/>
  <c r="H685" i="34"/>
  <c r="H673" i="34"/>
  <c r="H709" i="34"/>
  <c r="H698" i="34"/>
  <c r="H686" i="34"/>
  <c r="H674" i="34"/>
  <c r="H646" i="34"/>
  <c r="H699" i="34"/>
  <c r="H687" i="34"/>
  <c r="H675" i="34"/>
  <c r="H643" i="34"/>
  <c r="H640" i="34"/>
  <c r="H637" i="34"/>
  <c r="H634" i="34"/>
  <c r="H631" i="34"/>
  <c r="H700" i="34"/>
  <c r="H688" i="34"/>
  <c r="H676" i="34"/>
  <c r="H701" i="34"/>
  <c r="H689" i="34"/>
  <c r="H677" i="34"/>
  <c r="H702" i="34"/>
  <c r="H690" i="34"/>
  <c r="H678" i="34"/>
  <c r="H647" i="34"/>
  <c r="H629" i="34"/>
  <c r="H704" i="34"/>
  <c r="H692" i="34"/>
  <c r="H680" i="34"/>
  <c r="H668" i="34"/>
  <c r="H710" i="34"/>
  <c r="H693" i="34"/>
  <c r="H681" i="34"/>
  <c r="H669" i="34"/>
  <c r="H694" i="34"/>
  <c r="H682" i="34"/>
  <c r="H670" i="34"/>
  <c r="H645" i="34"/>
  <c r="H712" i="34"/>
  <c r="H695" i="34"/>
  <c r="H683" i="34"/>
  <c r="H671" i="34"/>
  <c r="H642" i="34"/>
  <c r="H639" i="34"/>
  <c r="H636" i="34"/>
  <c r="H633" i="34"/>
  <c r="H630" i="34"/>
  <c r="H696" i="34"/>
  <c r="H684" i="34"/>
  <c r="H672" i="34"/>
  <c r="H641" i="34"/>
  <c r="H632" i="34"/>
  <c r="H679" i="34"/>
  <c r="H638" i="34"/>
  <c r="H691" i="34"/>
  <c r="H644" i="34"/>
  <c r="H635" i="34"/>
  <c r="H703" i="34"/>
  <c r="G715" i="34"/>
  <c r="F640" i="24" l="1"/>
  <c r="F708" i="24"/>
  <c r="F632" i="24"/>
  <c r="F671" i="24"/>
  <c r="F685" i="24"/>
  <c r="F710" i="24"/>
  <c r="F637" i="24"/>
  <c r="F697" i="24"/>
  <c r="F693" i="24"/>
  <c r="F642" i="24"/>
  <c r="F668" i="24"/>
  <c r="F698" i="24"/>
  <c r="F634" i="24"/>
  <c r="F690" i="24"/>
  <c r="F681" i="24"/>
  <c r="F639" i="24"/>
  <c r="F707" i="24"/>
  <c r="F635" i="24"/>
  <c r="F712" i="24"/>
  <c r="F631" i="24"/>
  <c r="F678" i="24"/>
  <c r="F669" i="24"/>
  <c r="F636" i="24"/>
  <c r="F702" i="24"/>
  <c r="F643" i="24"/>
  <c r="F713" i="24"/>
  <c r="F625" i="24"/>
  <c r="F647" i="24"/>
  <c r="F704" i="24"/>
  <c r="F633" i="24"/>
  <c r="F684" i="24"/>
  <c r="F701" i="24"/>
  <c r="F688" i="24"/>
  <c r="F629" i="24"/>
  <c r="F682" i="24"/>
  <c r="F630" i="24"/>
  <c r="F674" i="24"/>
  <c r="F706" i="24"/>
  <c r="F676" i="24"/>
  <c r="F691" i="24"/>
  <c r="F670" i="24"/>
  <c r="F716" i="24"/>
  <c r="F628" i="24"/>
  <c r="F705" i="24"/>
  <c r="F703" i="24"/>
  <c r="F679" i="24"/>
  <c r="F645" i="24"/>
  <c r="F692" i="24"/>
  <c r="F673" i="24"/>
  <c r="F696" i="24"/>
  <c r="F700" i="24"/>
  <c r="F644" i="24"/>
  <c r="F626" i="24"/>
  <c r="F709" i="24"/>
  <c r="F686" i="24"/>
  <c r="F627" i="24"/>
  <c r="F687" i="24"/>
  <c r="F689" i="24"/>
  <c r="F641" i="24"/>
  <c r="F711" i="24"/>
  <c r="F672" i="24"/>
  <c r="F646" i="24"/>
  <c r="F683" i="24"/>
  <c r="F675" i="24"/>
  <c r="F677" i="24"/>
  <c r="F638" i="24"/>
  <c r="F694" i="24"/>
  <c r="F699" i="24"/>
  <c r="F680" i="24"/>
  <c r="F695" i="24"/>
  <c r="H715" i="34"/>
  <c r="I629" i="34"/>
  <c r="F715" i="24" l="1"/>
  <c r="G625" i="24"/>
  <c r="I712" i="34"/>
  <c r="I716" i="34"/>
  <c r="I704" i="34"/>
  <c r="I706" i="34"/>
  <c r="I707" i="34"/>
  <c r="I708" i="34"/>
  <c r="I709" i="34"/>
  <c r="I698" i="34"/>
  <c r="I686" i="34"/>
  <c r="I674" i="34"/>
  <c r="I646" i="34"/>
  <c r="I705" i="34"/>
  <c r="I699" i="34"/>
  <c r="I687" i="34"/>
  <c r="I675" i="34"/>
  <c r="I643" i="34"/>
  <c r="I640" i="34"/>
  <c r="I637" i="34"/>
  <c r="I634" i="34"/>
  <c r="I631" i="34"/>
  <c r="I700" i="34"/>
  <c r="I688" i="34"/>
  <c r="I676" i="34"/>
  <c r="I711" i="34"/>
  <c r="I701" i="34"/>
  <c r="I689" i="34"/>
  <c r="I677" i="34"/>
  <c r="I702" i="34"/>
  <c r="I690" i="34"/>
  <c r="I678" i="34"/>
  <c r="I647" i="34"/>
  <c r="I713" i="34"/>
  <c r="I703" i="34"/>
  <c r="I691" i="34"/>
  <c r="I679" i="34"/>
  <c r="I644" i="34"/>
  <c r="I641" i="34"/>
  <c r="I638" i="34"/>
  <c r="I635" i="34"/>
  <c r="I632" i="34"/>
  <c r="I710" i="34"/>
  <c r="I693" i="34"/>
  <c r="I681" i="34"/>
  <c r="I669" i="34"/>
  <c r="I694" i="34"/>
  <c r="I682" i="34"/>
  <c r="I670" i="34"/>
  <c r="I645" i="34"/>
  <c r="I695" i="34"/>
  <c r="I683" i="34"/>
  <c r="I671" i="34"/>
  <c r="I642" i="34"/>
  <c r="I639" i="34"/>
  <c r="I636" i="34"/>
  <c r="I633" i="34"/>
  <c r="I630" i="34"/>
  <c r="I696" i="34"/>
  <c r="I684" i="34"/>
  <c r="I672" i="34"/>
  <c r="I697" i="34"/>
  <c r="I685" i="34"/>
  <c r="I673" i="34"/>
  <c r="I668" i="34"/>
  <c r="I680" i="34"/>
  <c r="I692" i="34"/>
  <c r="G703" i="24" l="1"/>
  <c r="G689" i="24"/>
  <c r="G699" i="24"/>
  <c r="G702" i="24"/>
  <c r="G696" i="24"/>
  <c r="G687" i="24"/>
  <c r="G627" i="24"/>
  <c r="G705" i="24"/>
  <c r="G691" i="24"/>
  <c r="G644" i="24"/>
  <c r="G647" i="24"/>
  <c r="G698" i="24"/>
  <c r="G670" i="24"/>
  <c r="G638" i="24"/>
  <c r="G632" i="24"/>
  <c r="G707" i="24"/>
  <c r="G701" i="24"/>
  <c r="G630" i="24"/>
  <c r="G684" i="24"/>
  <c r="G626" i="24"/>
  <c r="G683" i="24"/>
  <c r="G690" i="24"/>
  <c r="G640" i="24"/>
  <c r="G674" i="24"/>
  <c r="G628" i="24"/>
  <c r="G634" i="24"/>
  <c r="G692" i="24"/>
  <c r="G712" i="24"/>
  <c r="G711" i="24"/>
  <c r="G713" i="24"/>
  <c r="G685" i="24"/>
  <c r="G676" i="24"/>
  <c r="G636" i="24"/>
  <c r="G673" i="24"/>
  <c r="G646" i="24"/>
  <c r="G642" i="24"/>
  <c r="G700" i="24"/>
  <c r="G643" i="24"/>
  <c r="G629" i="24"/>
  <c r="G679" i="24"/>
  <c r="G677" i="24"/>
  <c r="G710" i="24"/>
  <c r="G716" i="24"/>
  <c r="G693" i="24"/>
  <c r="G704" i="24"/>
  <c r="G682" i="24"/>
  <c r="G641" i="24"/>
  <c r="G635" i="24"/>
  <c r="G688" i="24"/>
  <c r="G633" i="24"/>
  <c r="G709" i="24"/>
  <c r="G645" i="24"/>
  <c r="G694" i="24"/>
  <c r="G706" i="24"/>
  <c r="G678" i="24"/>
  <c r="G675" i="24"/>
  <c r="G631" i="24"/>
  <c r="G672" i="24"/>
  <c r="G669" i="24"/>
  <c r="G671" i="24"/>
  <c r="G680" i="24"/>
  <c r="G637" i="24"/>
  <c r="G668" i="24"/>
  <c r="G681" i="24"/>
  <c r="G686" i="24"/>
  <c r="G695" i="24"/>
  <c r="G639" i="24"/>
  <c r="G708" i="24"/>
  <c r="G697" i="24"/>
  <c r="I715" i="34"/>
  <c r="J630" i="34"/>
  <c r="G715" i="24" l="1"/>
  <c r="H628" i="24"/>
  <c r="J713" i="34"/>
  <c r="J716" i="34"/>
  <c r="J704" i="34"/>
  <c r="J705" i="34"/>
  <c r="J707" i="34"/>
  <c r="J708" i="34"/>
  <c r="J709" i="34"/>
  <c r="J710" i="34"/>
  <c r="J699" i="34"/>
  <c r="J687" i="34"/>
  <c r="J675" i="34"/>
  <c r="J643" i="34"/>
  <c r="J640" i="34"/>
  <c r="J637" i="34"/>
  <c r="J634" i="34"/>
  <c r="J631" i="34"/>
  <c r="J700" i="34"/>
  <c r="J688" i="34"/>
  <c r="J676" i="34"/>
  <c r="J711" i="34"/>
  <c r="J701" i="34"/>
  <c r="J689" i="34"/>
  <c r="J677" i="34"/>
  <c r="J702" i="34"/>
  <c r="J690" i="34"/>
  <c r="J678" i="34"/>
  <c r="J647" i="34"/>
  <c r="J703" i="34"/>
  <c r="J691" i="34"/>
  <c r="J679" i="34"/>
  <c r="J644" i="34"/>
  <c r="J641" i="34"/>
  <c r="J638" i="34"/>
  <c r="J635" i="34"/>
  <c r="J632" i="34"/>
  <c r="J692" i="34"/>
  <c r="J680" i="34"/>
  <c r="J668" i="34"/>
  <c r="J706" i="34"/>
  <c r="J694" i="34"/>
  <c r="J682" i="34"/>
  <c r="J670" i="34"/>
  <c r="J645" i="34"/>
  <c r="J695" i="34"/>
  <c r="J683" i="34"/>
  <c r="J671" i="34"/>
  <c r="J642" i="34"/>
  <c r="J639" i="34"/>
  <c r="J636" i="34"/>
  <c r="J633" i="34"/>
  <c r="J712" i="34"/>
  <c r="J696" i="34"/>
  <c r="J684" i="34"/>
  <c r="J672" i="34"/>
  <c r="J697" i="34"/>
  <c r="J685" i="34"/>
  <c r="J673" i="34"/>
  <c r="J698" i="34"/>
  <c r="J686" i="34"/>
  <c r="J674" i="34"/>
  <c r="J646" i="34"/>
  <c r="J669" i="34"/>
  <c r="J681" i="34"/>
  <c r="J693" i="34"/>
  <c r="H711" i="24" l="1"/>
  <c r="H644" i="24"/>
  <c r="H689" i="24"/>
  <c r="H632" i="24"/>
  <c r="H639" i="24"/>
  <c r="H699" i="24"/>
  <c r="H669" i="24"/>
  <c r="H638" i="24"/>
  <c r="H671" i="24"/>
  <c r="H704" i="24"/>
  <c r="H700" i="24"/>
  <c r="H696" i="24"/>
  <c r="H684" i="24"/>
  <c r="H694" i="24"/>
  <c r="H685" i="24"/>
  <c r="H687" i="24"/>
  <c r="H629" i="24"/>
  <c r="H633" i="24"/>
  <c r="H675" i="24"/>
  <c r="H707" i="24"/>
  <c r="H698" i="24"/>
  <c r="H678" i="24"/>
  <c r="H701" i="24"/>
  <c r="H716" i="24"/>
  <c r="H676" i="24"/>
  <c r="H631" i="24"/>
  <c r="H645" i="24"/>
  <c r="H680" i="24"/>
  <c r="H630" i="24"/>
  <c r="H679" i="24"/>
  <c r="H647" i="24"/>
  <c r="H668" i="24"/>
  <c r="H697" i="24"/>
  <c r="H636" i="24"/>
  <c r="H643" i="24"/>
  <c r="H681" i="24"/>
  <c r="H708" i="24"/>
  <c r="H677" i="24"/>
  <c r="H706" i="24"/>
  <c r="H682" i="24"/>
  <c r="H705" i="24"/>
  <c r="H709" i="24"/>
  <c r="H641" i="24"/>
  <c r="H635" i="24"/>
  <c r="H642" i="24"/>
  <c r="H686" i="24"/>
  <c r="H712" i="24"/>
  <c r="H634" i="24"/>
  <c r="H713" i="24"/>
  <c r="H683" i="24"/>
  <c r="H673" i="24"/>
  <c r="H702" i="24"/>
  <c r="H637" i="24"/>
  <c r="H672" i="24"/>
  <c r="H695" i="24"/>
  <c r="H674" i="24"/>
  <c r="H691" i="24"/>
  <c r="H646" i="24"/>
  <c r="H640" i="24"/>
  <c r="H688" i="24"/>
  <c r="H690" i="24"/>
  <c r="H693" i="24"/>
  <c r="H703" i="24"/>
  <c r="H670" i="24"/>
  <c r="H710" i="24"/>
  <c r="H692" i="24"/>
  <c r="K644" i="34"/>
  <c r="J715" i="34"/>
  <c r="L647" i="34"/>
  <c r="H715" i="24" l="1"/>
  <c r="I629" i="24"/>
  <c r="L716" i="34"/>
  <c r="L706" i="34"/>
  <c r="L707" i="34"/>
  <c r="L709" i="34"/>
  <c r="L710" i="34"/>
  <c r="L711" i="34"/>
  <c r="L712" i="34"/>
  <c r="M712" i="34" s="1"/>
  <c r="L705" i="34"/>
  <c r="L701" i="34"/>
  <c r="L689" i="34"/>
  <c r="L677" i="34"/>
  <c r="L702" i="34"/>
  <c r="M702" i="34" s="1"/>
  <c r="L690" i="34"/>
  <c r="L678" i="34"/>
  <c r="L703" i="34"/>
  <c r="L691" i="34"/>
  <c r="L679" i="34"/>
  <c r="L713" i="34"/>
  <c r="L692" i="34"/>
  <c r="L680" i="34"/>
  <c r="L668" i="34"/>
  <c r="L693" i="34"/>
  <c r="L681" i="34"/>
  <c r="L669" i="34"/>
  <c r="M669" i="34" s="1"/>
  <c r="L704" i="34"/>
  <c r="L694" i="34"/>
  <c r="L682" i="34"/>
  <c r="L670" i="34"/>
  <c r="L708" i="34"/>
  <c r="M708" i="34" s="1"/>
  <c r="L696" i="34"/>
  <c r="L684" i="34"/>
  <c r="L672" i="34"/>
  <c r="L697" i="34"/>
  <c r="L685" i="34"/>
  <c r="L673" i="34"/>
  <c r="L698" i="34"/>
  <c r="M698" i="34" s="1"/>
  <c r="L686" i="34"/>
  <c r="L674" i="34"/>
  <c r="L699" i="34"/>
  <c r="L687" i="34"/>
  <c r="L675" i="34"/>
  <c r="L700" i="34"/>
  <c r="L688" i="34"/>
  <c r="L676" i="34"/>
  <c r="L695" i="34"/>
  <c r="M695" i="34" s="1"/>
  <c r="L671" i="34"/>
  <c r="M671" i="34" s="1"/>
  <c r="L683" i="34"/>
  <c r="M683" i="34" s="1"/>
  <c r="K705" i="34"/>
  <c r="K706" i="34"/>
  <c r="K708" i="34"/>
  <c r="K709" i="34"/>
  <c r="K710" i="34"/>
  <c r="K711" i="34"/>
  <c r="K700" i="34"/>
  <c r="K688" i="34"/>
  <c r="K676" i="34"/>
  <c r="K707" i="34"/>
  <c r="K701" i="34"/>
  <c r="K689" i="34"/>
  <c r="K677" i="34"/>
  <c r="K702" i="34"/>
  <c r="K690" i="34"/>
  <c r="K678" i="34"/>
  <c r="K703" i="34"/>
  <c r="K691" i="34"/>
  <c r="K679" i="34"/>
  <c r="K713" i="34"/>
  <c r="K692" i="34"/>
  <c r="K680" i="34"/>
  <c r="K668" i="34"/>
  <c r="K693" i="34"/>
  <c r="K681" i="34"/>
  <c r="K669" i="34"/>
  <c r="K695" i="34"/>
  <c r="K683" i="34"/>
  <c r="K671" i="34"/>
  <c r="K716" i="34"/>
  <c r="K712" i="34"/>
  <c r="K696" i="34"/>
  <c r="K684" i="34"/>
  <c r="K672" i="34"/>
  <c r="K697" i="34"/>
  <c r="K685" i="34"/>
  <c r="K673" i="34"/>
  <c r="K698" i="34"/>
  <c r="K686" i="34"/>
  <c r="K674" i="34"/>
  <c r="K699" i="34"/>
  <c r="K687" i="34"/>
  <c r="K675" i="34"/>
  <c r="K682" i="34"/>
  <c r="K694" i="34"/>
  <c r="K704" i="34"/>
  <c r="K670" i="34"/>
  <c r="I646" i="24" l="1"/>
  <c r="I705" i="24"/>
  <c r="I637" i="24"/>
  <c r="I683" i="24"/>
  <c r="I702" i="24"/>
  <c r="I686" i="24"/>
  <c r="I643" i="24"/>
  <c r="I690" i="24"/>
  <c r="I713" i="24"/>
  <c r="I697" i="24"/>
  <c r="I671" i="24"/>
  <c r="I630" i="24"/>
  <c r="I670" i="24"/>
  <c r="I692" i="24"/>
  <c r="I647" i="24"/>
  <c r="I716" i="24"/>
  <c r="I642" i="24"/>
  <c r="I710" i="24"/>
  <c r="I672" i="24"/>
  <c r="I668" i="24"/>
  <c r="I691" i="24"/>
  <c r="I704" i="24"/>
  <c r="I632" i="24"/>
  <c r="I640" i="24"/>
  <c r="I695" i="24"/>
  <c r="I681" i="24"/>
  <c r="I644" i="24"/>
  <c r="I711" i="24"/>
  <c r="I696" i="24"/>
  <c r="I677" i="24"/>
  <c r="I673" i="24"/>
  <c r="I698" i="24"/>
  <c r="I636" i="24"/>
  <c r="I638" i="24"/>
  <c r="I676" i="24"/>
  <c r="I694" i="24"/>
  <c r="I699" i="24"/>
  <c r="I634" i="24"/>
  <c r="I687" i="24"/>
  <c r="I701" i="24"/>
  <c r="I689" i="24"/>
  <c r="I639" i="24"/>
  <c r="I700" i="24"/>
  <c r="I678" i="24"/>
  <c r="I708" i="24"/>
  <c r="I674" i="24"/>
  <c r="I633" i="24"/>
  <c r="I712" i="24"/>
  <c r="I706" i="24"/>
  <c r="I680" i="24"/>
  <c r="I693" i="24"/>
  <c r="I703" i="24"/>
  <c r="I709" i="24"/>
  <c r="I635" i="24"/>
  <c r="I684" i="24"/>
  <c r="I707" i="24"/>
  <c r="I685" i="24"/>
  <c r="I679" i="24"/>
  <c r="I641" i="24"/>
  <c r="I645" i="24"/>
  <c r="I675" i="24"/>
  <c r="I631" i="24"/>
  <c r="I688" i="24"/>
  <c r="I669" i="24"/>
  <c r="I682" i="24"/>
  <c r="M673" i="34"/>
  <c r="M681" i="34"/>
  <c r="M677" i="34"/>
  <c r="M685" i="34"/>
  <c r="M693" i="34"/>
  <c r="M689" i="34"/>
  <c r="M701" i="34"/>
  <c r="M692" i="34"/>
  <c r="M700" i="34"/>
  <c r="M696" i="34"/>
  <c r="M713" i="34"/>
  <c r="M711" i="34"/>
  <c r="M697" i="34"/>
  <c r="M675" i="34"/>
  <c r="M679" i="34"/>
  <c r="M710" i="34"/>
  <c r="M680" i="34"/>
  <c r="M687" i="34"/>
  <c r="M670" i="34"/>
  <c r="M691" i="34"/>
  <c r="M709" i="34"/>
  <c r="M672" i="34"/>
  <c r="M699" i="34"/>
  <c r="M682" i="34"/>
  <c r="M703" i="34"/>
  <c r="M707" i="34"/>
  <c r="K715" i="34"/>
  <c r="M705" i="34"/>
  <c r="M688" i="34"/>
  <c r="M674" i="34"/>
  <c r="M694" i="34"/>
  <c r="M678" i="34"/>
  <c r="M706" i="34"/>
  <c r="L715" i="34"/>
  <c r="M668" i="34"/>
  <c r="M676" i="34"/>
  <c r="M684" i="34"/>
  <c r="M686" i="34"/>
  <c r="M704" i="34"/>
  <c r="M690" i="34"/>
  <c r="I715" i="24" l="1"/>
  <c r="J630" i="24"/>
  <c r="M715" i="34"/>
  <c r="J708" i="24" l="1"/>
  <c r="J681" i="24"/>
  <c r="J643" i="24"/>
  <c r="J637" i="24"/>
  <c r="J673" i="24"/>
  <c r="J683" i="24"/>
  <c r="J680" i="24"/>
  <c r="J636" i="24"/>
  <c r="J713" i="24"/>
  <c r="J676" i="24"/>
  <c r="J631" i="24"/>
  <c r="J686" i="24"/>
  <c r="J642" i="24"/>
  <c r="J687" i="24"/>
  <c r="J644" i="24"/>
  <c r="J692" i="24"/>
  <c r="J711" i="24"/>
  <c r="J690" i="24"/>
  <c r="J646" i="24"/>
  <c r="J647" i="24"/>
  <c r="J682" i="24"/>
  <c r="J704" i="24"/>
  <c r="J671" i="24"/>
  <c r="J698" i="24"/>
  <c r="J677" i="24"/>
  <c r="J691" i="24"/>
  <c r="J707" i="24"/>
  <c r="J638" i="24"/>
  <c r="J693" i="24"/>
  <c r="J688" i="24"/>
  <c r="J669" i="24"/>
  <c r="J640" i="24"/>
  <c r="J645" i="24"/>
  <c r="J632" i="24"/>
  <c r="J694" i="24"/>
  <c r="J703" i="24"/>
  <c r="J633" i="24"/>
  <c r="J684" i="24"/>
  <c r="J685" i="24"/>
  <c r="J668" i="24"/>
  <c r="J675" i="24"/>
  <c r="J674" i="24"/>
  <c r="J634" i="24"/>
  <c r="J699" i="24"/>
  <c r="J639" i="24"/>
  <c r="J678" i="24"/>
  <c r="J702" i="24"/>
  <c r="J689" i="24"/>
  <c r="J672" i="24"/>
  <c r="J696" i="24"/>
  <c r="J679" i="24"/>
  <c r="J641" i="24"/>
  <c r="J705" i="24"/>
  <c r="J700" i="24"/>
  <c r="J712" i="24"/>
  <c r="J701" i="24"/>
  <c r="J670" i="24"/>
  <c r="J635" i="24"/>
  <c r="J710" i="24"/>
  <c r="J697" i="24"/>
  <c r="J709" i="24"/>
  <c r="J695" i="24"/>
  <c r="J716" i="24"/>
  <c r="J706" i="24"/>
  <c r="L647" i="24" l="1"/>
  <c r="L688" i="24" s="1"/>
  <c r="K644" i="24"/>
  <c r="K689" i="24" s="1"/>
  <c r="J715" i="24"/>
  <c r="L675" i="24"/>
  <c r="L677" i="24"/>
  <c r="L703" i="24"/>
  <c r="L672" i="24"/>
  <c r="L705" i="24"/>
  <c r="L696" i="24"/>
  <c r="L680" i="24"/>
  <c r="L679" i="24"/>
  <c r="L668" i="24"/>
  <c r="L700" i="24"/>
  <c r="L704" i="24"/>
  <c r="L698" i="24"/>
  <c r="L694" i="24"/>
  <c r="L711" i="24"/>
  <c r="L670" i="24"/>
  <c r="L716" i="24"/>
  <c r="L681" i="24"/>
  <c r="L674" i="24"/>
  <c r="K710" i="24"/>
  <c r="K697" i="24"/>
  <c r="K696" i="24"/>
  <c r="K683" i="24"/>
  <c r="K703" i="24"/>
  <c r="K712" i="24"/>
  <c r="K668" i="24"/>
  <c r="K701" i="24"/>
  <c r="K692" i="24"/>
  <c r="K684" i="24"/>
  <c r="K674" i="24"/>
  <c r="K694" i="24"/>
  <c r="K713" i="24"/>
  <c r="K685" i="24"/>
  <c r="K708" i="24"/>
  <c r="K670" i="24"/>
  <c r="K699" i="24"/>
  <c r="K679" i="24"/>
  <c r="K691" i="24"/>
  <c r="K687" i="24"/>
  <c r="K671" i="24"/>
  <c r="K681" i="24"/>
  <c r="K705" i="24"/>
  <c r="K690" i="24"/>
  <c r="K676" i="24"/>
  <c r="K672" i="24"/>
  <c r="K693" i="24"/>
  <c r="K707" i="24"/>
  <c r="K700" i="24"/>
  <c r="K678" i="24"/>
  <c r="K702" i="24"/>
  <c r="K698" i="24"/>
  <c r="K680" i="24"/>
  <c r="K716" i="24"/>
  <c r="K673" i="24"/>
  <c r="K675" i="24"/>
  <c r="K704" i="24"/>
  <c r="K669" i="24"/>
  <c r="K706" i="24"/>
  <c r="K677" i="24"/>
  <c r="K695" i="24"/>
  <c r="K686" i="24"/>
  <c r="K682" i="24"/>
  <c r="K711" i="24"/>
  <c r="L710" i="24" l="1"/>
  <c r="L699" i="24"/>
  <c r="L671" i="24"/>
  <c r="L702" i="24"/>
  <c r="L686" i="24"/>
  <c r="L669" i="24"/>
  <c r="L713" i="24"/>
  <c r="L701" i="24"/>
  <c r="L709" i="24"/>
  <c r="K688" i="24"/>
  <c r="L676" i="24"/>
  <c r="M676" i="24" s="1"/>
  <c r="D55" i="32" s="1"/>
  <c r="L684" i="24"/>
  <c r="M684" i="24" s="1"/>
  <c r="E87" i="32" s="1"/>
  <c r="L683" i="24"/>
  <c r="M683" i="24" s="1"/>
  <c r="D87" i="32" s="1"/>
  <c r="L712" i="24"/>
  <c r="M712" i="24" s="1"/>
  <c r="E215" i="32" s="1"/>
  <c r="L685" i="24"/>
  <c r="M685" i="24" s="1"/>
  <c r="F87" i="32" s="1"/>
  <c r="L682" i="24"/>
  <c r="M682" i="24" s="1"/>
  <c r="C87" i="32" s="1"/>
  <c r="L687" i="24"/>
  <c r="L678" i="24"/>
  <c r="M678" i="24" s="1"/>
  <c r="L692" i="24"/>
  <c r="L697" i="24"/>
  <c r="L691" i="24"/>
  <c r="M691" i="24" s="1"/>
  <c r="E55" i="32" s="1"/>
  <c r="L695" i="24"/>
  <c r="L707" i="24"/>
  <c r="L693" i="24"/>
  <c r="M693" i="24" s="1"/>
  <c r="G55" i="32" s="1"/>
  <c r="L706" i="24"/>
  <c r="M706" i="24" s="1"/>
  <c r="F183" i="32" s="1"/>
  <c r="M670" i="24"/>
  <c r="E23" i="32" s="1"/>
  <c r="M694" i="24"/>
  <c r="H119" i="32" s="1"/>
  <c r="L690" i="24"/>
  <c r="M690" i="24" s="1"/>
  <c r="D119" i="32" s="1"/>
  <c r="L708" i="24"/>
  <c r="M708" i="24" s="1"/>
  <c r="H183" i="32" s="1"/>
  <c r="M705" i="24"/>
  <c r="E183" i="32" s="1"/>
  <c r="M672" i="24"/>
  <c r="G23" i="32" s="1"/>
  <c r="L673" i="24"/>
  <c r="M673" i="24" s="1"/>
  <c r="H23" i="32" s="1"/>
  <c r="L689" i="24"/>
  <c r="M689" i="24" s="1"/>
  <c r="C119" i="32" s="1"/>
  <c r="K709" i="24"/>
  <c r="M709" i="24" s="1"/>
  <c r="I183" i="32" s="1"/>
  <c r="M710" i="24"/>
  <c r="C215" i="32" s="1"/>
  <c r="M680" i="24"/>
  <c r="H55" i="32" s="1"/>
  <c r="M703" i="24"/>
  <c r="C183" i="32" s="1"/>
  <c r="M704" i="24"/>
  <c r="D183" i="32" s="1"/>
  <c r="M671" i="24"/>
  <c r="F23" i="32" s="1"/>
  <c r="M681" i="24"/>
  <c r="I55" i="32" s="1"/>
  <c r="M701" i="24"/>
  <c r="H151" i="32" s="1"/>
  <c r="M713" i="24"/>
  <c r="F215" i="32" s="1"/>
  <c r="M695" i="24"/>
  <c r="I119" i="32" s="1"/>
  <c r="M707" i="24"/>
  <c r="G183" i="32" s="1"/>
  <c r="M711" i="24"/>
  <c r="D215" i="32" s="1"/>
  <c r="M700" i="24"/>
  <c r="G151" i="32" s="1"/>
  <c r="M699" i="24"/>
  <c r="F151" i="32" s="1"/>
  <c r="M687" i="24"/>
  <c r="H87" i="32" s="1"/>
  <c r="M688" i="24"/>
  <c r="I87" i="32" s="1"/>
  <c r="M675" i="24"/>
  <c r="C55" i="32" s="1"/>
  <c r="M677" i="24"/>
  <c r="M686" i="24"/>
  <c r="G87" i="32" s="1"/>
  <c r="M692" i="24"/>
  <c r="F55" i="32" s="1"/>
  <c r="M702" i="24"/>
  <c r="I151" i="32" s="1"/>
  <c r="M698" i="24"/>
  <c r="E151" i="32" s="1"/>
  <c r="M679" i="24"/>
  <c r="M674" i="24"/>
  <c r="I23" i="32" s="1"/>
  <c r="M696" i="24"/>
  <c r="C151" i="32" s="1"/>
  <c r="M669" i="24"/>
  <c r="D23" i="32" s="1"/>
  <c r="M697" i="24"/>
  <c r="D151" i="32" s="1"/>
  <c r="M668" i="24"/>
  <c r="L715" i="24" l="1"/>
  <c r="K715" i="24"/>
  <c r="G119" i="32"/>
  <c r="E119" i="32"/>
  <c r="F119" i="32"/>
  <c r="C23" i="32"/>
  <c r="M715" i="24"/>
</calcChain>
</file>

<file path=xl/sharedStrings.xml><?xml version="1.0" encoding="utf-8"?>
<sst xmlns="http://schemas.openxmlformats.org/spreadsheetml/2006/main" count="4860" uniqueCount="1380">
  <si>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</si>
  <si>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</si>
  <si>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</si>
  <si>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</si>
  <si>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</si>
  <si>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</si>
  <si>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</si>
  <si>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</si>
  <si>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</si>
  <si>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</si>
  <si>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</si>
  <si>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</si>
  <si>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</si>
  <si>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</si>
  <si>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</si>
  <si>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</si>
  <si>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</si>
  <si>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</si>
  <si>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</si>
  <si>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</si>
  <si>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</si>
  <si>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</si>
  <si>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</si>
  <si>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</si>
  <si>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</si>
  <si>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</si>
  <si>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</si>
  <si>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</si>
  <si>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</si>
  <si>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</si>
  <si>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</si>
  <si>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</si>
  <si>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</si>
  <si>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</si>
  <si>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</si>
  <si>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</si>
  <si>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</si>
  <si>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</si>
  <si>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</si>
  <si>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</si>
  <si>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</si>
  <si>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</si>
  <si>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</si>
  <si>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</si>
  <si>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</si>
  <si>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</si>
  <si>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</si>
  <si>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</si>
  <si>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</si>
  <si>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</si>
  <si>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</si>
  <si>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</si>
  <si>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</si>
  <si>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</si>
  <si>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</si>
  <si>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</si>
  <si>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</si>
  <si>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</si>
  <si>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</si>
  <si>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</si>
  <si>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</si>
  <si>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</si>
  <si>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</si>
  <si>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</si>
  <si>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</si>
  <si>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</si>
  <si>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</si>
  <si>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</si>
  <si>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</si>
  <si>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</si>
  <si>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</si>
  <si>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</si>
  <si>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</si>
  <si>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</si>
  <si>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</si>
  <si>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</si>
  <si>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</si>
  <si>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</si>
  <si>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</si>
  <si>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</si>
  <si>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</si>
  <si>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</si>
  <si>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</si>
  <si>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</si>
  <si>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</si>
  <si>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</si>
  <si>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</si>
  <si>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</si>
  <si>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</si>
  <si>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</si>
  <si>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</si>
  <si>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</si>
  <si>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</si>
  <si>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</si>
  <si>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</si>
  <si>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</si>
  <si>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</si>
  <si>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</si>
  <si>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</si>
  <si>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</si>
  <si>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</si>
  <si>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</si>
  <si>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</si>
  <si>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</si>
  <si>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</si>
  <si>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</si>
  <si>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</si>
  <si>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</si>
  <si>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</si>
  <si>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</si>
  <si>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</si>
  <si>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</si>
  <si>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</si>
  <si>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</si>
  <si>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</si>
  <si>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</si>
  <si>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</si>
  <si>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</si>
  <si>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</si>
  <si>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</si>
  <si>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</si>
  <si>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</si>
  <si>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</si>
  <si>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</si>
  <si>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</si>
  <si>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</si>
  <si>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</si>
  <si>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</si>
  <si>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</si>
  <si>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</si>
  <si>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</si>
  <si>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</si>
  <si>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</si>
  <si>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</si>
  <si>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</si>
  <si>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</si>
  <si>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</si>
  <si>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</si>
  <si>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</si>
  <si>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</si>
  <si>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</si>
  <si>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</si>
  <si>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</si>
  <si>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</si>
  <si>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</si>
  <si>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</si>
  <si>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</si>
  <si>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</si>
  <si>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</si>
  <si>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</si>
  <si>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</si>
  <si>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</si>
  <si>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</si>
  <si>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</si>
  <si>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</si>
  <si>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</si>
  <si>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</si>
  <si>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</si>
  <si>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</si>
  <si>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</si>
  <si>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</si>
  <si>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</si>
  <si>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</si>
  <si>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</si>
  <si>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</si>
  <si>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</si>
  <si>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</si>
  <si>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</si>
  <si>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</si>
  <si>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</si>
  <si>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</si>
  <si>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</si>
  <si>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</si>
  <si>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</si>
  <si>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</si>
  <si>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</si>
  <si>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</si>
  <si>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</si>
  <si>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</si>
  <si>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</si>
  <si>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</si>
  <si>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</si>
  <si>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</si>
  <si>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</si>
  <si>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</si>
  <si>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</si>
  <si>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</si>
  <si>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</si>
  <si>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</si>
  <si>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</si>
  <si>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</si>
  <si>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</si>
  <si>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</si>
  <si>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</si>
  <si>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</si>
  <si>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</si>
  <si>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</si>
  <si>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</si>
  <si>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</si>
  <si>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</si>
  <si>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</si>
  <si>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</si>
  <si>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</si>
  <si>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</si>
  <si>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</si>
  <si>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</si>
  <si>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</si>
  <si>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</si>
  <si>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</si>
  <si>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</si>
  <si>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</si>
  <si>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</si>
  <si>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</si>
  <si>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</si>
  <si>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</si>
  <si>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</si>
  <si>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</si>
  <si>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</si>
  <si>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</si>
  <si>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</si>
  <si>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</si>
  <si>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</si>
  <si>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</si>
  <si>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</si>
  <si>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</si>
  <si>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</si>
  <si>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</si>
  <si>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</si>
  <si>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</si>
  <si>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</si>
  <si>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</si>
  <si>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</si>
  <si>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</si>
  <si>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</si>
  <si>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</si>
  <si>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</si>
  <si>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</si>
  <si>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</si>
  <si>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</si>
  <si>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</si>
  <si>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</si>
  <si>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</si>
  <si>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</si>
  <si>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</si>
  <si>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</si>
  <si>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</si>
  <si>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</si>
  <si>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</si>
  <si>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</si>
  <si>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</si>
  <si>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</si>
  <si>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</si>
  <si>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</si>
  <si>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</si>
  <si>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</si>
  <si>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</si>
  <si>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</si>
  <si>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</si>
  <si>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</si>
  <si>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</si>
  <si>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</si>
  <si>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</si>
  <si>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</si>
  <si>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</si>
  <si>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</si>
  <si>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</si>
  <si>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</si>
  <si>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</si>
  <si>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</si>
  <si>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</si>
  <si>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</si>
  <si>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</si>
  <si>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</si>
  <si>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</si>
  <si>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</si>
  <si>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</si>
  <si>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</si>
  <si>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</si>
  <si>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</si>
  <si>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</si>
  <si>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</si>
  <si>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</si>
  <si>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</si>
  <si>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</si>
  <si>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</si>
  <si>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</si>
  <si>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</si>
  <si>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</si>
  <si>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</si>
  <si>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</si>
  <si>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</si>
  <si>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</si>
  <si>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</si>
  <si>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</si>
  <si>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</si>
  <si>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</si>
  <si>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</si>
  <si>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</si>
  <si>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</si>
  <si>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</si>
  <si>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198</t>
  </si>
  <si>
    <t>Hospital Name</t>
  </si>
  <si>
    <t>Astria Sunnyside Hospital</t>
  </si>
  <si>
    <t>Mailing Address</t>
  </si>
  <si>
    <t>PO Box 719</t>
  </si>
  <si>
    <t>City</t>
  </si>
  <si>
    <t xml:space="preserve">Sunnyside </t>
  </si>
  <si>
    <t>State</t>
  </si>
  <si>
    <t xml:space="preserve">WA </t>
  </si>
  <si>
    <t>Zip</t>
  </si>
  <si>
    <t>County</t>
  </si>
  <si>
    <t>Yakima</t>
  </si>
  <si>
    <t>Chief Executive Officer</t>
  </si>
  <si>
    <t>Chief Financial Officer</t>
  </si>
  <si>
    <t>Chair of Governing Board</t>
  </si>
  <si>
    <t>Telephone Number</t>
  </si>
  <si>
    <t>(509) 837-1641</t>
  </si>
  <si>
    <t>Facsimile Number</t>
  </si>
  <si>
    <t>(509) 837-1512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</si>
  <si>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</si>
  <si>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</si>
  <si>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</si>
  <si>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</si>
  <si>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</si>
  <si>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</si>
  <si>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</si>
  <si>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</si>
  <si>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</si>
  <si>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</si>
  <si>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</si>
  <si>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</si>
  <si>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</si>
  <si>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</si>
  <si>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</si>
  <si>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</si>
  <si>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</si>
  <si>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</si>
  <si>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</si>
  <si>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</si>
  <si>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</si>
  <si>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</si>
  <si>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</si>
  <si>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</si>
  <si>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</si>
  <si>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</si>
  <si>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</si>
  <si>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</si>
  <si>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</si>
  <si>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</si>
  <si>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</si>
  <si>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</si>
  <si>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</si>
  <si>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</si>
  <si>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</si>
  <si>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</si>
  <si>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</si>
  <si>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</si>
  <si>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</si>
  <si>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</si>
  <si>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</si>
  <si>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</si>
  <si>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</si>
  <si>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</si>
  <si>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</si>
  <si>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</si>
  <si>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</si>
  <si>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</si>
  <si>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</si>
  <si>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</si>
  <si>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</si>
  <si>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</si>
  <si>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</si>
  <si>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</si>
  <si>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</si>
  <si>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</si>
  <si>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</si>
  <si>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</si>
  <si>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</si>
  <si>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</si>
  <si>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</si>
  <si>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</si>
  <si>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</si>
  <si>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</si>
  <si>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</si>
  <si>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</si>
  <si>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</si>
  <si>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</si>
  <si>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</si>
  <si>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</si>
  <si>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</si>
  <si>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</si>
  <si>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</si>
  <si>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</si>
  <si>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</si>
  <si>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</si>
  <si>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</si>
  <si>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</si>
  <si>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</si>
  <si>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</si>
  <si>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</si>
  <si>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</si>
  <si>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</si>
  <si>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</si>
  <si>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</si>
  <si>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</si>
  <si>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</si>
  <si>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</si>
  <si>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</si>
  <si>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</si>
  <si>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</si>
  <si>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</si>
  <si>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</si>
  <si>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</si>
  <si>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</si>
  <si>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</si>
  <si>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</si>
  <si>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</si>
  <si>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</si>
  <si>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</si>
  <si>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</si>
  <si>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</si>
  <si>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</si>
  <si>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</si>
  <si>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</si>
  <si>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</si>
  <si>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</si>
  <si>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</si>
  <si>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</si>
  <si>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</si>
  <si>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</si>
  <si>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</si>
  <si>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</si>
  <si>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</si>
  <si>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</si>
  <si>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</si>
  <si>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</si>
  <si>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</si>
  <si>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</si>
  <si>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</si>
  <si>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</si>
  <si>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</si>
  <si>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</si>
  <si>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</si>
  <si>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</si>
  <si>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</si>
  <si>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</si>
  <si>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</si>
  <si>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</si>
  <si>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</si>
  <si>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</si>
  <si>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</si>
  <si>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</si>
  <si>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</si>
  <si>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</si>
  <si>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</si>
  <si>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</si>
  <si>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</si>
  <si>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</si>
  <si>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</si>
  <si>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</si>
  <si>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</si>
  <si>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</si>
  <si>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</si>
  <si>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</si>
  <si>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</si>
  <si>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</si>
  <si>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</si>
  <si>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</si>
  <si>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</si>
  <si>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</si>
  <si>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</si>
  <si>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</si>
  <si>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</si>
  <si>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</si>
  <si>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</si>
  <si>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</si>
  <si>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</si>
  <si>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</si>
  <si>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</si>
  <si>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</si>
  <si>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</si>
  <si>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</si>
  <si>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</si>
  <si>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</si>
  <si>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</si>
  <si>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</si>
  <si>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</si>
  <si>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</si>
  <si>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</si>
  <si>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</si>
  <si>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</si>
  <si>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</si>
  <si>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</si>
  <si>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</si>
  <si>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</si>
  <si>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</si>
  <si>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</si>
  <si>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</si>
  <si>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</si>
  <si>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</si>
  <si>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</si>
  <si>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</si>
  <si>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</si>
  <si>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</si>
  <si>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</si>
  <si>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</si>
  <si>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</si>
  <si>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</si>
  <si>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</si>
  <si>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</si>
  <si>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</si>
  <si>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</si>
  <si>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</si>
  <si>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</si>
  <si>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</si>
  <si>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</si>
  <si>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</si>
  <si>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</si>
  <si>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</si>
  <si>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</si>
  <si>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</si>
  <si>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</si>
  <si>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</si>
  <si>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</si>
  <si>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</si>
  <si>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</si>
  <si>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</si>
  <si>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</si>
  <si>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</si>
  <si>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</si>
  <si>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</si>
  <si>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</si>
  <si>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</si>
  <si>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</si>
  <si>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</si>
  <si>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</si>
  <si>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</si>
  <si>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</si>
  <si>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</si>
  <si>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</si>
  <si>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</si>
  <si>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</si>
  <si>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</si>
  <si>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</si>
  <si>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</si>
  <si>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</si>
  <si>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</si>
  <si>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</si>
  <si>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</si>
  <si>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</si>
  <si>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</si>
  <si>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</si>
  <si>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</si>
  <si>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</si>
  <si>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</si>
  <si>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</si>
  <si>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</si>
  <si>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</si>
  <si>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</si>
  <si>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</si>
  <si>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</si>
  <si>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</si>
  <si>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</si>
  <si>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</si>
  <si>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</si>
  <si>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</si>
  <si>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</si>
  <si>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</si>
  <si>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</si>
  <si>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</si>
  <si>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</si>
  <si>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</si>
  <si>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</si>
  <si>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</si>
  <si>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</si>
  <si>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</si>
  <si>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</si>
  <si>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</si>
  <si>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</si>
  <si>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</si>
  <si>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</si>
  <si>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</si>
  <si>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</si>
  <si>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</si>
  <si>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</si>
  <si>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</si>
  <si>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</si>
  <si>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</si>
  <si>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</si>
  <si>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</si>
  <si>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</si>
  <si>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</si>
  <si>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</si>
  <si>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</si>
  <si>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</si>
  <si>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</si>
  <si>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</si>
  <si>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</si>
  <si>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</si>
  <si>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</si>
  <si>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</si>
  <si>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</si>
  <si>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</si>
  <si>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</si>
  <si>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</si>
  <si>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</si>
  <si>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</si>
  <si>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</si>
  <si>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</si>
  <si>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</si>
  <si>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</si>
  <si>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</si>
  <si>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</si>
  <si>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</si>
  <si>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</si>
  <si>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</si>
  <si>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</si>
  <si>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</si>
  <si>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</si>
  <si>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</si>
  <si>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</si>
  <si>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</si>
  <si>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</si>
  <si>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</si>
  <si>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</si>
  <si>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</si>
  <si>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</si>
  <si>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</si>
  <si>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</si>
  <si>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</si>
  <si>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</si>
  <si>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</si>
  <si>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</si>
  <si>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</si>
  <si>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</si>
  <si>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</si>
  <si>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</si>
  <si>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</si>
  <si>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</si>
  <si>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</si>
  <si>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</si>
  <si>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</si>
  <si>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</si>
  <si>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</si>
  <si>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</si>
  <si>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</si>
  <si>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</si>
  <si>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</si>
  <si>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</si>
  <si>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</si>
  <si>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</si>
  <si>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</si>
  <si>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</si>
  <si>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</si>
  <si>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</si>
  <si>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</si>
  <si>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</si>
  <si>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</si>
  <si>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</si>
  <si>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</si>
  <si>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</si>
  <si>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</si>
  <si>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</si>
  <si>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</si>
  <si>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</si>
  <si>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</si>
  <si>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</si>
  <si>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</si>
  <si>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</si>
  <si>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</si>
  <si>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</si>
  <si>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</si>
  <si>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</si>
  <si>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</si>
  <si>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</si>
  <si>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</si>
  <si>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</si>
  <si>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</si>
  <si>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</si>
  <si>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</si>
  <si>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</si>
  <si>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</si>
  <si>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</si>
  <si>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</si>
  <si>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</si>
  <si>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</si>
  <si>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</si>
  <si>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</si>
  <si>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</si>
  <si>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</si>
  <si>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</si>
  <si>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</si>
  <si>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</si>
  <si>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</si>
  <si>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</si>
  <si>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</si>
  <si>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</si>
  <si>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</si>
  <si>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</si>
  <si>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</si>
  <si>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</si>
  <si>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</si>
  <si>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</si>
  <si>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</si>
  <si>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</si>
  <si>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</si>
  <si>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</si>
  <si>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</si>
  <si>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</si>
  <si>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</si>
  <si>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</si>
  <si>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</si>
  <si>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</si>
  <si>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</si>
  <si>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</si>
  <si>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</si>
  <si>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</si>
  <si>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</si>
  <si>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</si>
  <si>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</si>
  <si>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</si>
  <si>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</si>
  <si>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</si>
  <si>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</si>
  <si>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</si>
  <si>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</si>
  <si>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</si>
  <si>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</si>
  <si>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</si>
  <si>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</si>
  <si>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</si>
  <si>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</si>
  <si>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</si>
  <si>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</si>
  <si>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</si>
  <si>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</si>
  <si>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</si>
  <si>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</si>
  <si>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</si>
  <si>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</si>
  <si>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</si>
  <si>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</si>
  <si>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</si>
  <si>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</si>
  <si>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</si>
  <si>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</si>
  <si>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</si>
  <si>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</si>
  <si>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</si>
  <si>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</si>
  <si>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</si>
  <si>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</si>
  <si>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</si>
  <si>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</si>
  <si>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</si>
  <si>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</si>
  <si>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</si>
  <si>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</si>
  <si>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</si>
  <si>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</si>
  <si>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</si>
  <si>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</si>
  <si>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</si>
  <si>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</si>
  <si>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</si>
  <si>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</si>
  <si>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</si>
  <si>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</si>
  <si>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</si>
  <si>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</si>
  <si>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</si>
  <si>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</si>
  <si>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</si>
  <si>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</si>
  <si>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</si>
  <si>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</si>
  <si>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</si>
  <si>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</si>
  <si>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</si>
  <si>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</si>
  <si>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</si>
  <si>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</si>
  <si>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</si>
  <si>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</si>
  <si>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</si>
  <si>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</si>
  <si>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</si>
  <si>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</si>
  <si>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</si>
  <si>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</si>
  <si>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</si>
  <si>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</si>
  <si>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</si>
  <si>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</si>
  <si>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</si>
  <si>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</si>
  <si>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</si>
  <si>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</si>
  <si>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</si>
  <si>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</si>
  <si>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</si>
  <si>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</si>
  <si>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</si>
  <si>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</si>
  <si>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</si>
  <si>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</si>
  <si>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</si>
  <si>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</si>
  <si>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</si>
  <si>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</si>
  <si>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</si>
  <si>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</si>
  <si>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</si>
  <si>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</si>
  <si>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</si>
  <si>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</si>
  <si>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</si>
  <si>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</si>
  <si>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</si>
  <si>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</si>
  <si>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</si>
  <si>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</si>
  <si>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</si>
  <si>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</si>
  <si>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</si>
  <si>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</si>
  <si>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</si>
  <si>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</si>
  <si>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</si>
  <si>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</si>
  <si>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</si>
  <si>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</si>
  <si>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</si>
  <si>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</si>
  <si>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</si>
  <si>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</si>
  <si>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</si>
  <si>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</si>
  <si>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</si>
  <si>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</si>
  <si>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</si>
  <si>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</si>
  <si>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</si>
  <si>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</si>
  <si>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</si>
  <si>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</si>
  <si>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</si>
  <si>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</si>
  <si>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</si>
  <si>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</si>
  <si>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</si>
  <si>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</si>
  <si>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</si>
  <si>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</si>
  <si>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</si>
  <si>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</si>
  <si>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</si>
  <si>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</si>
  <si>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</si>
  <si>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</si>
  <si>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</si>
  <si>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</si>
  <si>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</si>
  <si>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</si>
  <si>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</si>
  <si>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</si>
  <si>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</si>
  <si>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</si>
  <si>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</si>
  <si>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</si>
  <si>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</si>
  <si>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</si>
  <si>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</si>
  <si>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</si>
  <si>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</si>
  <si>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</si>
  <si>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</si>
  <si>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</si>
  <si>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</si>
  <si>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</si>
  <si>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</si>
  <si>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</si>
  <si>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</si>
  <si>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</si>
  <si>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</si>
  <si>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</si>
  <si>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</si>
  <si>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</si>
  <si>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</si>
  <si>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</si>
  <si>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</si>
  <si>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</si>
  <si>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</si>
  <si>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</si>
  <si>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</si>
  <si>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</si>
  <si>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</si>
  <si>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</si>
  <si>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</si>
  <si>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</si>
  <si>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</si>
  <si>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</si>
  <si>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</si>
  <si>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</si>
  <si>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</si>
  <si>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</si>
  <si>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</si>
  <si>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</si>
  <si>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</si>
  <si>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</si>
  <si>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</si>
  <si>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</si>
  <si>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</si>
  <si>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</si>
  <si>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</si>
  <si>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</si>
  <si>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</si>
  <si>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</si>
  <si>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</si>
  <si>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</si>
  <si>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</si>
  <si>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</si>
  <si>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</si>
  <si>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</si>
  <si>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</si>
  <si>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</si>
  <si>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</si>
  <si>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</si>
  <si>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</si>
  <si>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</si>
  <si>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</si>
  <si>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</si>
  <si>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</si>
  <si>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</si>
  <si>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</si>
  <si>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</si>
  <si>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</si>
  <si>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</si>
  <si>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</si>
  <si>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</si>
  <si>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</si>
  <si>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</si>
  <si>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</si>
  <si>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</si>
  <si>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</si>
  <si>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</si>
  <si>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</si>
  <si>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</si>
  <si>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</si>
  <si>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</si>
  <si>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</si>
  <si>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</si>
  <si>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</si>
  <si>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</si>
  <si>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</si>
  <si>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</si>
  <si>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</si>
  <si>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</si>
  <si>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</si>
  <si>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</si>
  <si>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</si>
  <si>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</si>
  <si>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</si>
  <si>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</si>
  <si>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</si>
  <si>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</si>
  <si>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</si>
  <si>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</si>
  <si>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</si>
  <si>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</si>
  <si>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</si>
  <si>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</si>
  <si>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</si>
  <si>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</si>
  <si>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</si>
  <si>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</si>
  <si>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</si>
  <si>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</si>
  <si>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</si>
  <si>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</si>
  <si>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</si>
  <si>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</si>
  <si>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</si>
  <si>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</si>
  <si>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</si>
  <si>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</si>
  <si>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</si>
  <si>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</si>
  <si>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</si>
  <si>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</si>
  <si>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</si>
  <si>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</si>
  <si>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</si>
  <si>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</si>
  <si>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</si>
  <si>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</si>
  <si>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</si>
  <si>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</si>
  <si>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</si>
  <si>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</si>
  <si>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</si>
  <si>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</si>
  <si>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</si>
  <si>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</si>
  <si>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</si>
  <si>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</si>
  <si>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</si>
  <si>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</si>
  <si>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</si>
  <si>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</si>
  <si>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</si>
  <si>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</si>
  <si>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</si>
  <si>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</si>
  <si>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</si>
  <si>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</si>
  <si>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</si>
  <si>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</si>
  <si>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</si>
  <si>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</si>
  <si>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</si>
  <si>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</si>
  <si>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</si>
  <si>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</si>
  <si>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</si>
  <si>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</si>
  <si>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</si>
  <si>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</si>
  <si>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</si>
  <si>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</si>
  <si>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</si>
  <si>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</si>
  <si>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</si>
  <si>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</si>
  <si>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</si>
  <si>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</si>
  <si>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</si>
  <si>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</si>
  <si>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</si>
  <si>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</si>
  <si>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</si>
  <si>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</si>
  <si>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</si>
  <si>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</si>
  <si>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</si>
  <si>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</si>
  <si>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</si>
  <si>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</si>
  <si>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</si>
  <si>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</si>
  <si>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</si>
  <si>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</si>
  <si>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</si>
  <si>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</si>
  <si>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</si>
  <si>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</si>
  <si>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</si>
  <si>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</si>
  <si>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</si>
  <si>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</si>
  <si>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Brian P. Gibbons, Jr</t>
  </si>
  <si>
    <t>Maxwell Owens</t>
  </si>
  <si>
    <t>Chris Rivas</t>
  </si>
  <si>
    <t>Sandra Cortez</t>
  </si>
  <si>
    <t>sandra.cortez@astria.health</t>
  </si>
  <si>
    <t>Rite of Use Assets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</si>
  <si>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</si>
  <si>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</si>
  <si>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</si>
  <si>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</si>
  <si>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</si>
  <si>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</si>
  <si>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</si>
  <si>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</si>
  <si>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</si>
  <si>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</si>
  <si>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</si>
  <si>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</si>
  <si>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</si>
  <si>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</si>
  <si>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</si>
  <si>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</si>
  <si>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</si>
  <si>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</si>
  <si>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</si>
  <si>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</si>
  <si>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</si>
  <si>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</si>
  <si>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</si>
  <si>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</si>
  <si>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</si>
  <si>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</si>
  <si>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</si>
  <si>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</si>
  <si>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</si>
  <si>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</si>
  <si>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</si>
  <si>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</si>
  <si>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</si>
  <si>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</si>
  <si>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</si>
  <si>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</si>
  <si>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</si>
  <si>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</si>
  <si>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</si>
  <si>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</si>
  <si>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</si>
  <si>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</si>
  <si>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</si>
  <si>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</si>
  <si>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</si>
  <si>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</si>
  <si>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</si>
  <si>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</si>
  <si>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</si>
  <si>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</si>
  <si>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</si>
  <si>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</si>
  <si>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</si>
  <si>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</si>
  <si>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</si>
  <si>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</si>
  <si>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</si>
  <si>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</si>
  <si>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</si>
  <si>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</si>
  <si>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</si>
  <si>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</si>
  <si>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</si>
  <si>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</si>
  <si>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</si>
  <si>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</si>
  <si>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</si>
  <si>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</si>
  <si>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</si>
  <si>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</si>
  <si>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</si>
  <si>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</si>
  <si>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</si>
  <si>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</si>
  <si>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</si>
  <si>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</si>
  <si>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</si>
  <si>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</si>
  <si>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</si>
  <si>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</si>
  <si>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</si>
  <si>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</si>
  <si>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</si>
  <si>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</si>
  <si>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</si>
  <si>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</si>
  <si>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</si>
  <si>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</si>
  <si>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</si>
  <si>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</si>
  <si>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</si>
  <si>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</si>
  <si>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</si>
  <si>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</si>
  <si>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</si>
  <si>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</si>
  <si>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</si>
  <si>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</si>
  <si>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</si>
  <si>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</si>
  <si>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</si>
  <si>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</si>
  <si>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</si>
  <si>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</si>
  <si>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</si>
  <si>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</si>
  <si>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</si>
  <si>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</si>
  <si>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</si>
  <si>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</si>
  <si>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</si>
  <si>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</si>
  <si>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</si>
  <si>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</si>
  <si>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</si>
  <si>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</si>
  <si>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</si>
  <si>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</si>
  <si>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</si>
  <si>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</si>
  <si>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</si>
  <si>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</si>
  <si>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</si>
  <si>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</si>
  <si>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</si>
  <si>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</si>
  <si>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</si>
  <si>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</si>
  <si>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</si>
  <si>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</si>
  <si>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</si>
  <si>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</si>
  <si>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</si>
  <si>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</si>
  <si>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</si>
  <si>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</si>
  <si>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</si>
  <si>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</si>
  <si>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</si>
  <si>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</si>
  <si>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</si>
  <si>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</si>
  <si>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</si>
  <si>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</si>
  <si>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</si>
  <si>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</si>
  <si>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</si>
  <si>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</si>
  <si>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</si>
  <si>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</si>
  <si>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</si>
  <si>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</si>
  <si>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</si>
  <si>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</si>
  <si>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</si>
  <si>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</si>
  <si>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</si>
  <si>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</si>
  <si>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</si>
  <si>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</si>
  <si>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</si>
  <si>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</si>
  <si>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</si>
  <si>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</si>
  <si>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</si>
  <si>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</si>
  <si>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</si>
  <si>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</si>
  <si>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</si>
  <si>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</si>
  <si>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</si>
  <si>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</si>
  <si>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</si>
  <si>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</si>
  <si>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</si>
  <si>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</si>
  <si>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</si>
  <si>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</si>
  <si>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</si>
  <si>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</si>
  <si>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</si>
  <si>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</si>
  <si>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</si>
  <si>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</si>
  <si>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</si>
  <si>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</si>
  <si>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</si>
  <si>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</si>
  <si>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</si>
  <si>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</si>
  <si>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</si>
  <si>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</si>
  <si>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</si>
  <si>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</si>
  <si>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</si>
  <si>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</si>
  <si>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</si>
  <si>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</si>
  <si>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</si>
  <si>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</si>
  <si>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</si>
  <si>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</si>
  <si>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</si>
  <si>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</si>
  <si>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</si>
  <si>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</si>
  <si>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</si>
  <si>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</si>
  <si>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</si>
  <si>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</si>
  <si>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</si>
  <si>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</si>
  <si>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</si>
  <si>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</si>
  <si>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</si>
  <si>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</si>
  <si>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</si>
  <si>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</si>
  <si>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</si>
  <si>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</si>
  <si>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</si>
  <si>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</si>
  <si>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</si>
  <si>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</si>
  <si>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</si>
  <si>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</si>
  <si>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</si>
  <si>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</si>
  <si>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</si>
  <si>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</si>
  <si>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</si>
  <si>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</si>
  <si>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</si>
  <si>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</si>
  <si>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</si>
  <si>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</si>
  <si>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</si>
  <si>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</si>
  <si>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</si>
  <si>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</si>
  <si>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</si>
  <si>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</si>
  <si>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</si>
  <si>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</si>
  <si>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</si>
  <si>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</si>
  <si>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</si>
  <si>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</si>
  <si>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</si>
  <si>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</si>
  <si>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</si>
  <si>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</si>
  <si>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</si>
  <si>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</si>
  <si>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</si>
  <si>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</si>
  <si>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</si>
  <si>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</si>
  <si>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</si>
  <si>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</si>
  <si>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</si>
  <si>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</si>
  <si>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</si>
  <si>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</si>
  <si>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</si>
  <si>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</si>
  <si>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</si>
  <si>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</si>
  <si>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</si>
  <si>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</si>
  <si>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</si>
  <si>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</si>
  <si>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</si>
  <si>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</si>
  <si>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</si>
  <si>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</si>
  <si>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</si>
  <si>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</si>
  <si>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</si>
  <si>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</si>
  <si>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</si>
  <si>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</si>
  <si>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</si>
  <si>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</si>
  <si>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</si>
  <si>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</si>
  <si>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</si>
  <si>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</si>
  <si>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</si>
  <si>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</si>
  <si>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</si>
  <si>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</si>
  <si>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</si>
  <si>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</si>
  <si>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</si>
  <si>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</si>
  <si>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</si>
  <si>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</si>
  <si>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</si>
  <si>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</si>
  <si>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</si>
  <si>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</si>
  <si>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</si>
  <si>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</si>
  <si>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</si>
  <si>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Matthew Matthiessen</t>
  </si>
  <si>
    <t>Miscellaneous</t>
  </si>
  <si>
    <t>Freight</t>
  </si>
  <si>
    <t>Postage</t>
  </si>
  <si>
    <t>Bank Fees</t>
  </si>
  <si>
    <t>Dues/Subscriptions</t>
  </si>
  <si>
    <t>Travel/Meeting</t>
  </si>
  <si>
    <t>Safety Net Assesment Fees</t>
  </si>
  <si>
    <t>Christina M. Rivas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</si>
</sst>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38" fillId="28" borderId="0"/>
    <xf numFmtId="0" fontId="5" fillId="28" borderId="0"/>
    <xf numFmtId="0" fontId="5" fillId="28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9" borderId="0"/>
    <xf numFmtId="0" fontId="41" fillId="29" borderId="0"/>
    <xf numFmtId="0" fontId="37" fillId="29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3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7" borderId="0" xfId="0" applyFont="1" applyFill="1"/>
    <xf numFmtId="37" fontId="16" fillId="7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7" borderId="0" xfId="0" quotePrefix="1" applyFont="1" applyFill="1" applyAlignment="1">
      <alignment horizontal="left"/>
    </xf>
    <xf numFmtId="37" fontId="16" fillId="7" borderId="0" xfId="0" applyFont="1" applyFill="1" applyAlignment="1">
      <alignment horizontal="right"/>
    </xf>
    <xf numFmtId="37" fontId="16" fillId="7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7" borderId="0" xfId="0" applyFont="1" applyFill="1" applyAlignment="1">
      <alignment horizontal="centerContinuous"/>
    </xf>
    <xf numFmtId="37" fontId="16" fillId="7" borderId="0" xfId="0" applyFont="1" applyFill="1" applyAlignment="1">
      <alignment horizontal="left" indent="1"/>
    </xf>
    <xf numFmtId="10" fontId="16" fillId="0" borderId="0" xfId="939" applyNumberFormat="1" applyFont="1"/>
    <xf numFmtId="37" fontId="16" fillId="7" borderId="0" xfId="0" applyFont="1" applyFill="1" applyAlignment="1">
      <alignment horizontal="left" indent="2"/>
    </xf>
    <xf numFmtId="37" fontId="16" fillId="7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7" borderId="0" xfId="547" applyFont="1" applyFill="1"/>
    <xf numFmtId="37" fontId="21" fillId="7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8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9" borderId="0" xfId="0" applyFont="1" applyFill="1"/>
    <xf numFmtId="37" fontId="27" fillId="9" borderId="0" xfId="0" applyFont="1" applyFill="1" applyAlignment="1">
      <alignment horizontal="center"/>
    </xf>
    <xf numFmtId="37" fontId="27" fillId="10" borderId="0" xfId="0" applyFont="1" applyFill="1"/>
    <xf numFmtId="37" fontId="27" fillId="10" borderId="0" xfId="0" applyFont="1" applyFill="1" applyAlignment="1">
      <alignment horizontal="left"/>
    </xf>
    <xf numFmtId="37" fontId="27" fillId="10" borderId="0" xfId="0" applyFont="1" applyFill="1" applyAlignment="1">
      <alignment horizontal="center"/>
    </xf>
    <xf numFmtId="39" fontId="27" fillId="10" borderId="0" xfId="0" applyNumberFormat="1" applyFont="1" applyFill="1"/>
    <xf numFmtId="39" fontId="27" fillId="9" borderId="0" xfId="0" applyNumberFormat="1" applyFont="1" applyFill="1"/>
    <xf numFmtId="37" fontId="16" fillId="7" borderId="0" xfId="0" quotePrefix="1" applyFont="1" applyFill="1" applyAlignment="1">
      <alignment horizontal="fill"/>
    </xf>
    <xf numFmtId="38" fontId="16" fillId="7" borderId="0" xfId="0" applyNumberFormat="1" applyFont="1" applyFill="1"/>
    <xf numFmtId="39" fontId="16" fillId="7" borderId="0" xfId="0" applyNumberFormat="1" applyFont="1" applyFill="1"/>
    <xf numFmtId="2" fontId="16" fillId="7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5" borderId="2" xfId="0" applyFont="1" applyFill="1" applyBorder="1"/>
    <xf numFmtId="37" fontId="28" fillId="6" borderId="2" xfId="0" applyFont="1" applyFill="1" applyBorder="1"/>
    <xf numFmtId="37" fontId="31" fillId="0" borderId="0" xfId="0" applyFont="1"/>
    <xf numFmtId="37" fontId="28" fillId="6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6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6" borderId="2" xfId="0" quotePrefix="1" applyFont="1" applyFill="1" applyBorder="1"/>
    <xf numFmtId="39" fontId="28" fillId="6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6" borderId="2" xfId="0" applyNumberFormat="1" applyFont="1" applyFill="1" applyBorder="1"/>
    <xf numFmtId="2" fontId="28" fillId="0" borderId="2" xfId="0" applyNumberFormat="1" applyFont="1" applyBorder="1"/>
    <xf numFmtId="3" fontId="28" fillId="6" borderId="2" xfId="0" applyNumberFormat="1" applyFont="1" applyFill="1" applyBorder="1"/>
    <xf numFmtId="37" fontId="16" fillId="7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1" borderId="1" xfId="0" applyFont="1" applyFill="1" applyBorder="1" applyProtection="1">
      <protection locked="0"/>
    </xf>
    <xf numFmtId="37" fontId="18" fillId="31" borderId="1" xfId="0" quotePrefix="1" applyFont="1" applyFill="1" applyBorder="1" applyProtection="1">
      <protection locked="0"/>
    </xf>
    <xf numFmtId="2" fontId="18" fillId="31" borderId="1" xfId="547" quotePrefix="1" applyNumberFormat="1" applyFont="1" applyFill="1" applyBorder="1" applyProtection="1">
      <protection locked="0"/>
    </xf>
    <xf numFmtId="37" fontId="18" fillId="31" borderId="1" xfId="547" quotePrefix="1" applyNumberFormat="1" applyFont="1" applyFill="1" applyBorder="1" applyProtection="1">
      <protection locked="0"/>
    </xf>
    <xf numFmtId="37" fontId="18" fillId="31" borderId="1" xfId="547" applyNumberFormat="1" applyFont="1" applyFill="1" applyBorder="1" applyProtection="1">
      <protection locked="0"/>
    </xf>
    <xf numFmtId="2" fontId="18" fillId="31" borderId="1" xfId="0" quotePrefix="1" applyNumberFormat="1" applyFont="1" applyFill="1" applyBorder="1" applyProtection="1">
      <protection locked="0"/>
    </xf>
    <xf numFmtId="2" fontId="18" fillId="31" borderId="1" xfId="939" quotePrefix="1" applyNumberFormat="1" applyFont="1" applyFill="1" applyBorder="1" applyProtection="1">
      <protection locked="0"/>
    </xf>
    <xf numFmtId="2" fontId="18" fillId="31" borderId="1" xfId="547" applyNumberFormat="1" applyFont="1" applyFill="1" applyBorder="1" applyProtection="1">
      <protection locked="0"/>
    </xf>
    <xf numFmtId="37" fontId="18" fillId="31" borderId="1" xfId="939" quotePrefix="1" applyNumberFormat="1" applyFont="1" applyFill="1" applyBorder="1" applyProtection="1">
      <protection locked="0"/>
    </xf>
    <xf numFmtId="1" fontId="18" fillId="31" borderId="1" xfId="0" quotePrefix="1" applyNumberFormat="1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167" fontId="18" fillId="30" borderId="1" xfId="0" quotePrefix="1" applyNumberFormat="1" applyFont="1" applyFill="1" applyBorder="1" applyProtection="1">
      <protection locked="0"/>
    </xf>
    <xf numFmtId="38" fontId="18" fillId="30" borderId="8" xfId="0" applyNumberFormat="1" applyFont="1" applyFill="1" applyBorder="1" applyProtection="1">
      <protection locked="0"/>
    </xf>
    <xf numFmtId="38" fontId="18" fillId="30" borderId="2" xfId="0" applyNumberFormat="1" applyFont="1" applyFill="1" applyBorder="1" applyProtection="1">
      <protection locked="0"/>
    </xf>
    <xf numFmtId="3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4" xfId="0" applyNumberFormat="1" applyFont="1" applyFill="1" applyBorder="1" applyProtection="1">
      <protection locked="0"/>
    </xf>
    <xf numFmtId="38" fontId="18" fillId="30" borderId="14" xfId="0" quotePrefix="1" applyNumberFormat="1" applyFont="1" applyFill="1" applyBorder="1" applyProtection="1">
      <protection locked="0"/>
    </xf>
    <xf numFmtId="166" fontId="18" fillId="30" borderId="14" xfId="0" applyNumberFormat="1" applyFont="1" applyFill="1" applyBorder="1" applyAlignment="1" applyProtection="1">
      <alignment horizontal="left"/>
      <protection locked="0"/>
    </xf>
    <xf numFmtId="49" fontId="18" fillId="30" borderId="1" xfId="0" quotePrefix="1" applyNumberFormat="1" applyFont="1" applyFill="1" applyBorder="1" applyProtection="1">
      <protection locked="0"/>
    </xf>
    <xf numFmtId="16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right"/>
      <protection locked="0"/>
    </xf>
    <xf numFmtId="38" fontId="18" fillId="31" borderId="1" xfId="0" applyNumberFormat="1" applyFont="1" applyFill="1" applyBorder="1" applyProtection="1">
      <protection locked="0"/>
    </xf>
    <xf numFmtId="37" fontId="18" fillId="30" borderId="1" xfId="0" applyFont="1" applyFill="1" applyBorder="1" applyProtection="1">
      <protection locked="0"/>
    </xf>
    <xf numFmtId="38" fontId="26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center"/>
      <protection locked="0"/>
    </xf>
    <xf numFmtId="37" fontId="16" fillId="30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9" fillId="0" borderId="0" xfId="0" applyFont="1"/>
    <xf numFmtId="0" fontId="50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1" fillId="0" borderId="0" xfId="0" applyFont="1"/>
    <xf numFmtId="37" fontId="48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0" borderId="34" xfId="0" quotePrefix="1" applyFont="1" applyFill="1" applyBorder="1" applyAlignment="1">
      <alignment horizontal="left"/>
    </xf>
    <xf numFmtId="37" fontId="2" fillId="30" borderId="35" xfId="0" applyFont="1" applyFill="1" applyBorder="1"/>
    <xf numFmtId="38" fontId="2" fillId="30" borderId="35" xfId="0" applyNumberFormat="1" applyFont="1" applyFill="1" applyBorder="1"/>
    <xf numFmtId="37" fontId="2" fillId="30" borderId="36" xfId="0" applyFont="1" applyFill="1" applyBorder="1"/>
    <xf numFmtId="37" fontId="2" fillId="30" borderId="37" xfId="0" quotePrefix="1" applyFont="1" applyFill="1" applyBorder="1" applyAlignment="1">
      <alignment vertical="center" readingOrder="1"/>
    </xf>
    <xf numFmtId="37" fontId="2" fillId="30" borderId="0" xfId="0" quotePrefix="1" applyFont="1" applyFill="1" applyAlignment="1">
      <alignment horizontal="left"/>
    </xf>
    <xf numFmtId="38" fontId="2" fillId="30" borderId="0" xfId="0" applyNumberFormat="1" applyFont="1" applyFill="1"/>
    <xf numFmtId="37" fontId="2" fillId="30" borderId="0" xfId="0" applyFont="1" applyFill="1"/>
    <xf numFmtId="37" fontId="2" fillId="30" borderId="38" xfId="0" applyFont="1" applyFill="1" applyBorder="1"/>
    <xf numFmtId="37" fontId="2" fillId="30" borderId="37" xfId="0" quotePrefix="1" applyFont="1" applyFill="1" applyBorder="1"/>
    <xf numFmtId="37" fontId="2" fillId="30" borderId="37" xfId="0" applyFont="1" applyFill="1" applyBorder="1" applyAlignment="1">
      <alignment vertical="center" readingOrder="1"/>
    </xf>
    <xf numFmtId="37" fontId="2" fillId="30" borderId="39" xfId="0" quotePrefix="1" applyFont="1" applyFill="1" applyBorder="1"/>
    <xf numFmtId="37" fontId="2" fillId="30" borderId="40" xfId="0" applyFont="1" applyFill="1" applyBorder="1"/>
    <xf numFmtId="38" fontId="2" fillId="30" borderId="40" xfId="0" applyNumberFormat="1" applyFont="1" applyFill="1" applyBorder="1"/>
    <xf numFmtId="37" fontId="2" fillId="30" borderId="41" xfId="0" applyFont="1" applyFill="1" applyBorder="1"/>
    <xf numFmtId="37" fontId="52" fillId="31" borderId="1" xfId="0" applyFont="1" applyFill="1" applyBorder="1" applyProtection="1">
      <protection locked="0"/>
    </xf>
    <xf numFmtId="37" fontId="18" fillId="31" borderId="1" xfId="546" quotePrefix="1" applyNumberFormat="1" applyFont="1" applyFill="1" applyBorder="1" applyProtection="1">
      <protection locked="0"/>
    </xf>
    <xf numFmtId="37" fontId="16" fillId="7" borderId="0" xfId="546" applyNumberFormat="1" applyFont="1" applyFill="1"/>
    <xf numFmtId="37" fontId="18" fillId="31" borderId="1" xfId="546" applyNumberFormat="1" applyFont="1" applyFill="1" applyBorder="1" applyProtection="1">
      <protection locked="0"/>
    </xf>
    <xf numFmtId="2" fontId="18" fillId="31" borderId="1" xfId="546" quotePrefix="1" applyNumberFormat="1" applyFont="1" applyFill="1" applyBorder="1" applyProtection="1">
      <protection locked="0"/>
    </xf>
    <xf numFmtId="2" fontId="18" fillId="31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7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49" fontId="18" fillId="4" borderId="1" xfId="0" quotePrefix="1" applyNumberFormat="1" applyFont="1" applyFill="1" applyBorder="1" applyProtection="1">
      <protection locked="0"/>
    </xf>
    <xf numFmtId="0" fontId="11" fillId="31" borderId="0" xfId="630" applyNumberFormat="1" applyFont="1" applyFill="1" applyAlignment="1" applyProtection="1">
      <alignment vertical="top"/>
      <protection locked="0"/>
    </xf>
    <xf numFmtId="37" fontId="18" fillId="3" borderId="0" xfId="0" applyFont="1" applyFill="1" applyAlignment="1">
      <alignment horizontal="center" vertical="center"/>
    </xf>
    <xf numFmtId="0" fontId="50" fillId="0" borderId="0" xfId="631" applyFont="1" applyAlignment="1">
      <alignment horizontal="left" vertical="top" wrapText="1"/>
      <protection locked="0"/>
    </xf>
    <xf numFmtId="0" fontId="50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sandra.cortez@astria.health" TargetMode="External"/><Relationship Id="rId9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90" zoomScaleNormal="9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f>9188423-B48</f>
        <v>3586167</v>
      </c>
      <c r="C47" s="273">
        <v>168394</v>
      </c>
      <c r="D47" s="273"/>
      <c r="E47" s="273">
        <f>199979+191298+29737</f>
        <v>421014</v>
      </c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>
        <v>119619</v>
      </c>
      <c r="Q47" s="273">
        <v>61641</v>
      </c>
      <c r="R47" s="273"/>
      <c r="S47" s="273">
        <f>15999</f>
        <v>15999</v>
      </c>
      <c r="T47" s="273"/>
      <c r="U47" s="273">
        <v>136267</v>
      </c>
      <c r="V47" s="273">
        <v>21883</v>
      </c>
      <c r="W47" s="273">
        <v>16647</v>
      </c>
      <c r="X47" s="273">
        <v>25744</v>
      </c>
      <c r="Y47" s="273">
        <f>84947+45317+93894</f>
        <v>224158</v>
      </c>
      <c r="Z47" s="273"/>
      <c r="AA47" s="273">
        <v>6713</v>
      </c>
      <c r="AB47" s="273">
        <v>93201</v>
      </c>
      <c r="AC47" s="273"/>
      <c r="AD47" s="273"/>
      <c r="AE47" s="273">
        <f>57744</f>
        <v>57744</v>
      </c>
      <c r="AF47" s="273"/>
      <c r="AG47" s="273">
        <v>307485</v>
      </c>
      <c r="AH47" s="273"/>
      <c r="AI47" s="273">
        <v>84388</v>
      </c>
      <c r="AJ47" s="273">
        <v>956608</v>
      </c>
      <c r="AK47" s="273"/>
      <c r="AL47" s="273">
        <f>12861+10933</f>
        <v>23794</v>
      </c>
      <c r="AM47" s="273"/>
      <c r="AN47" s="273"/>
      <c r="AO47" s="273"/>
      <c r="AP47" s="273"/>
      <c r="AQ47" s="273"/>
      <c r="AR47" s="273"/>
      <c r="AS47" s="273"/>
      <c r="AT47" s="273"/>
      <c r="AU47" s="273"/>
      <c r="AV47" s="273">
        <f>36193+117771+61657+7645</f>
        <v>223266</v>
      </c>
      <c r="AW47" s="273"/>
      <c r="AX47" s="273"/>
      <c r="AY47" s="273">
        <f>47411+16279</f>
        <v>63690</v>
      </c>
      <c r="AZ47" s="273"/>
      <c r="BA47" s="273"/>
      <c r="BB47" s="273">
        <v>13471</v>
      </c>
      <c r="BC47" s="273"/>
      <c r="BD47" s="273">
        <v>19670</v>
      </c>
      <c r="BE47" s="273">
        <v>39135</v>
      </c>
      <c r="BF47" s="273">
        <v>95050</v>
      </c>
      <c r="BG47" s="273"/>
      <c r="BH47" s="273">
        <f>113726</f>
        <v>113726</v>
      </c>
      <c r="BI47" s="273">
        <f>2877+22392</f>
        <v>25269</v>
      </c>
      <c r="BJ47" s="273">
        <v>31269</v>
      </c>
      <c r="BK47" s="273"/>
      <c r="BL47" s="273">
        <f>77399+16833</f>
        <v>94232</v>
      </c>
      <c r="BM47" s="273"/>
      <c r="BN47" s="273">
        <v>8632</v>
      </c>
      <c r="BO47" s="273"/>
      <c r="BP47" s="273"/>
      <c r="BQ47" s="273">
        <v>28430</v>
      </c>
      <c r="BR47" s="273">
        <v>100</v>
      </c>
      <c r="BS47" s="273"/>
      <c r="BT47" s="273"/>
      <c r="BU47" s="273"/>
      <c r="BV47" s="273">
        <v>29269</v>
      </c>
      <c r="BW47" s="273"/>
      <c r="BX47" s="273"/>
      <c r="BY47" s="273">
        <f>50627+6091</f>
        <v>56718</v>
      </c>
      <c r="BZ47" s="273"/>
      <c r="CA47" s="273"/>
      <c r="CB47" s="273"/>
      <c r="CC47" s="273">
        <f>2029+914-1</f>
        <v>2942</v>
      </c>
      <c r="CD47" s="16"/>
      <c r="CE47" s="25">
        <f>SUM(C47:CC47)</f>
        <v>3586168</v>
      </c>
    </row>
    <row r="48" spans="1:83" x14ac:dyDescent="0.25">
      <c r="A48" s="25" t="s">
        <v>231</v>
      </c>
      <c r="B48" s="272">
        <v>5602256</v>
      </c>
      <c r="C48" s="25">
        <f t="shared" ref="C48:AH48" si="0">IF($B$48,(ROUND((($B$48/$CE$61)*C61),0)))</f>
        <v>252348</v>
      </c>
      <c r="D48" s="25">
        <f t="shared" si="0"/>
        <v>0</v>
      </c>
      <c r="E48" s="25">
        <f t="shared" si="0"/>
        <v>612648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0</v>
      </c>
      <c r="P48" s="25">
        <f t="shared" si="0"/>
        <v>158377</v>
      </c>
      <c r="Q48" s="25">
        <f t="shared" si="0"/>
        <v>75748</v>
      </c>
      <c r="R48" s="25">
        <f t="shared" si="0"/>
        <v>0</v>
      </c>
      <c r="S48" s="25">
        <f t="shared" si="0"/>
        <v>21627</v>
      </c>
      <c r="T48" s="25">
        <f t="shared" si="0"/>
        <v>0</v>
      </c>
      <c r="U48" s="25">
        <f t="shared" si="0"/>
        <v>185886</v>
      </c>
      <c r="V48" s="25">
        <f t="shared" si="0"/>
        <v>27838</v>
      </c>
      <c r="W48" s="25">
        <f t="shared" si="0"/>
        <v>21808</v>
      </c>
      <c r="X48" s="25">
        <f t="shared" si="0"/>
        <v>32802</v>
      </c>
      <c r="Y48" s="25">
        <f t="shared" si="0"/>
        <v>371778</v>
      </c>
      <c r="Z48" s="25">
        <f t="shared" si="0"/>
        <v>0</v>
      </c>
      <c r="AA48" s="25">
        <f t="shared" si="0"/>
        <v>10912</v>
      </c>
      <c r="AB48" s="25">
        <f t="shared" si="0"/>
        <v>131688</v>
      </c>
      <c r="AC48" s="25">
        <f t="shared" si="0"/>
        <v>0</v>
      </c>
      <c r="AD48" s="25">
        <f t="shared" si="0"/>
        <v>0</v>
      </c>
      <c r="AE48" s="25">
        <f t="shared" si="0"/>
        <v>77407</v>
      </c>
      <c r="AF48" s="25">
        <f t="shared" si="0"/>
        <v>0</v>
      </c>
      <c r="AG48" s="25">
        <f t="shared" si="0"/>
        <v>442728</v>
      </c>
      <c r="AH48" s="25">
        <f t="shared" si="0"/>
        <v>0</v>
      </c>
      <c r="AI48" s="25">
        <f t="shared" ref="AI48:BN48" si="1">IF($B$48,(ROUND((($B$48/$CE$61)*AI61),0)))</f>
        <v>109987</v>
      </c>
      <c r="AJ48" s="25">
        <f t="shared" si="1"/>
        <v>1821299</v>
      </c>
      <c r="AK48" s="25">
        <f t="shared" si="1"/>
        <v>0</v>
      </c>
      <c r="AL48" s="25">
        <f t="shared" si="1"/>
        <v>33232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384049</v>
      </c>
      <c r="AW48" s="25">
        <f t="shared" si="1"/>
        <v>0</v>
      </c>
      <c r="AX48" s="25">
        <f t="shared" si="1"/>
        <v>0</v>
      </c>
      <c r="AY48" s="25">
        <f t="shared" si="1"/>
        <v>83677</v>
      </c>
      <c r="AZ48" s="25">
        <f t="shared" si="1"/>
        <v>0</v>
      </c>
      <c r="BA48" s="25">
        <f t="shared" si="1"/>
        <v>0</v>
      </c>
      <c r="BB48" s="25">
        <f t="shared" si="1"/>
        <v>16764</v>
      </c>
      <c r="BC48" s="25">
        <f t="shared" si="1"/>
        <v>0</v>
      </c>
      <c r="BD48" s="25">
        <f t="shared" si="1"/>
        <v>27692</v>
      </c>
      <c r="BE48" s="25">
        <f t="shared" si="1"/>
        <v>50973</v>
      </c>
      <c r="BF48" s="25">
        <f t="shared" si="1"/>
        <v>126054</v>
      </c>
      <c r="BG48" s="25">
        <f t="shared" si="1"/>
        <v>0</v>
      </c>
      <c r="BH48" s="25">
        <f t="shared" si="1"/>
        <v>146896</v>
      </c>
      <c r="BI48" s="25">
        <f t="shared" si="1"/>
        <v>30762</v>
      </c>
      <c r="BJ48" s="25">
        <f t="shared" si="1"/>
        <v>42549</v>
      </c>
      <c r="BK48" s="25">
        <f t="shared" si="1"/>
        <v>0</v>
      </c>
      <c r="BL48" s="25">
        <f t="shared" si="1"/>
        <v>133801</v>
      </c>
      <c r="BM48" s="25">
        <f t="shared" si="1"/>
        <v>0</v>
      </c>
      <c r="BN48" s="25">
        <f t="shared" si="1"/>
        <v>9908</v>
      </c>
      <c r="BO48" s="25">
        <f t="shared" ref="BO48:CD48" si="2">IF($B$48,(ROUND((($B$48/$CE$61)*BO61),0)))</f>
        <v>0</v>
      </c>
      <c r="BP48" s="25">
        <f t="shared" si="2"/>
        <v>0</v>
      </c>
      <c r="BQ48" s="25">
        <f t="shared" si="2"/>
        <v>34117</v>
      </c>
      <c r="BR48" s="25">
        <f t="shared" si="2"/>
        <v>114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38439</v>
      </c>
      <c r="BW48" s="25">
        <f t="shared" si="2"/>
        <v>0</v>
      </c>
      <c r="BX48" s="25">
        <f t="shared" si="2"/>
        <v>0</v>
      </c>
      <c r="BY48" s="25">
        <f t="shared" si="2"/>
        <v>82107</v>
      </c>
      <c r="BZ48" s="25">
        <f t="shared" si="2"/>
        <v>0</v>
      </c>
      <c r="CA48" s="25">
        <f t="shared" si="2"/>
        <v>0</v>
      </c>
      <c r="CB48" s="25">
        <f t="shared" si="2"/>
        <v>0</v>
      </c>
      <c r="CC48" s="25">
        <f t="shared" si="2"/>
        <v>6240</v>
      </c>
      <c r="CD48" s="25">
        <f t="shared" si="2"/>
        <v>0</v>
      </c>
      <c r="CE48" s="25">
        <f>SUM(C48:CD48)</f>
        <v>5602255</v>
      </c>
    </row>
    <row r="49" spans="1:83" x14ac:dyDescent="0.25">
      <c r="A49" s="16" t="s">
        <v>232</v>
      </c>
      <c r="B49" s="25">
        <f>B47+B48</f>
        <v>9188423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f>2303886-B52</f>
        <v>305389</v>
      </c>
      <c r="C51" s="273"/>
      <c r="D51" s="273"/>
      <c r="E51" s="273">
        <f>27760+29880</f>
        <v>57640</v>
      </c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>
        <v>85032</v>
      </c>
      <c r="Q51" s="273"/>
      <c r="R51" s="273"/>
      <c r="S51" s="273"/>
      <c r="T51" s="273"/>
      <c r="U51" s="273">
        <v>73116</v>
      </c>
      <c r="V51" s="273"/>
      <c r="W51" s="273"/>
      <c r="X51" s="273"/>
      <c r="Y51" s="273">
        <v>61850</v>
      </c>
      <c r="Z51" s="273"/>
      <c r="AA51" s="273"/>
      <c r="AB51" s="273"/>
      <c r="AC51" s="273"/>
      <c r="AD51" s="273"/>
      <c r="AE51" s="273"/>
      <c r="AF51" s="273"/>
      <c r="AG51" s="273">
        <v>17120</v>
      </c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273"/>
      <c r="BB51" s="273"/>
      <c r="BC51" s="273"/>
      <c r="BD51" s="273"/>
      <c r="BE51" s="273">
        <v>10632</v>
      </c>
      <c r="BF51" s="273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273"/>
      <c r="CC51" s="273"/>
      <c r="CD51" s="16"/>
      <c r="CE51" s="25">
        <f>SUM(C51:CD51)</f>
        <v>305390</v>
      </c>
    </row>
    <row r="52" spans="1:83" x14ac:dyDescent="0.25">
      <c r="A52" s="31" t="s">
        <v>234</v>
      </c>
      <c r="B52" s="272">
        <f>1998496+1</f>
        <v>1998497</v>
      </c>
      <c r="C52" s="25">
        <f t="shared" ref="C52:AH52" si="3">IF($B$52,ROUND(($B$52/($CE$90+$CF$90)*C90),0))</f>
        <v>55926</v>
      </c>
      <c r="D52" s="25">
        <f t="shared" si="3"/>
        <v>0</v>
      </c>
      <c r="E52" s="25">
        <f t="shared" si="3"/>
        <v>354874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0</v>
      </c>
      <c r="P52" s="25">
        <f t="shared" si="3"/>
        <v>83764</v>
      </c>
      <c r="Q52" s="25">
        <f t="shared" si="3"/>
        <v>22960</v>
      </c>
      <c r="R52" s="25">
        <f t="shared" si="3"/>
        <v>1831</v>
      </c>
      <c r="S52" s="25">
        <f t="shared" si="3"/>
        <v>10083</v>
      </c>
      <c r="T52" s="25">
        <f t="shared" si="3"/>
        <v>3605</v>
      </c>
      <c r="U52" s="25">
        <f t="shared" si="3"/>
        <v>49641</v>
      </c>
      <c r="V52" s="25">
        <f t="shared" si="3"/>
        <v>2969</v>
      </c>
      <c r="W52" s="25">
        <f t="shared" si="3"/>
        <v>17852</v>
      </c>
      <c r="X52" s="25">
        <f t="shared" si="3"/>
        <v>8405</v>
      </c>
      <c r="Y52" s="25">
        <f t="shared" si="3"/>
        <v>72043</v>
      </c>
      <c r="Z52" s="25">
        <f t="shared" si="3"/>
        <v>0</v>
      </c>
      <c r="AA52" s="25">
        <f t="shared" si="3"/>
        <v>7846</v>
      </c>
      <c r="AB52" s="25">
        <f t="shared" si="3"/>
        <v>16849</v>
      </c>
      <c r="AC52" s="25">
        <f t="shared" si="3"/>
        <v>6227</v>
      </c>
      <c r="AD52" s="25">
        <f t="shared" si="3"/>
        <v>5128</v>
      </c>
      <c r="AE52" s="25">
        <f t="shared" si="3"/>
        <v>5629</v>
      </c>
      <c r="AF52" s="25">
        <f t="shared" si="3"/>
        <v>0</v>
      </c>
      <c r="AG52" s="25">
        <f t="shared" si="3"/>
        <v>137685</v>
      </c>
      <c r="AH52" s="25">
        <f t="shared" si="3"/>
        <v>0</v>
      </c>
      <c r="AI52" s="25">
        <f t="shared" ref="AI52:BN52" si="4">IF($B$52,ROUND(($B$52/($CE$90+$CF$90)*AI90),0))</f>
        <v>36802</v>
      </c>
      <c r="AJ52" s="25">
        <f t="shared" si="4"/>
        <v>263745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104777</v>
      </c>
      <c r="AW52" s="25">
        <f t="shared" si="4"/>
        <v>0</v>
      </c>
      <c r="AX52" s="25">
        <f t="shared" si="4"/>
        <v>0</v>
      </c>
      <c r="AY52" s="25">
        <f t="shared" si="4"/>
        <v>49911</v>
      </c>
      <c r="AZ52" s="25">
        <f t="shared" si="4"/>
        <v>0</v>
      </c>
      <c r="BA52" s="25">
        <f t="shared" si="4"/>
        <v>0</v>
      </c>
      <c r="BB52" s="25">
        <f t="shared" si="4"/>
        <v>0</v>
      </c>
      <c r="BC52" s="25">
        <f t="shared" si="4"/>
        <v>0</v>
      </c>
      <c r="BD52" s="25">
        <f t="shared" si="4"/>
        <v>16309</v>
      </c>
      <c r="BE52" s="25">
        <f t="shared" si="4"/>
        <v>241672</v>
      </c>
      <c r="BF52" s="25">
        <f t="shared" si="4"/>
        <v>19645</v>
      </c>
      <c r="BG52" s="25">
        <f t="shared" si="4"/>
        <v>0</v>
      </c>
      <c r="BH52" s="25">
        <f t="shared" si="4"/>
        <v>2159</v>
      </c>
      <c r="BI52" s="25">
        <f t="shared" si="4"/>
        <v>0</v>
      </c>
      <c r="BJ52" s="25">
        <f t="shared" si="4"/>
        <v>0</v>
      </c>
      <c r="BK52" s="25">
        <f t="shared" si="4"/>
        <v>0</v>
      </c>
      <c r="BL52" s="25">
        <f t="shared" si="4"/>
        <v>27703</v>
      </c>
      <c r="BM52" s="25">
        <f t="shared" si="4"/>
        <v>0</v>
      </c>
      <c r="BN52" s="25">
        <f t="shared" si="4"/>
        <v>85441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46461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71021</v>
      </c>
      <c r="BW52" s="25">
        <f t="shared" si="5"/>
        <v>0</v>
      </c>
      <c r="BX52" s="25">
        <f t="shared" si="5"/>
        <v>0</v>
      </c>
      <c r="BY52" s="25">
        <f t="shared" si="5"/>
        <v>28744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140789</v>
      </c>
      <c r="CD52" s="25">
        <f t="shared" si="5"/>
        <v>0</v>
      </c>
      <c r="CE52" s="25">
        <f>SUM(C52:CD52)</f>
        <v>1998496</v>
      </c>
    </row>
    <row r="53" spans="1:83" x14ac:dyDescent="0.25">
      <c r="A53" s="16" t="s">
        <v>232</v>
      </c>
      <c r="B53" s="25">
        <f>B51+B52</f>
        <v>2303886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4"/>
      <c r="Q59" s="275"/>
      <c r="R59" s="275"/>
      <c r="S59" s="263">
        <v>0</v>
      </c>
      <c r="T59" s="263">
        <v>0</v>
      </c>
      <c r="U59" s="276"/>
      <c r="V59" s="275"/>
      <c r="W59" s="275"/>
      <c r="X59" s="275"/>
      <c r="Y59" s="275"/>
      <c r="Z59" s="275"/>
      <c r="AA59" s="275"/>
      <c r="AB59" s="263">
        <v>0</v>
      </c>
      <c r="AC59" s="275"/>
      <c r="AD59" s="275"/>
      <c r="AE59" s="275"/>
      <c r="AF59" s="275"/>
      <c r="AG59" s="275"/>
      <c r="AH59" s="275"/>
      <c r="AI59" s="275"/>
      <c r="AJ59" s="275"/>
      <c r="AK59" s="275"/>
      <c r="AL59" s="275"/>
      <c r="AM59" s="275"/>
      <c r="AN59" s="275"/>
      <c r="AO59" s="275"/>
      <c r="AP59" s="275"/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>
        <v>22782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103666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13.25</v>
      </c>
      <c r="D60" s="277"/>
      <c r="E60" s="277">
        <v>35.22</v>
      </c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4">
        <v>12.65</v>
      </c>
      <c r="Q60" s="274">
        <v>3.18</v>
      </c>
      <c r="R60" s="274"/>
      <c r="S60" s="278">
        <v>3.13</v>
      </c>
      <c r="T60" s="278"/>
      <c r="U60" s="279">
        <v>18.600000000000001</v>
      </c>
      <c r="V60" s="274">
        <v>1.6</v>
      </c>
      <c r="W60" s="274">
        <v>1.4</v>
      </c>
      <c r="X60" s="274">
        <v>2</v>
      </c>
      <c r="Y60" s="274">
        <f>8.91+3.81+5.1</f>
        <v>17.82</v>
      </c>
      <c r="Z60" s="274"/>
      <c r="AA60" s="274">
        <v>0.68</v>
      </c>
      <c r="AB60" s="278">
        <v>7.61</v>
      </c>
      <c r="AC60" s="274"/>
      <c r="AD60" s="274"/>
      <c r="AE60" s="274">
        <v>6.4</v>
      </c>
      <c r="AF60" s="274"/>
      <c r="AG60" s="274">
        <v>23.89</v>
      </c>
      <c r="AH60" s="274"/>
      <c r="AI60" s="274">
        <v>6.56</v>
      </c>
      <c r="AJ60" s="274">
        <v>86.46</v>
      </c>
      <c r="AK60" s="274"/>
      <c r="AL60" s="274">
        <f>1.16+1.15</f>
        <v>2.3099999999999996</v>
      </c>
      <c r="AM60" s="274"/>
      <c r="AN60" s="274"/>
      <c r="AO60" s="274"/>
      <c r="AP60" s="274"/>
      <c r="AQ60" s="274"/>
      <c r="AR60" s="274"/>
      <c r="AS60" s="274"/>
      <c r="AT60" s="274"/>
      <c r="AU60" s="274"/>
      <c r="AV60" s="278">
        <f>6.36+5.91+3.25+1</f>
        <v>16.52</v>
      </c>
      <c r="AW60" s="278"/>
      <c r="AX60" s="278"/>
      <c r="AY60" s="274">
        <f>9.04+3.44</f>
        <v>12.479999999999999</v>
      </c>
      <c r="AZ60" s="274"/>
      <c r="BA60" s="278"/>
      <c r="BB60" s="278">
        <v>1</v>
      </c>
      <c r="BC60" s="278"/>
      <c r="BD60" s="278">
        <v>4.6500000000000004</v>
      </c>
      <c r="BE60" s="274">
        <v>4.53</v>
      </c>
      <c r="BF60" s="278">
        <v>19.14</v>
      </c>
      <c r="BG60" s="278"/>
      <c r="BH60" s="278">
        <f>11.83</f>
        <v>11.83</v>
      </c>
      <c r="BI60" s="278">
        <f>0.44+1.94</f>
        <v>2.38</v>
      </c>
      <c r="BJ60" s="278">
        <v>4.07</v>
      </c>
      <c r="BK60" s="278"/>
      <c r="BL60" s="278">
        <f>15.76+3.53</f>
        <v>19.29</v>
      </c>
      <c r="BM60" s="278"/>
      <c r="BN60" s="278">
        <v>0.8</v>
      </c>
      <c r="BO60" s="278"/>
      <c r="BP60" s="278"/>
      <c r="BQ60" s="278">
        <v>2.35</v>
      </c>
      <c r="BR60" s="278">
        <v>0.01</v>
      </c>
      <c r="BS60" s="278"/>
      <c r="BT60" s="278"/>
      <c r="BU60" s="278"/>
      <c r="BV60" s="278">
        <v>5.49</v>
      </c>
      <c r="BW60" s="278"/>
      <c r="BX60" s="278"/>
      <c r="BY60" s="278">
        <f>3.31+1.13</f>
        <v>4.4399999999999995</v>
      </c>
      <c r="BZ60" s="278"/>
      <c r="CA60" s="278"/>
      <c r="CB60" s="278"/>
      <c r="CC60" s="278">
        <v>0.12</v>
      </c>
      <c r="CD60" s="209" t="s">
        <v>247</v>
      </c>
      <c r="CE60" s="227">
        <f t="shared" ref="CE60:CE68" si="6">SUM(C60:CD60)</f>
        <v>351.85999999999996</v>
      </c>
    </row>
    <row r="61" spans="1:83" x14ac:dyDescent="0.25">
      <c r="A61" s="31" t="s">
        <v>262</v>
      </c>
      <c r="B61" s="16"/>
      <c r="C61" s="273">
        <v>1648706</v>
      </c>
      <c r="D61" s="273"/>
      <c r="E61" s="273">
        <f>1734742+1729131+538847</f>
        <v>4002720</v>
      </c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5">
        <v>1034753</v>
      </c>
      <c r="Q61" s="275">
        <v>494895</v>
      </c>
      <c r="R61" s="275"/>
      <c r="S61" s="280">
        <v>141301</v>
      </c>
      <c r="T61" s="280"/>
      <c r="U61" s="276">
        <v>1214483</v>
      </c>
      <c r="V61" s="275">
        <v>181881</v>
      </c>
      <c r="W61" s="275">
        <v>142479</v>
      </c>
      <c r="X61" s="275">
        <v>214309</v>
      </c>
      <c r="Y61" s="275">
        <v>2429002</v>
      </c>
      <c r="Z61" s="275"/>
      <c r="AA61" s="275">
        <v>71290</v>
      </c>
      <c r="AB61" s="275">
        <v>860377</v>
      </c>
      <c r="AC61" s="275"/>
      <c r="AD61" s="275"/>
      <c r="AE61" s="275">
        <v>505737</v>
      </c>
      <c r="AF61" s="275"/>
      <c r="AG61" s="275">
        <v>2892551</v>
      </c>
      <c r="AH61" s="275"/>
      <c r="AI61" s="275">
        <v>718598</v>
      </c>
      <c r="AJ61" s="275">
        <v>11899406</v>
      </c>
      <c r="AK61" s="275"/>
      <c r="AL61" s="275">
        <v>217122</v>
      </c>
      <c r="AM61" s="275"/>
      <c r="AN61" s="275"/>
      <c r="AO61" s="275"/>
      <c r="AP61" s="275"/>
      <c r="AQ61" s="275"/>
      <c r="AR61" s="275"/>
      <c r="AS61" s="275"/>
      <c r="AT61" s="275"/>
      <c r="AU61" s="275"/>
      <c r="AV61" s="280">
        <v>2509174</v>
      </c>
      <c r="AW61" s="280"/>
      <c r="AX61" s="280"/>
      <c r="AY61" s="275">
        <v>546702</v>
      </c>
      <c r="AZ61" s="275"/>
      <c r="BA61" s="280"/>
      <c r="BB61" s="280">
        <v>109526</v>
      </c>
      <c r="BC61" s="280"/>
      <c r="BD61" s="280">
        <v>180928</v>
      </c>
      <c r="BE61" s="275">
        <v>333031</v>
      </c>
      <c r="BF61" s="280">
        <v>823573</v>
      </c>
      <c r="BG61" s="280"/>
      <c r="BH61" s="280">
        <v>959742</v>
      </c>
      <c r="BI61" s="280">
        <v>200982</v>
      </c>
      <c r="BJ61" s="280">
        <v>277995</v>
      </c>
      <c r="BK61" s="280"/>
      <c r="BL61" s="280">
        <f>723690+150498</f>
        <v>874188</v>
      </c>
      <c r="BM61" s="280"/>
      <c r="BN61" s="280">
        <v>64731</v>
      </c>
      <c r="BO61" s="280"/>
      <c r="BP61" s="280"/>
      <c r="BQ61" s="280">
        <v>222903</v>
      </c>
      <c r="BR61" s="280">
        <v>743</v>
      </c>
      <c r="BS61" s="280"/>
      <c r="BT61" s="280"/>
      <c r="BU61" s="280"/>
      <c r="BV61" s="280">
        <v>251143</v>
      </c>
      <c r="BW61" s="280"/>
      <c r="BX61" s="280"/>
      <c r="BY61" s="280">
        <f>473541+62901</f>
        <v>536442</v>
      </c>
      <c r="BZ61" s="280"/>
      <c r="CA61" s="280"/>
      <c r="CB61" s="280"/>
      <c r="CC61" s="280">
        <f>40768-1</f>
        <v>40767</v>
      </c>
      <c r="CD61" s="24" t="s">
        <v>247</v>
      </c>
      <c r="CE61" s="25">
        <f t="shared" si="6"/>
        <v>36602180</v>
      </c>
    </row>
    <row r="62" spans="1:83" x14ac:dyDescent="0.25">
      <c r="A62" s="31" t="s">
        <v>10</v>
      </c>
      <c r="B62" s="16"/>
      <c r="C62" s="25">
        <f t="shared" ref="C62:AH62" si="7">ROUND(C47+C48,0)</f>
        <v>420742</v>
      </c>
      <c r="D62" s="25">
        <f t="shared" si="7"/>
        <v>0</v>
      </c>
      <c r="E62" s="25">
        <f t="shared" si="7"/>
        <v>1033662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277996</v>
      </c>
      <c r="Q62" s="25">
        <f t="shared" si="7"/>
        <v>137389</v>
      </c>
      <c r="R62" s="25">
        <f t="shared" si="7"/>
        <v>0</v>
      </c>
      <c r="S62" s="25">
        <f t="shared" si="7"/>
        <v>37626</v>
      </c>
      <c r="T62" s="25">
        <f t="shared" si="7"/>
        <v>0</v>
      </c>
      <c r="U62" s="25">
        <f t="shared" si="7"/>
        <v>322153</v>
      </c>
      <c r="V62" s="25">
        <f t="shared" si="7"/>
        <v>49721</v>
      </c>
      <c r="W62" s="25">
        <f t="shared" si="7"/>
        <v>38455</v>
      </c>
      <c r="X62" s="25">
        <f t="shared" si="7"/>
        <v>58546</v>
      </c>
      <c r="Y62" s="25">
        <f t="shared" si="7"/>
        <v>595936</v>
      </c>
      <c r="Z62" s="25">
        <f t="shared" si="7"/>
        <v>0</v>
      </c>
      <c r="AA62" s="25">
        <f t="shared" si="7"/>
        <v>17625</v>
      </c>
      <c r="AB62" s="25">
        <f t="shared" si="7"/>
        <v>224889</v>
      </c>
      <c r="AC62" s="25">
        <f t="shared" si="7"/>
        <v>0</v>
      </c>
      <c r="AD62" s="25">
        <f t="shared" si="7"/>
        <v>0</v>
      </c>
      <c r="AE62" s="25">
        <f t="shared" si="7"/>
        <v>135151</v>
      </c>
      <c r="AF62" s="25">
        <f t="shared" si="7"/>
        <v>0</v>
      </c>
      <c r="AG62" s="25">
        <f t="shared" si="7"/>
        <v>750213</v>
      </c>
      <c r="AH62" s="25">
        <f t="shared" si="7"/>
        <v>0</v>
      </c>
      <c r="AI62" s="25">
        <f t="shared" ref="AI62:BN62" si="8">ROUND(AI47+AI48,0)</f>
        <v>194375</v>
      </c>
      <c r="AJ62" s="25">
        <f t="shared" si="8"/>
        <v>2777907</v>
      </c>
      <c r="AK62" s="25">
        <f t="shared" si="8"/>
        <v>0</v>
      </c>
      <c r="AL62" s="25">
        <f t="shared" si="8"/>
        <v>57026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607315</v>
      </c>
      <c r="AW62" s="25">
        <f t="shared" si="8"/>
        <v>0</v>
      </c>
      <c r="AX62" s="25">
        <f t="shared" si="8"/>
        <v>0</v>
      </c>
      <c r="AY62" s="25">
        <f t="shared" si="8"/>
        <v>147367</v>
      </c>
      <c r="AZ62" s="25">
        <f t="shared" si="8"/>
        <v>0</v>
      </c>
      <c r="BA62" s="25">
        <f t="shared" si="8"/>
        <v>0</v>
      </c>
      <c r="BB62" s="25">
        <f t="shared" si="8"/>
        <v>30235</v>
      </c>
      <c r="BC62" s="25">
        <f t="shared" si="8"/>
        <v>0</v>
      </c>
      <c r="BD62" s="25">
        <f t="shared" si="8"/>
        <v>47362</v>
      </c>
      <c r="BE62" s="25">
        <f t="shared" si="8"/>
        <v>90108</v>
      </c>
      <c r="BF62" s="25">
        <f t="shared" si="8"/>
        <v>221104</v>
      </c>
      <c r="BG62" s="25">
        <f t="shared" si="8"/>
        <v>0</v>
      </c>
      <c r="BH62" s="25">
        <f t="shared" si="8"/>
        <v>260622</v>
      </c>
      <c r="BI62" s="25">
        <f t="shared" si="8"/>
        <v>56031</v>
      </c>
      <c r="BJ62" s="25">
        <f t="shared" si="8"/>
        <v>73818</v>
      </c>
      <c r="BK62" s="25">
        <f t="shared" si="8"/>
        <v>0</v>
      </c>
      <c r="BL62" s="25">
        <f t="shared" si="8"/>
        <v>228033</v>
      </c>
      <c r="BM62" s="25">
        <f t="shared" si="8"/>
        <v>0</v>
      </c>
      <c r="BN62" s="25">
        <f t="shared" si="8"/>
        <v>18540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62547</v>
      </c>
      <c r="BR62" s="25">
        <f t="shared" si="9"/>
        <v>214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67708</v>
      </c>
      <c r="BW62" s="25">
        <f t="shared" si="9"/>
        <v>0</v>
      </c>
      <c r="BX62" s="25">
        <f t="shared" si="9"/>
        <v>0</v>
      </c>
      <c r="BY62" s="25">
        <f t="shared" si="9"/>
        <v>138825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9182</v>
      </c>
      <c r="CD62" s="24" t="s">
        <v>247</v>
      </c>
      <c r="CE62" s="25">
        <f t="shared" si="6"/>
        <v>9188423</v>
      </c>
    </row>
    <row r="63" spans="1:83" x14ac:dyDescent="0.25">
      <c r="A63" s="31" t="s">
        <v>263</v>
      </c>
      <c r="B63" s="16"/>
      <c r="C63" s="273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5"/>
      <c r="Q63" s="275"/>
      <c r="R63" s="275"/>
      <c r="S63" s="280"/>
      <c r="T63" s="280"/>
      <c r="U63" s="276">
        <v>55000</v>
      </c>
      <c r="V63" s="275"/>
      <c r="W63" s="275"/>
      <c r="X63" s="275"/>
      <c r="Y63" s="275"/>
      <c r="Z63" s="275"/>
      <c r="AA63" s="275"/>
      <c r="AB63" s="281"/>
      <c r="AC63" s="275"/>
      <c r="AD63" s="275"/>
      <c r="AE63" s="275"/>
      <c r="AF63" s="275"/>
      <c r="AG63" s="275">
        <v>628246</v>
      </c>
      <c r="AH63" s="275"/>
      <c r="AI63" s="275"/>
      <c r="AJ63" s="275">
        <v>164834</v>
      </c>
      <c r="AK63" s="275"/>
      <c r="AL63" s="275">
        <v>123547</v>
      </c>
      <c r="AM63" s="275"/>
      <c r="AN63" s="275"/>
      <c r="AO63" s="275"/>
      <c r="AP63" s="275"/>
      <c r="AQ63" s="275"/>
      <c r="AR63" s="275"/>
      <c r="AS63" s="275"/>
      <c r="AT63" s="275"/>
      <c r="AU63" s="275"/>
      <c r="AV63" s="280">
        <v>196130</v>
      </c>
      <c r="AW63" s="280"/>
      <c r="AX63" s="280"/>
      <c r="AY63" s="275"/>
      <c r="AZ63" s="275"/>
      <c r="BA63" s="280"/>
      <c r="BB63" s="280"/>
      <c r="BC63" s="280"/>
      <c r="BD63" s="280"/>
      <c r="BE63" s="275"/>
      <c r="BF63" s="280"/>
      <c r="BG63" s="280"/>
      <c r="BH63" s="280"/>
      <c r="BI63" s="280"/>
      <c r="BJ63" s="280"/>
      <c r="BK63" s="280"/>
      <c r="BL63" s="280"/>
      <c r="BM63" s="280"/>
      <c r="BN63" s="280"/>
      <c r="BO63" s="280"/>
      <c r="BP63" s="280"/>
      <c r="BQ63" s="280"/>
      <c r="BR63" s="280"/>
      <c r="BS63" s="280"/>
      <c r="BT63" s="280"/>
      <c r="BU63" s="280"/>
      <c r="BV63" s="280"/>
      <c r="BW63" s="280"/>
      <c r="BX63" s="280"/>
      <c r="BY63" s="280"/>
      <c r="BZ63" s="280"/>
      <c r="CA63" s="280"/>
      <c r="CB63" s="280"/>
      <c r="CC63" s="280">
        <v>4388</v>
      </c>
      <c r="CD63" s="24" t="s">
        <v>247</v>
      </c>
      <c r="CE63" s="25">
        <f t="shared" si="6"/>
        <v>1172145</v>
      </c>
    </row>
    <row r="64" spans="1:83" x14ac:dyDescent="0.25">
      <c r="A64" s="31" t="s">
        <v>264</v>
      </c>
      <c r="B64" s="16"/>
      <c r="C64" s="273">
        <v>110772</v>
      </c>
      <c r="D64" s="273"/>
      <c r="E64" s="273">
        <v>308418</v>
      </c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5">
        <f>5635618-6572</f>
        <v>5629046</v>
      </c>
      <c r="Q64" s="275">
        <v>17698</v>
      </c>
      <c r="R64" s="275">
        <v>120938</v>
      </c>
      <c r="S64" s="280">
        <f>99722+21+46</f>
        <v>99789</v>
      </c>
      <c r="T64" s="280">
        <v>61655</v>
      </c>
      <c r="U64" s="276">
        <v>1274896</v>
      </c>
      <c r="V64" s="275">
        <v>4536</v>
      </c>
      <c r="W64" s="275">
        <v>9628</v>
      </c>
      <c r="X64" s="275">
        <v>23613</v>
      </c>
      <c r="Y64" s="275">
        <v>431599</v>
      </c>
      <c r="Z64" s="275"/>
      <c r="AA64" s="275">
        <v>60374</v>
      </c>
      <c r="AB64" s="275">
        <v>9887387</v>
      </c>
      <c r="AC64" s="275">
        <v>70129</v>
      </c>
      <c r="AD64" s="275"/>
      <c r="AE64" s="275">
        <v>52144</v>
      </c>
      <c r="AF64" s="275"/>
      <c r="AG64" s="275">
        <v>492038</v>
      </c>
      <c r="AH64" s="275"/>
      <c r="AI64" s="275">
        <v>129462</v>
      </c>
      <c r="AJ64" s="275">
        <v>668384</v>
      </c>
      <c r="AK64" s="275"/>
      <c r="AL64" s="275">
        <v>50238</v>
      </c>
      <c r="AM64" s="275"/>
      <c r="AN64" s="275"/>
      <c r="AO64" s="275"/>
      <c r="AP64" s="275"/>
      <c r="AQ64" s="275"/>
      <c r="AR64" s="275"/>
      <c r="AS64" s="275"/>
      <c r="AT64" s="275"/>
      <c r="AU64" s="275"/>
      <c r="AV64" s="280">
        <v>511203</v>
      </c>
      <c r="AW64" s="280"/>
      <c r="AX64" s="280"/>
      <c r="AY64" s="275">
        <f>531026+103588</f>
        <v>634614</v>
      </c>
      <c r="AZ64" s="275"/>
      <c r="BA64" s="280">
        <v>2462</v>
      </c>
      <c r="BB64" s="280">
        <v>535</v>
      </c>
      <c r="BC64" s="280"/>
      <c r="BD64" s="280">
        <v>-165166</v>
      </c>
      <c r="BE64" s="275">
        <v>114794</v>
      </c>
      <c r="BF64" s="280">
        <v>124280</v>
      </c>
      <c r="BG64" s="280"/>
      <c r="BH64" s="280">
        <v>225589</v>
      </c>
      <c r="BI64" s="280">
        <v>33552</v>
      </c>
      <c r="BJ64" s="280">
        <v>4698</v>
      </c>
      <c r="BK64" s="280"/>
      <c r="BL64" s="280">
        <v>16664</v>
      </c>
      <c r="BM64" s="280"/>
      <c r="BN64" s="280">
        <v>9494</v>
      </c>
      <c r="BO64" s="280">
        <v>2200</v>
      </c>
      <c r="BP64" s="280"/>
      <c r="BQ64" s="280">
        <v>5950</v>
      </c>
      <c r="BR64" s="280">
        <v>5643</v>
      </c>
      <c r="BS64" s="280"/>
      <c r="BT64" s="280"/>
      <c r="BU64" s="280"/>
      <c r="BV64" s="280">
        <v>71009</v>
      </c>
      <c r="BW64" s="280"/>
      <c r="BX64" s="280"/>
      <c r="BY64" s="280">
        <f>148+1747</f>
        <v>1895</v>
      </c>
      <c r="BZ64" s="280"/>
      <c r="CA64" s="280"/>
      <c r="CB64" s="280"/>
      <c r="CC64" s="280">
        <f>936+1</f>
        <v>937</v>
      </c>
      <c r="CD64" s="24" t="s">
        <v>247</v>
      </c>
      <c r="CE64" s="25">
        <f t="shared" si="6"/>
        <v>21103097</v>
      </c>
    </row>
    <row r="65" spans="1:83" x14ac:dyDescent="0.25">
      <c r="A65" s="31" t="s">
        <v>265</v>
      </c>
      <c r="B65" s="16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5"/>
      <c r="Q65" s="275"/>
      <c r="R65" s="275"/>
      <c r="S65" s="280"/>
      <c r="T65" s="280"/>
      <c r="U65" s="276"/>
      <c r="V65" s="275"/>
      <c r="W65" s="275"/>
      <c r="X65" s="275"/>
      <c r="Y65" s="275">
        <f>360+3272</f>
        <v>3632</v>
      </c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>
        <v>184472</v>
      </c>
      <c r="AK65" s="275"/>
      <c r="AL65" s="275">
        <v>7757</v>
      </c>
      <c r="AM65" s="275"/>
      <c r="AN65" s="275"/>
      <c r="AO65" s="275"/>
      <c r="AP65" s="275"/>
      <c r="AQ65" s="275"/>
      <c r="AR65" s="275"/>
      <c r="AS65" s="275"/>
      <c r="AT65" s="275"/>
      <c r="AU65" s="275"/>
      <c r="AV65" s="280">
        <v>11767</v>
      </c>
      <c r="AW65" s="280"/>
      <c r="AX65" s="280"/>
      <c r="AY65" s="275">
        <v>858</v>
      </c>
      <c r="AZ65" s="275"/>
      <c r="BA65" s="280"/>
      <c r="BB65" s="280"/>
      <c r="BC65" s="280"/>
      <c r="BD65" s="280"/>
      <c r="BE65" s="275">
        <v>528560</v>
      </c>
      <c r="BF65" s="280"/>
      <c r="BG65" s="280"/>
      <c r="BH65" s="280">
        <v>117313</v>
      </c>
      <c r="BI65" s="280">
        <v>1402</v>
      </c>
      <c r="BJ65" s="280"/>
      <c r="BK65" s="280"/>
      <c r="BL65" s="280"/>
      <c r="BM65" s="280"/>
      <c r="BN65" s="280"/>
      <c r="BO65" s="280"/>
      <c r="BP65" s="280"/>
      <c r="BQ65" s="280">
        <f>649-1</f>
        <v>648</v>
      </c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856409</v>
      </c>
    </row>
    <row r="66" spans="1:83" x14ac:dyDescent="0.25">
      <c r="A66" s="31" t="s">
        <v>266</v>
      </c>
      <c r="B66" s="16"/>
      <c r="C66" s="273">
        <v>5954</v>
      </c>
      <c r="D66" s="273"/>
      <c r="E66" s="273">
        <v>1450172</v>
      </c>
      <c r="F66" s="273"/>
      <c r="G66" s="273"/>
      <c r="H66" s="273"/>
      <c r="I66" s="273"/>
      <c r="J66" s="273"/>
      <c r="K66" s="273"/>
      <c r="L66" s="273"/>
      <c r="M66" s="273"/>
      <c r="N66" s="273"/>
      <c r="O66" s="273"/>
      <c r="P66" s="275">
        <v>810586</v>
      </c>
      <c r="Q66" s="275"/>
      <c r="R66" s="275">
        <v>1234318</v>
      </c>
      <c r="S66" s="280">
        <f>56188</f>
        <v>56188</v>
      </c>
      <c r="T66" s="280"/>
      <c r="U66" s="276"/>
      <c r="V66" s="275">
        <v>7595</v>
      </c>
      <c r="W66" s="275">
        <v>116788</v>
      </c>
      <c r="X66" s="275">
        <v>95006</v>
      </c>
      <c r="Y66" s="275">
        <v>1153194</v>
      </c>
      <c r="Z66" s="275"/>
      <c r="AA66" s="275">
        <v>30813</v>
      </c>
      <c r="AB66" s="275">
        <f>161579+16230</f>
        <v>177809</v>
      </c>
      <c r="AC66" s="275">
        <v>1015300</v>
      </c>
      <c r="AD66" s="275">
        <v>481548</v>
      </c>
      <c r="AE66" s="275">
        <v>5959</v>
      </c>
      <c r="AF66" s="275"/>
      <c r="AG66" s="275">
        <v>1648326</v>
      </c>
      <c r="AH66" s="275"/>
      <c r="AI66" s="275"/>
      <c r="AJ66" s="275">
        <v>1275601</v>
      </c>
      <c r="AK66" s="275"/>
      <c r="AL66" s="275">
        <v>9280</v>
      </c>
      <c r="AM66" s="275"/>
      <c r="AN66" s="275"/>
      <c r="AO66" s="275"/>
      <c r="AP66" s="275"/>
      <c r="AQ66" s="275"/>
      <c r="AR66" s="275"/>
      <c r="AS66" s="275"/>
      <c r="AT66" s="275"/>
      <c r="AU66" s="275"/>
      <c r="AV66" s="280">
        <v>354251</v>
      </c>
      <c r="AW66" s="280"/>
      <c r="AX66" s="280"/>
      <c r="AY66" s="275">
        <f>4552+1776</f>
        <v>6328</v>
      </c>
      <c r="AZ66" s="275"/>
      <c r="BA66" s="280"/>
      <c r="BB66" s="280"/>
      <c r="BC66" s="280"/>
      <c r="BD66" s="280">
        <v>1955</v>
      </c>
      <c r="BE66" s="275">
        <v>361275</v>
      </c>
      <c r="BF66" s="280">
        <v>142310</v>
      </c>
      <c r="BG66" s="280"/>
      <c r="BH66" s="280">
        <f>-191729+48325</f>
        <v>-143404</v>
      </c>
      <c r="BI66" s="280">
        <v>162</v>
      </c>
      <c r="BJ66" s="280">
        <v>171765</v>
      </c>
      <c r="BK66" s="280"/>
      <c r="BL66" s="280">
        <f>2292</f>
        <v>2292</v>
      </c>
      <c r="BM66" s="280"/>
      <c r="BN66" s="280">
        <v>16062</v>
      </c>
      <c r="BO66" s="280"/>
      <c r="BP66" s="280"/>
      <c r="BQ66" s="280">
        <v>6325</v>
      </c>
      <c r="BR66" s="280">
        <v>45978</v>
      </c>
      <c r="BS66" s="280"/>
      <c r="BT66" s="280"/>
      <c r="BU66" s="280"/>
      <c r="BV66" s="280">
        <v>43869</v>
      </c>
      <c r="BW66" s="280"/>
      <c r="BX66" s="280"/>
      <c r="BY66" s="280">
        <v>85246</v>
      </c>
      <c r="BZ66" s="280"/>
      <c r="CA66" s="280"/>
      <c r="CB66" s="280"/>
      <c r="CC66" s="280">
        <v>174845</v>
      </c>
      <c r="CD66" s="24" t="s">
        <v>247</v>
      </c>
      <c r="CE66" s="25">
        <f t="shared" si="6"/>
        <v>10843696</v>
      </c>
    </row>
    <row r="67" spans="1:83" x14ac:dyDescent="0.25">
      <c r="A67" s="31" t="s">
        <v>15</v>
      </c>
      <c r="B67" s="16"/>
      <c r="C67" s="25">
        <f t="shared" ref="C67:AH67" si="10">ROUND(C51+C52,0)</f>
        <v>55926</v>
      </c>
      <c r="D67" s="25">
        <f t="shared" si="10"/>
        <v>0</v>
      </c>
      <c r="E67" s="25">
        <f t="shared" si="10"/>
        <v>412514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168796</v>
      </c>
      <c r="Q67" s="25">
        <f t="shared" si="10"/>
        <v>22960</v>
      </c>
      <c r="R67" s="25">
        <f t="shared" si="10"/>
        <v>1831</v>
      </c>
      <c r="S67" s="25">
        <f t="shared" si="10"/>
        <v>10083</v>
      </c>
      <c r="T67" s="25">
        <f t="shared" si="10"/>
        <v>3605</v>
      </c>
      <c r="U67" s="25">
        <f t="shared" si="10"/>
        <v>122757</v>
      </c>
      <c r="V67" s="25">
        <f t="shared" si="10"/>
        <v>2969</v>
      </c>
      <c r="W67" s="25">
        <f t="shared" si="10"/>
        <v>17852</v>
      </c>
      <c r="X67" s="25">
        <f t="shared" si="10"/>
        <v>8405</v>
      </c>
      <c r="Y67" s="25">
        <f t="shared" si="10"/>
        <v>133893</v>
      </c>
      <c r="Z67" s="25">
        <f t="shared" si="10"/>
        <v>0</v>
      </c>
      <c r="AA67" s="25">
        <f t="shared" si="10"/>
        <v>7846</v>
      </c>
      <c r="AB67" s="25">
        <f t="shared" si="10"/>
        <v>16849</v>
      </c>
      <c r="AC67" s="25">
        <f t="shared" si="10"/>
        <v>6227</v>
      </c>
      <c r="AD67" s="25">
        <f t="shared" si="10"/>
        <v>5128</v>
      </c>
      <c r="AE67" s="25">
        <f t="shared" si="10"/>
        <v>5629</v>
      </c>
      <c r="AF67" s="25">
        <f t="shared" si="10"/>
        <v>0</v>
      </c>
      <c r="AG67" s="25">
        <f t="shared" si="10"/>
        <v>154805</v>
      </c>
      <c r="AH67" s="25">
        <f t="shared" si="10"/>
        <v>0</v>
      </c>
      <c r="AI67" s="25">
        <f t="shared" ref="AI67:BN67" si="11">ROUND(AI51+AI52,0)</f>
        <v>36802</v>
      </c>
      <c r="AJ67" s="25">
        <f t="shared" si="11"/>
        <v>263745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104777</v>
      </c>
      <c r="AW67" s="25">
        <f t="shared" si="11"/>
        <v>0</v>
      </c>
      <c r="AX67" s="25">
        <f t="shared" si="11"/>
        <v>0</v>
      </c>
      <c r="AY67" s="25">
        <f t="shared" si="11"/>
        <v>49911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16309</v>
      </c>
      <c r="BE67" s="25">
        <f t="shared" si="11"/>
        <v>252304</v>
      </c>
      <c r="BF67" s="25">
        <f t="shared" si="11"/>
        <v>19645</v>
      </c>
      <c r="BG67" s="25">
        <f t="shared" si="11"/>
        <v>0</v>
      </c>
      <c r="BH67" s="25">
        <f t="shared" si="11"/>
        <v>2159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27703</v>
      </c>
      <c r="BM67" s="25">
        <f t="shared" si="11"/>
        <v>0</v>
      </c>
      <c r="BN67" s="25">
        <f t="shared" si="11"/>
        <v>85441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46461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71021</v>
      </c>
      <c r="BW67" s="25">
        <f t="shared" si="12"/>
        <v>0</v>
      </c>
      <c r="BX67" s="25">
        <f t="shared" si="12"/>
        <v>0</v>
      </c>
      <c r="BY67" s="25">
        <f t="shared" si="12"/>
        <v>28744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140789</v>
      </c>
      <c r="CD67" s="24" t="s">
        <v>247</v>
      </c>
      <c r="CE67" s="25">
        <f t="shared" si="6"/>
        <v>2303886</v>
      </c>
    </row>
    <row r="68" spans="1:83" x14ac:dyDescent="0.25">
      <c r="A68" s="31" t="s">
        <v>267</v>
      </c>
      <c r="B68" s="25"/>
      <c r="C68" s="273">
        <v>-2810</v>
      </c>
      <c r="D68" s="273"/>
      <c r="E68" s="273">
        <v>23338</v>
      </c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5">
        <v>-976</v>
      </c>
      <c r="Q68" s="275"/>
      <c r="R68" s="275"/>
      <c r="S68" s="280"/>
      <c r="T68" s="280"/>
      <c r="U68" s="276">
        <v>-15266</v>
      </c>
      <c r="V68" s="275"/>
      <c r="W68" s="275"/>
      <c r="X68" s="275"/>
      <c r="Y68" s="275">
        <v>328</v>
      </c>
      <c r="Z68" s="275"/>
      <c r="AA68" s="275"/>
      <c r="AB68" s="281">
        <v>153855</v>
      </c>
      <c r="AC68" s="275">
        <v>52865</v>
      </c>
      <c r="AD68" s="275"/>
      <c r="AE68" s="275">
        <v>28939</v>
      </c>
      <c r="AF68" s="275"/>
      <c r="AG68" s="275">
        <v>-6118</v>
      </c>
      <c r="AH68" s="275"/>
      <c r="AI68" s="275"/>
      <c r="AJ68" s="275">
        <v>605632</v>
      </c>
      <c r="AK68" s="275"/>
      <c r="AL68" s="275">
        <v>8982</v>
      </c>
      <c r="AM68" s="275"/>
      <c r="AN68" s="275"/>
      <c r="AO68" s="275"/>
      <c r="AP68" s="275"/>
      <c r="AQ68" s="275"/>
      <c r="AR68" s="275"/>
      <c r="AS68" s="275"/>
      <c r="AT68" s="275"/>
      <c r="AU68" s="275"/>
      <c r="AV68" s="280">
        <v>98723</v>
      </c>
      <c r="AW68" s="280"/>
      <c r="AX68" s="280"/>
      <c r="AY68" s="275">
        <v>1665</v>
      </c>
      <c r="AZ68" s="275"/>
      <c r="BA68" s="280"/>
      <c r="BB68" s="280"/>
      <c r="BC68" s="280"/>
      <c r="BD68" s="280"/>
      <c r="BE68" s="275">
        <v>40380</v>
      </c>
      <c r="BF68" s="280"/>
      <c r="BG68" s="280"/>
      <c r="BH68" s="280">
        <v>19160</v>
      </c>
      <c r="BI68" s="280"/>
      <c r="BJ68" s="280"/>
      <c r="BK68" s="280"/>
      <c r="BL68" s="280"/>
      <c r="BM68" s="280"/>
      <c r="BN68" s="280">
        <v>70707</v>
      </c>
      <c r="BO68" s="280"/>
      <c r="BP68" s="280"/>
      <c r="BQ68" s="280"/>
      <c r="BR68" s="280"/>
      <c r="BS68" s="280"/>
      <c r="BT68" s="280"/>
      <c r="BU68" s="280"/>
      <c r="BV68" s="280">
        <v>8527</v>
      </c>
      <c r="BW68" s="280"/>
      <c r="BX68" s="280"/>
      <c r="BY68" s="280"/>
      <c r="BZ68" s="280"/>
      <c r="CA68" s="280"/>
      <c r="CB68" s="280"/>
      <c r="CC68" s="280">
        <f>103-2</f>
        <v>101</v>
      </c>
      <c r="CD68" s="24" t="s">
        <v>247</v>
      </c>
      <c r="CE68" s="25">
        <f t="shared" si="6"/>
        <v>1088032</v>
      </c>
    </row>
    <row r="69" spans="1:83" x14ac:dyDescent="0.25">
      <c r="A69" s="31" t="s">
        <v>268</v>
      </c>
      <c r="B69" s="16"/>
      <c r="C69" s="25">
        <f t="shared" ref="C69:AH69" si="13">SUM(C70:C83)</f>
        <v>223526</v>
      </c>
      <c r="D69" s="25">
        <f t="shared" si="13"/>
        <v>0</v>
      </c>
      <c r="E69" s="25">
        <f t="shared" si="13"/>
        <v>1313550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958720</v>
      </c>
      <c r="Q69" s="25">
        <f t="shared" si="13"/>
        <v>97396</v>
      </c>
      <c r="R69" s="25">
        <f t="shared" si="13"/>
        <v>1130</v>
      </c>
      <c r="S69" s="25">
        <f t="shared" si="13"/>
        <v>21485</v>
      </c>
      <c r="T69" s="25">
        <f t="shared" si="13"/>
        <v>0</v>
      </c>
      <c r="U69" s="25">
        <f t="shared" si="13"/>
        <v>2212454</v>
      </c>
      <c r="V69" s="25">
        <f t="shared" si="13"/>
        <v>1238</v>
      </c>
      <c r="W69" s="25">
        <f t="shared" si="13"/>
        <v>10762</v>
      </c>
      <c r="X69" s="25">
        <f t="shared" si="13"/>
        <v>2641</v>
      </c>
      <c r="Y69" s="25">
        <f t="shared" si="13"/>
        <v>23719</v>
      </c>
      <c r="Z69" s="25">
        <f t="shared" si="13"/>
        <v>0</v>
      </c>
      <c r="AA69" s="25">
        <f t="shared" si="13"/>
        <v>10951</v>
      </c>
      <c r="AB69" s="25">
        <f t="shared" si="13"/>
        <v>70619</v>
      </c>
      <c r="AC69" s="25">
        <f t="shared" si="13"/>
        <v>5652</v>
      </c>
      <c r="AD69" s="25">
        <f t="shared" si="13"/>
        <v>0</v>
      </c>
      <c r="AE69" s="25">
        <f t="shared" si="13"/>
        <v>38233</v>
      </c>
      <c r="AF69" s="25">
        <f t="shared" si="13"/>
        <v>0</v>
      </c>
      <c r="AG69" s="25">
        <f t="shared" si="13"/>
        <v>632879</v>
      </c>
      <c r="AH69" s="25">
        <f t="shared" si="13"/>
        <v>0</v>
      </c>
      <c r="AI69" s="25">
        <f t="shared" ref="AI69:BN69" si="14">SUM(AI70:AI83)</f>
        <v>150115</v>
      </c>
      <c r="AJ69" s="25">
        <f t="shared" si="14"/>
        <v>299507</v>
      </c>
      <c r="AK69" s="25">
        <f t="shared" si="14"/>
        <v>0</v>
      </c>
      <c r="AL69" s="25">
        <f t="shared" si="14"/>
        <v>2647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211284</v>
      </c>
      <c r="AW69" s="25">
        <f t="shared" si="14"/>
        <v>0</v>
      </c>
      <c r="AX69" s="25">
        <f t="shared" si="14"/>
        <v>0</v>
      </c>
      <c r="AY69" s="25">
        <f t="shared" si="14"/>
        <v>29756</v>
      </c>
      <c r="AZ69" s="25">
        <f t="shared" si="14"/>
        <v>0</v>
      </c>
      <c r="BA69" s="25">
        <f t="shared" si="14"/>
        <v>244254</v>
      </c>
      <c r="BB69" s="25">
        <f t="shared" si="14"/>
        <v>0</v>
      </c>
      <c r="BC69" s="25">
        <f t="shared" si="14"/>
        <v>0</v>
      </c>
      <c r="BD69" s="25">
        <f t="shared" si="14"/>
        <v>9994</v>
      </c>
      <c r="BE69" s="25">
        <f t="shared" si="14"/>
        <v>262075</v>
      </c>
      <c r="BF69" s="25">
        <f t="shared" si="14"/>
        <v>8990</v>
      </c>
      <c r="BG69" s="25">
        <f t="shared" si="14"/>
        <v>0</v>
      </c>
      <c r="BH69" s="25">
        <f t="shared" si="14"/>
        <v>156957</v>
      </c>
      <c r="BI69" s="25">
        <f t="shared" si="14"/>
        <v>14158</v>
      </c>
      <c r="BJ69" s="25">
        <f t="shared" si="14"/>
        <v>28774</v>
      </c>
      <c r="BK69" s="25">
        <f t="shared" si="14"/>
        <v>0</v>
      </c>
      <c r="BL69" s="25">
        <f t="shared" si="14"/>
        <v>314</v>
      </c>
      <c r="BM69" s="25">
        <f t="shared" si="14"/>
        <v>0</v>
      </c>
      <c r="BN69" s="25">
        <f t="shared" si="14"/>
        <v>18682449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11791</v>
      </c>
      <c r="BR69" s="25">
        <f t="shared" si="15"/>
        <v>26500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22953</v>
      </c>
      <c r="BW69" s="25">
        <f t="shared" si="15"/>
        <v>0</v>
      </c>
      <c r="BX69" s="25">
        <f t="shared" si="15"/>
        <v>0</v>
      </c>
      <c r="BY69" s="25">
        <f t="shared" si="15"/>
        <v>343905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1236665</v>
      </c>
      <c r="CD69" s="25">
        <f t="shared" si="15"/>
        <v>6538683</v>
      </c>
      <c r="CE69" s="25">
        <f t="shared" si="15"/>
        <v>33906726</v>
      </c>
    </row>
    <row r="70" spans="1:83" x14ac:dyDescent="0.25">
      <c r="A70" s="26" t="s">
        <v>269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>
        <f>441316+502</f>
        <v>441818</v>
      </c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441818</v>
      </c>
    </row>
    <row r="71" spans="1:83" x14ac:dyDescent="0.25">
      <c r="A71" s="26" t="s">
        <v>270</v>
      </c>
      <c r="B71" s="27"/>
      <c r="C71" s="282">
        <v>217094</v>
      </c>
      <c r="D71" s="282"/>
      <c r="E71" s="282">
        <f>1055584+245200</f>
        <v>1300784</v>
      </c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>
        <v>682742</v>
      </c>
      <c r="Q71" s="282">
        <v>95193</v>
      </c>
      <c r="R71" s="282"/>
      <c r="S71" s="282"/>
      <c r="T71" s="282"/>
      <c r="U71" s="282">
        <v>362872</v>
      </c>
      <c r="V71" s="282"/>
      <c r="W71" s="282"/>
      <c r="X71" s="282"/>
      <c r="Y71" s="282"/>
      <c r="Z71" s="282"/>
      <c r="AA71" s="282"/>
      <c r="AB71" s="282"/>
      <c r="AC71" s="282"/>
      <c r="AD71" s="282"/>
      <c r="AE71" s="282">
        <v>21756</v>
      </c>
      <c r="AF71" s="282"/>
      <c r="AG71" s="282">
        <v>609266</v>
      </c>
      <c r="AH71" s="282"/>
      <c r="AI71" s="282">
        <v>147772</v>
      </c>
      <c r="AJ71" s="282">
        <v>115597</v>
      </c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>
        <f>19014+149564</f>
        <v>168578</v>
      </c>
      <c r="AW71" s="282"/>
      <c r="AX71" s="282"/>
      <c r="AY71" s="282">
        <v>20100</v>
      </c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>
        <f>318133-1</f>
        <v>318132</v>
      </c>
      <c r="BZ71" s="282"/>
      <c r="CA71" s="282"/>
      <c r="CB71" s="282"/>
      <c r="CC71" s="282"/>
      <c r="CD71" s="282"/>
      <c r="CE71" s="25">
        <f t="shared" si="16"/>
        <v>4059886</v>
      </c>
    </row>
    <row r="72" spans="1:83" x14ac:dyDescent="0.25">
      <c r="A72" s="26" t="s">
        <v>271</v>
      </c>
      <c r="B72" s="27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0</v>
      </c>
    </row>
    <row r="73" spans="1:83" x14ac:dyDescent="0.25">
      <c r="A73" s="26" t="s">
        <v>272</v>
      </c>
      <c r="B73" s="27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>
        <v>2048</v>
      </c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>
        <v>1917994</v>
      </c>
      <c r="CE73" s="25">
        <f t="shared" si="16"/>
        <v>1920042</v>
      </c>
    </row>
    <row r="74" spans="1:83" x14ac:dyDescent="0.25">
      <c r="A74" s="26" t="s">
        <v>273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>
        <v>244254</v>
      </c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244254</v>
      </c>
    </row>
    <row r="75" spans="1:83" x14ac:dyDescent="0.25">
      <c r="A75" s="26" t="s">
        <v>274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>
        <v>27125</v>
      </c>
      <c r="BK75" s="282"/>
      <c r="BL75" s="282"/>
      <c r="BM75" s="282"/>
      <c r="BN75" s="282">
        <v>164874</v>
      </c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>
        <f>306500-1</f>
        <v>306499</v>
      </c>
      <c r="CD75" s="282"/>
      <c r="CE75" s="25">
        <f t="shared" si="16"/>
        <v>498498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>
        <v>1304063</v>
      </c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1304063</v>
      </c>
    </row>
    <row r="77" spans="1:83" x14ac:dyDescent="0.25">
      <c r="A77" s="26" t="s">
        <v>276</v>
      </c>
      <c r="B77" s="27"/>
      <c r="C77" s="282">
        <v>5868</v>
      </c>
      <c r="D77" s="282"/>
      <c r="E77" s="282">
        <f>5345+207+2713</f>
        <v>8265</v>
      </c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>
        <v>65236</v>
      </c>
      <c r="Q77" s="282">
        <v>2203</v>
      </c>
      <c r="R77" s="282">
        <v>1059</v>
      </c>
      <c r="S77" s="282">
        <f>21446</f>
        <v>21446</v>
      </c>
      <c r="T77" s="282"/>
      <c r="U77" s="282">
        <v>60794</v>
      </c>
      <c r="V77" s="282">
        <v>394</v>
      </c>
      <c r="W77" s="282">
        <v>10577</v>
      </c>
      <c r="X77" s="282">
        <v>2268</v>
      </c>
      <c r="Y77" s="282">
        <f>3737+4160</f>
        <v>7897</v>
      </c>
      <c r="Z77" s="282"/>
      <c r="AA77" s="282"/>
      <c r="AB77" s="282">
        <v>12336</v>
      </c>
      <c r="AC77" s="282">
        <v>5643</v>
      </c>
      <c r="AD77" s="282"/>
      <c r="AE77" s="282">
        <v>1352</v>
      </c>
      <c r="AF77" s="282"/>
      <c r="AG77" s="282">
        <v>8899</v>
      </c>
      <c r="AH77" s="282"/>
      <c r="AI77" s="282">
        <v>2343</v>
      </c>
      <c r="AJ77" s="282">
        <v>30259</v>
      </c>
      <c r="AK77" s="282"/>
      <c r="AL77" s="282">
        <v>-1605</v>
      </c>
      <c r="AM77" s="282"/>
      <c r="AN77" s="282"/>
      <c r="AO77" s="282"/>
      <c r="AP77" s="282"/>
      <c r="AQ77" s="282"/>
      <c r="AR77" s="282"/>
      <c r="AS77" s="282"/>
      <c r="AT77" s="282"/>
      <c r="AU77" s="282"/>
      <c r="AV77" s="282">
        <v>22362</v>
      </c>
      <c r="AW77" s="282"/>
      <c r="AX77" s="282"/>
      <c r="AY77" s="282">
        <v>8427</v>
      </c>
      <c r="AZ77" s="282"/>
      <c r="BA77" s="282"/>
      <c r="BB77" s="282"/>
      <c r="BC77" s="282"/>
      <c r="BD77" s="282">
        <v>10016</v>
      </c>
      <c r="BE77" s="282">
        <v>255694</v>
      </c>
      <c r="BF77" s="282">
        <v>1180</v>
      </c>
      <c r="BG77" s="282"/>
      <c r="BH77" s="282">
        <v>14009</v>
      </c>
      <c r="BI77" s="282"/>
      <c r="BJ77" s="282"/>
      <c r="BK77" s="282"/>
      <c r="BL77" s="282"/>
      <c r="BM77" s="282"/>
      <c r="BN77" s="282"/>
      <c r="BO77" s="282"/>
      <c r="BP77" s="282"/>
      <c r="BQ77" s="282">
        <f>10825+1</f>
        <v>10826</v>
      </c>
      <c r="BR77" s="282"/>
      <c r="BS77" s="282"/>
      <c r="BT77" s="282"/>
      <c r="BU77" s="282"/>
      <c r="BV77" s="282"/>
      <c r="BW77" s="282"/>
      <c r="BX77" s="282"/>
      <c r="BY77" s="282"/>
      <c r="BZ77" s="282"/>
      <c r="CA77" s="282"/>
      <c r="CB77" s="282"/>
      <c r="CC77" s="282"/>
      <c r="CD77" s="282"/>
      <c r="CE77" s="25">
        <f t="shared" si="16"/>
        <v>567748</v>
      </c>
    </row>
    <row r="78" spans="1:83" x14ac:dyDescent="0.25">
      <c r="A78" s="26" t="s">
        <v>277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>
        <v>17378936</v>
      </c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17378936</v>
      </c>
    </row>
    <row r="79" spans="1:83" x14ac:dyDescent="0.25">
      <c r="A79" s="26" t="s">
        <v>278</v>
      </c>
      <c r="B79" s="16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>
        <v>6559</v>
      </c>
      <c r="Q79" s="282"/>
      <c r="R79" s="282"/>
      <c r="S79" s="282"/>
      <c r="T79" s="282"/>
      <c r="U79" s="282">
        <v>930</v>
      </c>
      <c r="V79" s="282"/>
      <c r="W79" s="282"/>
      <c r="X79" s="282"/>
      <c r="Y79" s="282"/>
      <c r="Z79" s="282"/>
      <c r="AA79" s="282"/>
      <c r="AB79" s="282"/>
      <c r="AC79" s="282"/>
      <c r="AD79" s="282"/>
      <c r="AE79" s="282">
        <v>13327</v>
      </c>
      <c r="AF79" s="282"/>
      <c r="AG79" s="282"/>
      <c r="AH79" s="282"/>
      <c r="AI79" s="282"/>
      <c r="AJ79" s="282">
        <v>25022</v>
      </c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>
        <v>9957</v>
      </c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>
        <v>3322</v>
      </c>
      <c r="BO79" s="282"/>
      <c r="BP79" s="282"/>
      <c r="BQ79" s="282"/>
      <c r="BR79" s="282">
        <v>26500</v>
      </c>
      <c r="BS79" s="282"/>
      <c r="BT79" s="282"/>
      <c r="BU79" s="282"/>
      <c r="BV79" s="282"/>
      <c r="BW79" s="282"/>
      <c r="BX79" s="282"/>
      <c r="BY79" s="282"/>
      <c r="BZ79" s="282"/>
      <c r="CA79" s="282"/>
      <c r="CB79" s="282"/>
      <c r="CC79" s="282"/>
      <c r="CD79" s="282"/>
      <c r="CE79" s="25">
        <f t="shared" si="16"/>
        <v>85617</v>
      </c>
    </row>
    <row r="80" spans="1:83" x14ac:dyDescent="0.25">
      <c r="A80" s="26" t="s">
        <v>279</v>
      </c>
      <c r="B80" s="16"/>
      <c r="C80" s="282"/>
      <c r="D80" s="282"/>
      <c r="E80" s="282">
        <f>1414+2473</f>
        <v>3887</v>
      </c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>
        <v>2301</v>
      </c>
      <c r="Q80" s="282"/>
      <c r="R80" s="282"/>
      <c r="S80" s="282"/>
      <c r="T80" s="282"/>
      <c r="U80" s="282"/>
      <c r="V80" s="282"/>
      <c r="W80" s="282"/>
      <c r="X80" s="282"/>
      <c r="Y80" s="282">
        <v>297</v>
      </c>
      <c r="Z80" s="282"/>
      <c r="AA80" s="282"/>
      <c r="AB80" s="282"/>
      <c r="AC80" s="282"/>
      <c r="AD80" s="282"/>
      <c r="AE80" s="282"/>
      <c r="AF80" s="282"/>
      <c r="AG80" s="282">
        <v>949</v>
      </c>
      <c r="AH80" s="282"/>
      <c r="AI80" s="282"/>
      <c r="AJ80" s="282">
        <v>52002</v>
      </c>
      <c r="AK80" s="282"/>
      <c r="AL80" s="282">
        <v>835</v>
      </c>
      <c r="AM80" s="282"/>
      <c r="AN80" s="282"/>
      <c r="AO80" s="282"/>
      <c r="AP80" s="282"/>
      <c r="AQ80" s="282"/>
      <c r="AR80" s="282"/>
      <c r="AS80" s="282"/>
      <c r="AT80" s="282"/>
      <c r="AU80" s="282"/>
      <c r="AV80" s="282">
        <v>4861</v>
      </c>
      <c r="AW80" s="282"/>
      <c r="AX80" s="282"/>
      <c r="AY80" s="282">
        <v>878</v>
      </c>
      <c r="AZ80" s="282"/>
      <c r="BA80" s="282"/>
      <c r="BB80" s="282"/>
      <c r="BC80" s="282"/>
      <c r="BD80" s="282"/>
      <c r="BE80" s="282">
        <v>2526</v>
      </c>
      <c r="BF80" s="282"/>
      <c r="BG80" s="282"/>
      <c r="BH80" s="282"/>
      <c r="BI80" s="282"/>
      <c r="BJ80" s="282"/>
      <c r="BK80" s="282"/>
      <c r="BL80" s="282"/>
      <c r="BM80" s="282"/>
      <c r="BN80" s="282">
        <v>2950</v>
      </c>
      <c r="BO80" s="282"/>
      <c r="BP80" s="282"/>
      <c r="BQ80" s="282"/>
      <c r="BR80" s="282"/>
      <c r="BS80" s="282"/>
      <c r="BT80" s="282"/>
      <c r="BU80" s="282"/>
      <c r="BV80" s="282"/>
      <c r="BW80" s="282"/>
      <c r="BX80" s="282"/>
      <c r="BY80" s="282">
        <v>4569</v>
      </c>
      <c r="BZ80" s="282"/>
      <c r="CA80" s="282"/>
      <c r="CB80" s="282"/>
      <c r="CC80" s="282">
        <f>14848-1</f>
        <v>14847</v>
      </c>
      <c r="CD80" s="282"/>
      <c r="CE80" s="25">
        <f t="shared" si="16"/>
        <v>90902</v>
      </c>
    </row>
    <row r="81" spans="1:84" x14ac:dyDescent="0.25">
      <c r="A81" s="26" t="s">
        <v>280</v>
      </c>
      <c r="B81" s="16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2"/>
      <c r="AQ81" s="282"/>
      <c r="AR81" s="282"/>
      <c r="AS81" s="282"/>
      <c r="AT81" s="282"/>
      <c r="AU81" s="282"/>
      <c r="AV81" s="282"/>
      <c r="AW81" s="282"/>
      <c r="AX81" s="282"/>
      <c r="AY81" s="282"/>
      <c r="AZ81" s="282"/>
      <c r="BA81" s="282"/>
      <c r="BB81" s="282"/>
      <c r="BC81" s="282"/>
      <c r="BD81" s="282"/>
      <c r="BE81" s="282"/>
      <c r="BF81" s="282"/>
      <c r="BG81" s="282"/>
      <c r="BH81" s="282"/>
      <c r="BI81" s="282"/>
      <c r="BJ81" s="282"/>
      <c r="BK81" s="282"/>
      <c r="BL81" s="282"/>
      <c r="BM81" s="282"/>
      <c r="BN81" s="282"/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>
        <v>710783</v>
      </c>
      <c r="CD81" s="282"/>
      <c r="CE81" s="25">
        <f t="shared" si="16"/>
        <v>710783</v>
      </c>
    </row>
    <row r="82" spans="1:84" x14ac:dyDescent="0.25">
      <c r="A82" s="26" t="s">
        <v>281</v>
      </c>
      <c r="B82" s="16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0</v>
      </c>
    </row>
    <row r="83" spans="1:84" x14ac:dyDescent="0.25">
      <c r="A83" s="26" t="s">
        <v>282</v>
      </c>
      <c r="B83" s="16"/>
      <c r="C83" s="273">
        <v>564</v>
      </c>
      <c r="D83" s="273"/>
      <c r="E83" s="275">
        <v>614</v>
      </c>
      <c r="F83" s="275"/>
      <c r="G83" s="273"/>
      <c r="H83" s="273"/>
      <c r="I83" s="275"/>
      <c r="J83" s="275"/>
      <c r="K83" s="275"/>
      <c r="L83" s="275"/>
      <c r="M83" s="273"/>
      <c r="N83" s="273"/>
      <c r="O83" s="273"/>
      <c r="P83" s="275">
        <v>201882</v>
      </c>
      <c r="Q83" s="275"/>
      <c r="R83" s="276">
        <v>71</v>
      </c>
      <c r="S83" s="275">
        <v>39</v>
      </c>
      <c r="T83" s="273"/>
      <c r="U83" s="275">
        <v>41977</v>
      </c>
      <c r="V83" s="275">
        <v>844</v>
      </c>
      <c r="W83" s="273">
        <v>185</v>
      </c>
      <c r="X83" s="275">
        <v>373</v>
      </c>
      <c r="Y83" s="275">
        <v>15525</v>
      </c>
      <c r="Z83" s="275"/>
      <c r="AA83" s="275">
        <v>10951</v>
      </c>
      <c r="AB83" s="275">
        <v>58283</v>
      </c>
      <c r="AC83" s="275">
        <v>9</v>
      </c>
      <c r="AD83" s="275"/>
      <c r="AE83" s="275">
        <v>1798</v>
      </c>
      <c r="AF83" s="275"/>
      <c r="AG83" s="275">
        <v>13765</v>
      </c>
      <c r="AH83" s="275"/>
      <c r="AI83" s="275"/>
      <c r="AJ83" s="275">
        <v>74579</v>
      </c>
      <c r="AK83" s="275"/>
      <c r="AL83" s="275">
        <v>3417</v>
      </c>
      <c r="AM83" s="275"/>
      <c r="AN83" s="275"/>
      <c r="AO83" s="273"/>
      <c r="AP83" s="275"/>
      <c r="AQ83" s="273"/>
      <c r="AR83" s="273"/>
      <c r="AS83" s="273"/>
      <c r="AT83" s="273"/>
      <c r="AU83" s="275"/>
      <c r="AV83" s="275">
        <v>5526</v>
      </c>
      <c r="AW83" s="275"/>
      <c r="AX83" s="275"/>
      <c r="AY83" s="275">
        <v>351</v>
      </c>
      <c r="AZ83" s="275"/>
      <c r="BA83" s="275"/>
      <c r="BB83" s="275"/>
      <c r="BC83" s="275"/>
      <c r="BD83" s="275">
        <v>-22</v>
      </c>
      <c r="BE83" s="275">
        <v>3855</v>
      </c>
      <c r="BF83" s="275">
        <v>7810</v>
      </c>
      <c r="BG83" s="275"/>
      <c r="BH83" s="276">
        <v>142948</v>
      </c>
      <c r="BI83" s="275">
        <v>14158</v>
      </c>
      <c r="BJ83" s="275">
        <v>1649</v>
      </c>
      <c r="BK83" s="275"/>
      <c r="BL83" s="275">
        <v>314</v>
      </c>
      <c r="BM83" s="275"/>
      <c r="BN83" s="275">
        <v>1132367</v>
      </c>
      <c r="BO83" s="275"/>
      <c r="BP83" s="275"/>
      <c r="BQ83" s="275">
        <v>965</v>
      </c>
      <c r="BR83" s="275"/>
      <c r="BS83" s="275"/>
      <c r="BT83" s="275"/>
      <c r="BU83" s="275"/>
      <c r="BV83" s="275">
        <v>22953</v>
      </c>
      <c r="BW83" s="275"/>
      <c r="BX83" s="275"/>
      <c r="BY83" s="275">
        <v>21204</v>
      </c>
      <c r="BZ83" s="275"/>
      <c r="CA83" s="275"/>
      <c r="CB83" s="275"/>
      <c r="CC83" s="275">
        <f>204535-3+4</f>
        <v>204536</v>
      </c>
      <c r="CD83" s="282">
        <v>4620689</v>
      </c>
      <c r="CE83" s="25">
        <f t="shared" si="16"/>
        <v>6604179</v>
      </c>
    </row>
    <row r="84" spans="1:84" x14ac:dyDescent="0.25">
      <c r="A84" s="31" t="s">
        <v>283</v>
      </c>
      <c r="B84" s="16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/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/>
      <c r="BO84" s="273"/>
      <c r="BP84" s="273"/>
      <c r="BQ84" s="273"/>
      <c r="BR84" s="273"/>
      <c r="BS84" s="273"/>
      <c r="BT84" s="273"/>
      <c r="BU84" s="273"/>
      <c r="BV84" s="273"/>
      <c r="BW84" s="273"/>
      <c r="BX84" s="273"/>
      <c r="BY84" s="273"/>
      <c r="BZ84" s="273"/>
      <c r="CA84" s="273"/>
      <c r="CB84" s="273"/>
      <c r="CC84" s="273"/>
      <c r="CD84" s="282"/>
      <c r="CE84" s="25">
        <f t="shared" si="16"/>
        <v>0</v>
      </c>
    </row>
    <row r="85" spans="1:84" x14ac:dyDescent="0.25">
      <c r="A85" s="31" t="s">
        <v>284</v>
      </c>
      <c r="B85" s="25"/>
      <c r="C85" s="25">
        <f t="shared" ref="C85:AH85" si="17">SUM(C61:C69)-C84</f>
        <v>2462816</v>
      </c>
      <c r="D85" s="25">
        <f t="shared" si="17"/>
        <v>0</v>
      </c>
      <c r="E85" s="25">
        <f t="shared" si="17"/>
        <v>8544374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8878921</v>
      </c>
      <c r="Q85" s="25">
        <f t="shared" si="17"/>
        <v>770338</v>
      </c>
      <c r="R85" s="25">
        <f t="shared" si="17"/>
        <v>1358217</v>
      </c>
      <c r="S85" s="25">
        <f t="shared" si="17"/>
        <v>366472</v>
      </c>
      <c r="T85" s="25">
        <f t="shared" si="17"/>
        <v>65260</v>
      </c>
      <c r="U85" s="25">
        <f t="shared" si="17"/>
        <v>5186477</v>
      </c>
      <c r="V85" s="25">
        <f t="shared" si="17"/>
        <v>247940</v>
      </c>
      <c r="W85" s="25">
        <f t="shared" si="17"/>
        <v>335964</v>
      </c>
      <c r="X85" s="25">
        <f t="shared" si="17"/>
        <v>402520</v>
      </c>
      <c r="Y85" s="25">
        <f t="shared" si="17"/>
        <v>4771303</v>
      </c>
      <c r="Z85" s="25">
        <f t="shared" si="17"/>
        <v>0</v>
      </c>
      <c r="AA85" s="25">
        <f t="shared" si="17"/>
        <v>198899</v>
      </c>
      <c r="AB85" s="25">
        <f t="shared" si="17"/>
        <v>11391785</v>
      </c>
      <c r="AC85" s="25">
        <f t="shared" si="17"/>
        <v>1150173</v>
      </c>
      <c r="AD85" s="25">
        <f t="shared" si="17"/>
        <v>486676</v>
      </c>
      <c r="AE85" s="25">
        <f t="shared" si="17"/>
        <v>771792</v>
      </c>
      <c r="AF85" s="25">
        <f t="shared" si="17"/>
        <v>0</v>
      </c>
      <c r="AG85" s="25">
        <f t="shared" si="17"/>
        <v>7192940</v>
      </c>
      <c r="AH85" s="25">
        <f t="shared" si="17"/>
        <v>0</v>
      </c>
      <c r="AI85" s="25">
        <f t="shared" ref="AI85:BN85" si="18">SUM(AI61:AI69)-AI84</f>
        <v>1229352</v>
      </c>
      <c r="AJ85" s="25">
        <f t="shared" si="18"/>
        <v>18139488</v>
      </c>
      <c r="AK85" s="25">
        <f t="shared" si="18"/>
        <v>0</v>
      </c>
      <c r="AL85" s="25">
        <f t="shared" si="18"/>
        <v>476599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4604624</v>
      </c>
      <c r="AW85" s="25">
        <f t="shared" si="18"/>
        <v>0</v>
      </c>
      <c r="AX85" s="25">
        <f t="shared" si="18"/>
        <v>0</v>
      </c>
      <c r="AY85" s="25">
        <f t="shared" si="18"/>
        <v>1417201</v>
      </c>
      <c r="AZ85" s="25">
        <f t="shared" si="18"/>
        <v>0</v>
      </c>
      <c r="BA85" s="25">
        <f t="shared" si="18"/>
        <v>246716</v>
      </c>
      <c r="BB85" s="25">
        <f t="shared" si="18"/>
        <v>140296</v>
      </c>
      <c r="BC85" s="25">
        <f t="shared" si="18"/>
        <v>0</v>
      </c>
      <c r="BD85" s="25">
        <f t="shared" si="18"/>
        <v>91382</v>
      </c>
      <c r="BE85" s="25">
        <f t="shared" si="18"/>
        <v>1982527</v>
      </c>
      <c r="BF85" s="25">
        <f t="shared" si="18"/>
        <v>1339902</v>
      </c>
      <c r="BG85" s="25">
        <f t="shared" si="18"/>
        <v>0</v>
      </c>
      <c r="BH85" s="25">
        <f t="shared" si="18"/>
        <v>1598138</v>
      </c>
      <c r="BI85" s="25">
        <f t="shared" si="18"/>
        <v>306287</v>
      </c>
      <c r="BJ85" s="25">
        <f t="shared" si="18"/>
        <v>557050</v>
      </c>
      <c r="BK85" s="25">
        <f t="shared" si="18"/>
        <v>0</v>
      </c>
      <c r="BL85" s="25">
        <f t="shared" si="18"/>
        <v>1149194</v>
      </c>
      <c r="BM85" s="25">
        <f t="shared" si="18"/>
        <v>0</v>
      </c>
      <c r="BN85" s="25">
        <f t="shared" si="18"/>
        <v>18947424</v>
      </c>
      <c r="BO85" s="25">
        <f t="shared" ref="BO85:CD85" si="19">SUM(BO61:BO69)-BO84</f>
        <v>2200</v>
      </c>
      <c r="BP85" s="25">
        <f t="shared" si="19"/>
        <v>0</v>
      </c>
      <c r="BQ85" s="25">
        <f t="shared" si="19"/>
        <v>310164</v>
      </c>
      <c r="BR85" s="25">
        <f t="shared" si="19"/>
        <v>125539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536230</v>
      </c>
      <c r="BW85" s="25">
        <f t="shared" si="19"/>
        <v>0</v>
      </c>
      <c r="BX85" s="25">
        <f t="shared" si="19"/>
        <v>0</v>
      </c>
      <c r="BY85" s="25">
        <f t="shared" si="19"/>
        <v>1135057</v>
      </c>
      <c r="BZ85" s="25">
        <f t="shared" si="19"/>
        <v>0</v>
      </c>
      <c r="CA85" s="25">
        <f t="shared" si="19"/>
        <v>0</v>
      </c>
      <c r="CB85" s="25">
        <f t="shared" si="19"/>
        <v>0</v>
      </c>
      <c r="CC85" s="25">
        <f t="shared" si="19"/>
        <v>1607674</v>
      </c>
      <c r="CD85" s="25">
        <f t="shared" si="19"/>
        <v>6538683</v>
      </c>
      <c r="CE85" s="25">
        <f t="shared" si="16"/>
        <v>117064594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5015307</v>
      </c>
      <c r="D87" s="273"/>
      <c r="E87" s="273">
        <v>15405011</v>
      </c>
      <c r="F87" s="273"/>
      <c r="G87" s="273"/>
      <c r="H87" s="273"/>
      <c r="I87" s="273"/>
      <c r="J87" s="273">
        <v>839948</v>
      </c>
      <c r="K87" s="273"/>
      <c r="L87" s="273"/>
      <c r="M87" s="273"/>
      <c r="N87" s="273"/>
      <c r="O87" s="273"/>
      <c r="P87" s="273">
        <f>9200103</f>
        <v>9200103</v>
      </c>
      <c r="Q87" s="273">
        <v>1146838</v>
      </c>
      <c r="R87" s="273">
        <v>2041285</v>
      </c>
      <c r="S87" s="273">
        <f>2846300+5175454</f>
        <v>8021754</v>
      </c>
      <c r="T87" s="273">
        <v>922539</v>
      </c>
      <c r="U87" s="273">
        <v>7769555</v>
      </c>
      <c r="V87" s="273">
        <v>717784</v>
      </c>
      <c r="W87" s="273">
        <v>320006</v>
      </c>
      <c r="X87" s="273">
        <v>3503961</v>
      </c>
      <c r="Y87" s="273">
        <v>1378807</v>
      </c>
      <c r="Z87" s="273"/>
      <c r="AA87" s="273">
        <v>35937</v>
      </c>
      <c r="AB87" s="273">
        <v>5151451</v>
      </c>
      <c r="AC87" s="273">
        <v>1174417</v>
      </c>
      <c r="AD87" s="273">
        <v>2093568</v>
      </c>
      <c r="AE87" s="273">
        <v>642591</v>
      </c>
      <c r="AF87" s="273"/>
      <c r="AG87" s="273">
        <v>1910731</v>
      </c>
      <c r="AH87" s="273"/>
      <c r="AI87" s="273">
        <v>463</v>
      </c>
      <c r="AJ87" s="273">
        <v>3484</v>
      </c>
      <c r="AK87" s="273"/>
      <c r="AL87" s="273">
        <v>121938</v>
      </c>
      <c r="AM87" s="273"/>
      <c r="AN87" s="273"/>
      <c r="AO87" s="273">
        <v>3259794</v>
      </c>
      <c r="AP87" s="273"/>
      <c r="AQ87" s="273"/>
      <c r="AR87" s="273"/>
      <c r="AS87" s="273"/>
      <c r="AT87" s="273"/>
      <c r="AU87" s="273"/>
      <c r="AV87" s="273">
        <f>458386+250</f>
        <v>458636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71135908</v>
      </c>
    </row>
    <row r="88" spans="1:84" x14ac:dyDescent="0.25">
      <c r="A88" s="31" t="s">
        <v>287</v>
      </c>
      <c r="B88" s="16"/>
      <c r="C88" s="273">
        <v>1545</v>
      </c>
      <c r="D88" s="273"/>
      <c r="E88" s="273">
        <v>5116034</v>
      </c>
      <c r="F88" s="273"/>
      <c r="G88" s="273"/>
      <c r="H88" s="273"/>
      <c r="I88" s="273"/>
      <c r="J88" s="273">
        <v>67762</v>
      </c>
      <c r="K88" s="273"/>
      <c r="L88" s="273"/>
      <c r="M88" s="273"/>
      <c r="N88" s="273"/>
      <c r="O88" s="273"/>
      <c r="P88" s="273">
        <f>29323311+716922+-1724</f>
        <v>30038509</v>
      </c>
      <c r="Q88" s="273">
        <v>4453080</v>
      </c>
      <c r="R88" s="273">
        <v>7223631</v>
      </c>
      <c r="S88" s="273">
        <v>23289208</v>
      </c>
      <c r="T88" s="273">
        <v>371809</v>
      </c>
      <c r="U88" s="273">
        <v>36718947</v>
      </c>
      <c r="V88" s="273">
        <v>874768</v>
      </c>
      <c r="W88" s="273">
        <v>5454995</v>
      </c>
      <c r="X88" s="273">
        <v>18021540</v>
      </c>
      <c r="Y88" s="273">
        <v>19820944</v>
      </c>
      <c r="Z88" s="273"/>
      <c r="AA88" s="273">
        <v>707045</v>
      </c>
      <c r="AB88" s="273">
        <v>52402466</v>
      </c>
      <c r="AC88" s="273">
        <v>1531148</v>
      </c>
      <c r="AD88" s="273">
        <v>130878</v>
      </c>
      <c r="AE88" s="273">
        <v>5166524</v>
      </c>
      <c r="AF88" s="273"/>
      <c r="AG88" s="273">
        <v>23075307</v>
      </c>
      <c r="AH88" s="273"/>
      <c r="AI88" s="273">
        <v>1465122</v>
      </c>
      <c r="AJ88" s="273">
        <v>16944262</v>
      </c>
      <c r="AK88" s="273"/>
      <c r="AL88" s="273">
        <v>1657183</v>
      </c>
      <c r="AM88" s="273"/>
      <c r="AN88" s="273"/>
      <c r="AO88" s="273">
        <v>318521</v>
      </c>
      <c r="AP88" s="273"/>
      <c r="AQ88" s="273"/>
      <c r="AR88" s="273"/>
      <c r="AS88" s="273"/>
      <c r="AT88" s="273"/>
      <c r="AU88" s="273"/>
      <c r="AV88" s="273">
        <f>12688596+1+31</f>
        <v>12688628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267539856</v>
      </c>
    </row>
    <row r="89" spans="1:84" x14ac:dyDescent="0.25">
      <c r="A89" s="21" t="s">
        <v>288</v>
      </c>
      <c r="B89" s="16"/>
      <c r="C89" s="25">
        <f t="shared" ref="C89:AV89" si="21">C87+C88</f>
        <v>5016852</v>
      </c>
      <c r="D89" s="25">
        <f t="shared" si="21"/>
        <v>0</v>
      </c>
      <c r="E89" s="25">
        <f t="shared" si="21"/>
        <v>20521045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907710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39238612</v>
      </c>
      <c r="Q89" s="25">
        <f t="shared" si="21"/>
        <v>5599918</v>
      </c>
      <c r="R89" s="25">
        <f t="shared" si="21"/>
        <v>9264916</v>
      </c>
      <c r="S89" s="25">
        <f t="shared" si="21"/>
        <v>31310962</v>
      </c>
      <c r="T89" s="25">
        <f t="shared" si="21"/>
        <v>1294348</v>
      </c>
      <c r="U89" s="25">
        <f t="shared" si="21"/>
        <v>44488502</v>
      </c>
      <c r="V89" s="25">
        <f t="shared" si="21"/>
        <v>1592552</v>
      </c>
      <c r="W89" s="25">
        <f t="shared" si="21"/>
        <v>5775001</v>
      </c>
      <c r="X89" s="25">
        <f t="shared" si="21"/>
        <v>21525501</v>
      </c>
      <c r="Y89" s="25">
        <f t="shared" si="21"/>
        <v>21199751</v>
      </c>
      <c r="Z89" s="25">
        <f t="shared" si="21"/>
        <v>0</v>
      </c>
      <c r="AA89" s="25">
        <f t="shared" si="21"/>
        <v>742982</v>
      </c>
      <c r="AB89" s="25">
        <f t="shared" si="21"/>
        <v>57553917</v>
      </c>
      <c r="AC89" s="25">
        <f t="shared" si="21"/>
        <v>2705565</v>
      </c>
      <c r="AD89" s="25">
        <f t="shared" si="21"/>
        <v>2224446</v>
      </c>
      <c r="AE89" s="25">
        <f t="shared" si="21"/>
        <v>5809115</v>
      </c>
      <c r="AF89" s="25">
        <f t="shared" si="21"/>
        <v>0</v>
      </c>
      <c r="AG89" s="25">
        <f t="shared" si="21"/>
        <v>24986038</v>
      </c>
      <c r="AH89" s="25">
        <f t="shared" si="21"/>
        <v>0</v>
      </c>
      <c r="AI89" s="25">
        <f t="shared" si="21"/>
        <v>1465585</v>
      </c>
      <c r="AJ89" s="25">
        <f t="shared" si="21"/>
        <v>16947746</v>
      </c>
      <c r="AK89" s="25">
        <f t="shared" si="21"/>
        <v>0</v>
      </c>
      <c r="AL89" s="25">
        <f t="shared" si="21"/>
        <v>1779121</v>
      </c>
      <c r="AM89" s="25">
        <f t="shared" si="21"/>
        <v>0</v>
      </c>
      <c r="AN89" s="25">
        <f t="shared" si="21"/>
        <v>0</v>
      </c>
      <c r="AO89" s="25">
        <f t="shared" si="21"/>
        <v>3578315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13147264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338675764</v>
      </c>
    </row>
    <row r="90" spans="1:84" x14ac:dyDescent="0.25">
      <c r="A90" s="31" t="s">
        <v>289</v>
      </c>
      <c r="B90" s="25"/>
      <c r="C90" s="273">
        <v>2901</v>
      </c>
      <c r="D90" s="273"/>
      <c r="E90" s="273">
        <f>8145+4682+4338+1243</f>
        <v>18408</v>
      </c>
      <c r="F90" s="273"/>
      <c r="G90" s="273"/>
      <c r="H90" s="273"/>
      <c r="I90" s="273"/>
      <c r="J90" s="273"/>
      <c r="K90" s="273"/>
      <c r="L90" s="273"/>
      <c r="M90" s="273"/>
      <c r="N90" s="273"/>
      <c r="O90" s="273"/>
      <c r="P90" s="273">
        <v>4345</v>
      </c>
      <c r="Q90" s="273">
        <v>1191</v>
      </c>
      <c r="R90" s="273">
        <v>95</v>
      </c>
      <c r="S90" s="273">
        <f>523</f>
        <v>523</v>
      </c>
      <c r="T90" s="273">
        <v>187</v>
      </c>
      <c r="U90" s="273">
        <v>2575</v>
      </c>
      <c r="V90" s="273">
        <v>154</v>
      </c>
      <c r="W90" s="273">
        <v>926</v>
      </c>
      <c r="X90" s="273">
        <v>436</v>
      </c>
      <c r="Y90" s="273">
        <v>3737</v>
      </c>
      <c r="Z90" s="273"/>
      <c r="AA90" s="273">
        <v>407</v>
      </c>
      <c r="AB90" s="273">
        <v>874</v>
      </c>
      <c r="AC90" s="273">
        <v>323</v>
      </c>
      <c r="AD90" s="273">
        <v>266</v>
      </c>
      <c r="AE90" s="273">
        <v>292</v>
      </c>
      <c r="AF90" s="273"/>
      <c r="AG90" s="273">
        <v>7142</v>
      </c>
      <c r="AH90" s="273"/>
      <c r="AI90" s="273">
        <v>1909</v>
      </c>
      <c r="AJ90" s="273">
        <v>13681</v>
      </c>
      <c r="AK90" s="273"/>
      <c r="AL90" s="273"/>
      <c r="AM90" s="273"/>
      <c r="AN90" s="273"/>
      <c r="AO90" s="273"/>
      <c r="AP90" s="273"/>
      <c r="AQ90" s="273"/>
      <c r="AR90" s="273"/>
      <c r="AS90" s="273"/>
      <c r="AT90" s="273"/>
      <c r="AU90" s="273"/>
      <c r="AV90" s="273">
        <v>5435</v>
      </c>
      <c r="AW90" s="273"/>
      <c r="AX90" s="273"/>
      <c r="AY90" s="273">
        <v>2589</v>
      </c>
      <c r="AZ90" s="273"/>
      <c r="BA90" s="273"/>
      <c r="BB90" s="273"/>
      <c r="BC90" s="273"/>
      <c r="BD90" s="273">
        <v>846</v>
      </c>
      <c r="BE90" s="273">
        <f>12411+125</f>
        <v>12536</v>
      </c>
      <c r="BF90" s="273">
        <v>1019</v>
      </c>
      <c r="BG90" s="273"/>
      <c r="BH90" s="273">
        <v>112</v>
      </c>
      <c r="BI90" s="273"/>
      <c r="BJ90" s="273"/>
      <c r="BK90" s="273"/>
      <c r="BL90" s="273">
        <v>1437</v>
      </c>
      <c r="BM90" s="273"/>
      <c r="BN90" s="273">
        <v>4432</v>
      </c>
      <c r="BO90" s="273"/>
      <c r="BP90" s="273"/>
      <c r="BQ90" s="273"/>
      <c r="BR90" s="273">
        <v>2410</v>
      </c>
      <c r="BS90" s="273"/>
      <c r="BT90" s="273"/>
      <c r="BU90" s="273"/>
      <c r="BV90" s="273">
        <v>3684</v>
      </c>
      <c r="BW90" s="273"/>
      <c r="BX90" s="273"/>
      <c r="BY90" s="273">
        <f>213+1278</f>
        <v>1491</v>
      </c>
      <c r="BZ90" s="273"/>
      <c r="CA90" s="273"/>
      <c r="CB90" s="273"/>
      <c r="CC90" s="273">
        <v>7303</v>
      </c>
      <c r="CD90" s="224" t="s">
        <v>247</v>
      </c>
      <c r="CE90" s="25">
        <f t="shared" si="20"/>
        <v>103666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2834</v>
      </c>
      <c r="D91" s="273"/>
      <c r="E91" s="273">
        <f>12566+4420</f>
        <v>16986</v>
      </c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>
        <v>2962</v>
      </c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f>AZ59</f>
        <v>0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22782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2275</v>
      </c>
      <c r="D92" s="273"/>
      <c r="E92" s="273">
        <v>8940</v>
      </c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>
        <v>3412</v>
      </c>
      <c r="Q92" s="273">
        <v>536</v>
      </c>
      <c r="R92" s="273"/>
      <c r="S92" s="273">
        <v>431</v>
      </c>
      <c r="T92" s="273"/>
      <c r="U92" s="273">
        <v>878</v>
      </c>
      <c r="V92" s="273">
        <v>153</v>
      </c>
      <c r="W92" s="273">
        <v>171</v>
      </c>
      <c r="X92" s="273"/>
      <c r="Y92" s="273">
        <v>1597</v>
      </c>
      <c r="Z92" s="273"/>
      <c r="AA92" s="273"/>
      <c r="AB92" s="273">
        <v>330</v>
      </c>
      <c r="AC92" s="273">
        <v>477</v>
      </c>
      <c r="AD92" s="273"/>
      <c r="AE92" s="273">
        <v>530</v>
      </c>
      <c r="AF92" s="273"/>
      <c r="AG92" s="273">
        <v>4173</v>
      </c>
      <c r="AH92" s="273"/>
      <c r="AI92" s="273">
        <v>1220</v>
      </c>
      <c r="AJ92" s="273">
        <v>10142</v>
      </c>
      <c r="AK92" s="273"/>
      <c r="AL92" s="273">
        <v>1450</v>
      </c>
      <c r="AM92" s="273"/>
      <c r="AN92" s="273"/>
      <c r="AO92" s="273"/>
      <c r="AP92" s="273"/>
      <c r="AQ92" s="273"/>
      <c r="AR92" s="273"/>
      <c r="AS92" s="273"/>
      <c r="AT92" s="273"/>
      <c r="AU92" s="273"/>
      <c r="AV92" s="273">
        <v>1367</v>
      </c>
      <c r="AW92" s="273"/>
      <c r="AX92" s="264" t="s">
        <v>247</v>
      </c>
      <c r="AY92" s="264" t="s">
        <v>247</v>
      </c>
      <c r="AZ92" s="24" t="s">
        <v>247</v>
      </c>
      <c r="BA92" s="273"/>
      <c r="BB92" s="273"/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/>
      <c r="BI92" s="273"/>
      <c r="BJ92" s="24" t="s">
        <v>247</v>
      </c>
      <c r="BK92" s="273">
        <v>530</v>
      </c>
      <c r="BL92" s="273">
        <v>908</v>
      </c>
      <c r="BM92" s="273">
        <v>147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>
        <v>148</v>
      </c>
      <c r="BW92" s="273"/>
      <c r="BX92" s="273"/>
      <c r="BY92" s="273"/>
      <c r="BZ92" s="273"/>
      <c r="CA92" s="273"/>
      <c r="CB92" s="273"/>
      <c r="CC92" s="24" t="s">
        <v>247</v>
      </c>
      <c r="CD92" s="24" t="s">
        <v>247</v>
      </c>
      <c r="CE92" s="25">
        <f t="shared" si="20"/>
        <v>39815</v>
      </c>
      <c r="CF92" s="16"/>
    </row>
    <row r="93" spans="1:84" x14ac:dyDescent="0.25">
      <c r="A93" s="21" t="s">
        <v>292</v>
      </c>
      <c r="B93" s="16"/>
      <c r="C93" s="273">
        <v>72281</v>
      </c>
      <c r="D93" s="273"/>
      <c r="E93" s="273">
        <f>119655+57939+2823</f>
        <v>180417</v>
      </c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>
        <v>36732</v>
      </c>
      <c r="Q93" s="273">
        <v>18080</v>
      </c>
      <c r="R93" s="273"/>
      <c r="S93" s="273">
        <v>458</v>
      </c>
      <c r="T93" s="273"/>
      <c r="U93" s="273">
        <v>191</v>
      </c>
      <c r="V93" s="273">
        <v>1259</v>
      </c>
      <c r="W93" s="273">
        <v>3700</v>
      </c>
      <c r="X93" s="273">
        <v>4768</v>
      </c>
      <c r="Y93" s="273">
        <f>22237+12358+1297+1602</f>
        <v>37494</v>
      </c>
      <c r="Z93" s="273"/>
      <c r="AA93" s="273"/>
      <c r="AB93" s="273"/>
      <c r="AC93" s="273"/>
      <c r="AD93" s="273"/>
      <c r="AE93" s="273"/>
      <c r="AF93" s="273"/>
      <c r="AG93" s="273">
        <v>114887</v>
      </c>
      <c r="AH93" s="273"/>
      <c r="AI93" s="273">
        <v>27158</v>
      </c>
      <c r="AJ93" s="273">
        <v>11443</v>
      </c>
      <c r="AK93" s="273"/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>
        <v>9803</v>
      </c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518671</v>
      </c>
      <c r="CF93" s="25">
        <f>BA59</f>
        <v>0</v>
      </c>
    </row>
    <row r="94" spans="1:84" x14ac:dyDescent="0.25">
      <c r="A94" s="21" t="s">
        <v>293</v>
      </c>
      <c r="B94" s="16"/>
      <c r="C94" s="277">
        <v>13.25</v>
      </c>
      <c r="D94" s="277"/>
      <c r="E94" s="277">
        <v>35.22</v>
      </c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4">
        <v>12.65</v>
      </c>
      <c r="Q94" s="274">
        <v>3.18</v>
      </c>
      <c r="R94" s="274"/>
      <c r="S94" s="278">
        <v>3.13</v>
      </c>
      <c r="T94" s="278"/>
      <c r="U94" s="279"/>
      <c r="V94" s="274"/>
      <c r="W94" s="274"/>
      <c r="X94" s="274"/>
      <c r="Y94" s="274"/>
      <c r="Z94" s="274"/>
      <c r="AA94" s="274"/>
      <c r="AB94" s="278"/>
      <c r="AC94" s="274"/>
      <c r="AD94" s="274"/>
      <c r="AE94" s="274"/>
      <c r="AF94" s="274"/>
      <c r="AG94" s="274">
        <v>23.89</v>
      </c>
      <c r="AH94" s="274"/>
      <c r="AI94" s="274">
        <v>6.56</v>
      </c>
      <c r="AJ94" s="274"/>
      <c r="AK94" s="274"/>
      <c r="AL94" s="274"/>
      <c r="AM94" s="274"/>
      <c r="AN94" s="274"/>
      <c r="AO94" s="274"/>
      <c r="AP94" s="274"/>
      <c r="AQ94" s="274"/>
      <c r="AR94" s="274"/>
      <c r="AS94" s="274"/>
      <c r="AT94" s="274"/>
      <c r="AU94" s="274"/>
      <c r="AV94" s="278"/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97.88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98944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1060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1371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1379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1063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1064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1201</v>
      </c>
      <c r="D127" s="295">
        <v>5523</v>
      </c>
      <c r="E127" s="16"/>
    </row>
    <row r="128" spans="1:5" x14ac:dyDescent="0.25">
      <c r="A128" s="16" t="s">
        <v>334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221</v>
      </c>
      <c r="D130" s="295">
        <v>308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7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14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4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25</v>
      </c>
    </row>
    <row r="144" spans="1:5" x14ac:dyDescent="0.25">
      <c r="A144" s="16" t="s">
        <v>348</v>
      </c>
      <c r="B144" s="35" t="s">
        <v>299</v>
      </c>
      <c r="C144" s="294">
        <v>38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6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650</v>
      </c>
      <c r="C154" s="295">
        <v>331</v>
      </c>
      <c r="D154" s="295">
        <v>220</v>
      </c>
      <c r="E154" s="25">
        <f>SUM(B154:D154)</f>
        <v>1201</v>
      </c>
    </row>
    <row r="155" spans="1:6" x14ac:dyDescent="0.25">
      <c r="A155" s="16" t="s">
        <v>241</v>
      </c>
      <c r="B155" s="295">
        <v>3001</v>
      </c>
      <c r="C155" s="295">
        <v>1509</v>
      </c>
      <c r="D155" s="295">
        <v>1013</v>
      </c>
      <c r="E155" s="25">
        <f>SUM(B155:D155)</f>
        <v>5523</v>
      </c>
    </row>
    <row r="156" spans="1:6" x14ac:dyDescent="0.25">
      <c r="A156" s="16" t="s">
        <v>355</v>
      </c>
      <c r="B156" s="295">
        <v>26450</v>
      </c>
      <c r="C156" s="295">
        <v>21589</v>
      </c>
      <c r="D156" s="295">
        <v>22755</v>
      </c>
      <c r="E156" s="25">
        <f>SUM(B156:D156)</f>
        <v>70794</v>
      </c>
    </row>
    <row r="157" spans="1:6" x14ac:dyDescent="0.25">
      <c r="A157" s="16" t="s">
        <v>286</v>
      </c>
      <c r="B157" s="295">
        <v>38880015</v>
      </c>
      <c r="C157" s="295">
        <v>19291525</v>
      </c>
      <c r="D157" s="295">
        <v>12964368</v>
      </c>
      <c r="E157" s="25">
        <f>SUM(B157:D157)</f>
        <v>71135908</v>
      </c>
      <c r="F157" s="14"/>
    </row>
    <row r="158" spans="1:6" x14ac:dyDescent="0.25">
      <c r="A158" s="16" t="s">
        <v>287</v>
      </c>
      <c r="B158" s="295">
        <v>99960267</v>
      </c>
      <c r="C158" s="295">
        <v>81587911</v>
      </c>
      <c r="D158" s="295">
        <f>85991647+31</f>
        <v>85991678</v>
      </c>
      <c r="E158" s="25">
        <f>SUM(B158:D158)</f>
        <v>267539856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2290442.88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217218.24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448993.24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f>20108.41+5014377.63</f>
        <v>5034486.04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1104222.8700000001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f>93048+12</f>
        <v>93060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9188423.2699999996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681713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406319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1088032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1919941.88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100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1920041.88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f>318881.66-694</f>
        <v>318187.65999999997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f>710088.63+694</f>
        <v>710782.63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1028970.29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4603026.33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17663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4620689.33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5072349</v>
      </c>
      <c r="C211" s="292"/>
      <c r="D211" s="295">
        <v>509040</v>
      </c>
      <c r="E211" s="25">
        <f t="shared" ref="E211:E219" si="22">SUM(B211:C211)-D211</f>
        <v>4563309</v>
      </c>
    </row>
    <row r="212" spans="1:5" x14ac:dyDescent="0.25">
      <c r="A212" s="16" t="s">
        <v>390</v>
      </c>
      <c r="B212" s="292">
        <v>1430910</v>
      </c>
      <c r="C212" s="292">
        <v>40567</v>
      </c>
      <c r="D212" s="295"/>
      <c r="E212" s="25">
        <f t="shared" si="22"/>
        <v>1471477</v>
      </c>
    </row>
    <row r="213" spans="1:5" x14ac:dyDescent="0.25">
      <c r="A213" s="16" t="s">
        <v>391</v>
      </c>
      <c r="B213" s="292">
        <v>25156498</v>
      </c>
      <c r="C213" s="292">
        <v>178250</v>
      </c>
      <c r="D213" s="295"/>
      <c r="E213" s="25">
        <f t="shared" si="22"/>
        <v>25334748</v>
      </c>
    </row>
    <row r="214" spans="1:5" x14ac:dyDescent="0.25">
      <c r="A214" s="16" t="s">
        <v>393</v>
      </c>
      <c r="B214" s="292">
        <v>2888933</v>
      </c>
      <c r="C214" s="292">
        <v>41970</v>
      </c>
      <c r="D214" s="295"/>
      <c r="E214" s="25">
        <f t="shared" si="22"/>
        <v>2930903</v>
      </c>
    </row>
    <row r="215" spans="1:5" x14ac:dyDescent="0.25">
      <c r="A215" s="16" t="s">
        <v>394</v>
      </c>
      <c r="B215" s="292"/>
      <c r="C215" s="292"/>
      <c r="D215" s="295"/>
      <c r="E215" s="25">
        <f t="shared" si="22"/>
        <v>0</v>
      </c>
    </row>
    <row r="216" spans="1:5" x14ac:dyDescent="0.25">
      <c r="A216" s="16" t="s">
        <v>395</v>
      </c>
      <c r="B216" s="292">
        <v>27909810</v>
      </c>
      <c r="C216" s="292"/>
      <c r="D216" s="295">
        <v>88892</v>
      </c>
      <c r="E216" s="25">
        <f t="shared" si="22"/>
        <v>27820918</v>
      </c>
    </row>
    <row r="217" spans="1:5" x14ac:dyDescent="0.25">
      <c r="A217" s="16" t="s">
        <v>396</v>
      </c>
      <c r="B217" s="292"/>
      <c r="C217" s="292"/>
      <c r="D217" s="295"/>
      <c r="E217" s="25">
        <f t="shared" si="22"/>
        <v>0</v>
      </c>
    </row>
    <row r="218" spans="1:5" x14ac:dyDescent="0.25">
      <c r="A218" s="16" t="s">
        <v>397</v>
      </c>
      <c r="B218" s="292">
        <v>3287274</v>
      </c>
      <c r="C218" s="292">
        <v>2727009</v>
      </c>
      <c r="D218" s="295"/>
      <c r="E218" s="25">
        <f t="shared" si="22"/>
        <v>6014283</v>
      </c>
    </row>
    <row r="219" spans="1:5" x14ac:dyDescent="0.25">
      <c r="A219" s="16" t="s">
        <v>398</v>
      </c>
      <c r="B219" s="292">
        <v>30118</v>
      </c>
      <c r="C219" s="292" t="s">
        <v>392</v>
      </c>
      <c r="D219" s="295">
        <v>30118</v>
      </c>
      <c r="E219" s="25">
        <f t="shared" si="22"/>
        <v>0</v>
      </c>
    </row>
    <row r="220" spans="1:5" x14ac:dyDescent="0.25">
      <c r="A220" s="16" t="s">
        <v>229</v>
      </c>
      <c r="B220" s="25">
        <f>SUM(B211:B219)</f>
        <v>65775892</v>
      </c>
      <c r="C220" s="225">
        <f>SUM(C211:C219)</f>
        <v>2987796</v>
      </c>
      <c r="D220" s="25">
        <f>SUM(D211:D219)</f>
        <v>628050</v>
      </c>
      <c r="E220" s="25">
        <f>SUM(E211:E219)</f>
        <v>68135638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1099955</v>
      </c>
      <c r="C225" s="292">
        <v>18037</v>
      </c>
      <c r="D225" s="295"/>
      <c r="E225" s="25">
        <f t="shared" ref="E225:E232" si="23">SUM(B225:C225)-D225</f>
        <v>1117992</v>
      </c>
    </row>
    <row r="226" spans="1:6" x14ac:dyDescent="0.25">
      <c r="A226" s="16" t="s">
        <v>391</v>
      </c>
      <c r="B226" s="292">
        <v>17615379</v>
      </c>
      <c r="C226" s="292">
        <v>582306</v>
      </c>
      <c r="D226" s="295"/>
      <c r="E226" s="25">
        <f t="shared" si="23"/>
        <v>18197685</v>
      </c>
    </row>
    <row r="227" spans="1:6" x14ac:dyDescent="0.25">
      <c r="A227" s="16" t="s">
        <v>393</v>
      </c>
      <c r="B227" s="292">
        <v>2628988</v>
      </c>
      <c r="C227" s="292">
        <v>27767</v>
      </c>
      <c r="D227" s="295"/>
      <c r="E227" s="25">
        <f t="shared" si="23"/>
        <v>2656755</v>
      </c>
    </row>
    <row r="228" spans="1:6" x14ac:dyDescent="0.25">
      <c r="A228" s="16" t="s">
        <v>394</v>
      </c>
      <c r="B228" s="292">
        <v>0</v>
      </c>
      <c r="C228" s="292"/>
      <c r="D228" s="295"/>
      <c r="E228" s="25">
        <f t="shared" si="23"/>
        <v>0</v>
      </c>
    </row>
    <row r="229" spans="1:6" x14ac:dyDescent="0.25">
      <c r="A229" s="16" t="s">
        <v>395</v>
      </c>
      <c r="B229" s="292">
        <v>25771151</v>
      </c>
      <c r="C229" s="292">
        <v>1140313</v>
      </c>
      <c r="D229" s="295"/>
      <c r="E229" s="25">
        <f t="shared" si="23"/>
        <v>26911464</v>
      </c>
    </row>
    <row r="230" spans="1:6" x14ac:dyDescent="0.25">
      <c r="A230" s="16" t="s">
        <v>396</v>
      </c>
      <c r="B230" s="292">
        <v>0</v>
      </c>
      <c r="C230" s="292"/>
      <c r="D230" s="295"/>
      <c r="E230" s="25">
        <f t="shared" si="23"/>
        <v>0</v>
      </c>
    </row>
    <row r="231" spans="1:6" x14ac:dyDescent="0.25">
      <c r="A231" s="16" t="s">
        <v>397</v>
      </c>
      <c r="B231" s="292">
        <v>0</v>
      </c>
      <c r="C231" s="292"/>
      <c r="D231" s="295"/>
      <c r="E231" s="25">
        <f t="shared" si="23"/>
        <v>0</v>
      </c>
    </row>
    <row r="232" spans="1:6" x14ac:dyDescent="0.25">
      <c r="A232" s="16" t="s">
        <v>398</v>
      </c>
      <c r="B232" s="292">
        <v>0</v>
      </c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47115473</v>
      </c>
      <c r="C233" s="225">
        <f>SUM(C224:C232)</f>
        <v>1768423</v>
      </c>
      <c r="D233" s="25">
        <f>SUM(D224:D232)</f>
        <v>0</v>
      </c>
      <c r="E233" s="25">
        <f>SUM(E224:E232)</f>
        <v>48883896</v>
      </c>
    </row>
    <row r="234" spans="1:6" x14ac:dyDescent="0.25">
      <c r="A234" s="16"/>
      <c r="B234" s="16"/>
      <c r="C234" s="22"/>
      <c r="D234" s="16"/>
      <c r="E234" s="16"/>
      <c r="F234" s="11">
        <f>E220-E233</f>
        <v>19251742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40" t="s">
        <v>401</v>
      </c>
      <c r="C236" s="340"/>
      <c r="D236" s="30"/>
      <c r="E236" s="30"/>
    </row>
    <row r="237" spans="1:6" x14ac:dyDescent="0.25">
      <c r="A237" s="43" t="s">
        <v>401</v>
      </c>
      <c r="B237" s="30"/>
      <c r="C237" s="292">
        <v>763451</v>
      </c>
      <c r="D237" s="32">
        <f>C237</f>
        <v>763451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>
        <v>96883139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92">
        <v>76687378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/>
      <c r="D241" s="16"/>
      <c r="E241" s="16"/>
    </row>
    <row r="242" spans="1:5" x14ac:dyDescent="0.25">
      <c r="A242" s="16" t="s">
        <v>406</v>
      </c>
      <c r="B242" s="35" t="s">
        <v>299</v>
      </c>
      <c r="C242" s="292"/>
      <c r="D242" s="16"/>
      <c r="E242" s="16"/>
    </row>
    <row r="243" spans="1:5" x14ac:dyDescent="0.25">
      <c r="A243" s="16" t="s">
        <v>407</v>
      </c>
      <c r="B243" s="35" t="s">
        <v>299</v>
      </c>
      <c r="C243" s="292">
        <v>20582183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11974791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f>SUM(C239:C244)</f>
        <v>206127491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4"/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/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8111157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f>SUM(C249:C251)</f>
        <v>8111157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/>
      <c r="D254" s="16"/>
      <c r="E254" s="16"/>
    </row>
    <row r="255" spans="1:5" x14ac:dyDescent="0.25">
      <c r="A255" s="16" t="s">
        <v>415</v>
      </c>
      <c r="B255" s="35" t="s">
        <v>299</v>
      </c>
      <c r="C255" s="292"/>
      <c r="D255" s="16"/>
      <c r="E255" s="16"/>
    </row>
    <row r="256" spans="1:5" x14ac:dyDescent="0.25">
      <c r="A256" s="16" t="s">
        <v>417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f>D237+D245+D252+D256</f>
        <v>215002099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6693322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/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79557888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55584294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/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29992879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/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3031920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395510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/>
      <c r="D275" s="16"/>
      <c r="E275" s="16"/>
    </row>
    <row r="276" spans="1:5" x14ac:dyDescent="0.25">
      <c r="A276" s="16" t="s">
        <v>431</v>
      </c>
      <c r="B276" s="16"/>
      <c r="C276" s="22"/>
      <c r="D276" s="25">
        <f>SUM(C266:C268)-C269+SUM(C270:C275)</f>
        <v>64087225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/>
      <c r="D278" s="16"/>
      <c r="E278" s="16"/>
    </row>
    <row r="279" spans="1:5" x14ac:dyDescent="0.25">
      <c r="A279" s="16" t="s">
        <v>422</v>
      </c>
      <c r="B279" s="35" t="s">
        <v>299</v>
      </c>
      <c r="C279" s="292"/>
      <c r="D279" s="16"/>
      <c r="E279" s="16"/>
    </row>
    <row r="280" spans="1:5" x14ac:dyDescent="0.25">
      <c r="A280" s="16" t="s">
        <v>433</v>
      </c>
      <c r="B280" s="35" t="s">
        <v>299</v>
      </c>
      <c r="C280" s="292"/>
      <c r="D280" s="16"/>
      <c r="E280" s="16"/>
    </row>
    <row r="281" spans="1:5" x14ac:dyDescent="0.25">
      <c r="A281" s="16" t="s">
        <v>434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4563309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1471477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25334748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>
        <v>2930903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92"/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27820918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6014283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0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f>SUM(C283:C290)</f>
        <v>68135638</v>
      </c>
      <c r="E291" s="16"/>
    </row>
    <row r="292" spans="1:5" x14ac:dyDescent="0.25">
      <c r="A292" s="16" t="s">
        <v>440</v>
      </c>
      <c r="B292" s="35" t="s">
        <v>299</v>
      </c>
      <c r="C292" s="292">
        <v>49042228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f>D291-C292</f>
        <v>19093410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/>
      <c r="D295" s="16"/>
      <c r="E295" s="16"/>
    </row>
    <row r="296" spans="1:5" x14ac:dyDescent="0.25">
      <c r="A296" s="16" t="s">
        <v>444</v>
      </c>
      <c r="B296" s="35" t="s">
        <v>299</v>
      </c>
      <c r="C296" s="292"/>
      <c r="D296" s="16"/>
      <c r="E296" s="16"/>
    </row>
    <row r="297" spans="1:5" x14ac:dyDescent="0.25">
      <c r="A297" s="16" t="s">
        <v>445</v>
      </c>
      <c r="B297" s="35" t="s">
        <v>299</v>
      </c>
      <c r="C297" s="292">
        <v>789793</v>
      </c>
      <c r="D297" s="16"/>
      <c r="E297" s="16"/>
    </row>
    <row r="298" spans="1:5" x14ac:dyDescent="0.25">
      <c r="A298" s="16" t="s">
        <v>433</v>
      </c>
      <c r="B298" s="35" t="s">
        <v>299</v>
      </c>
      <c r="C298" s="292"/>
      <c r="D298" s="16"/>
      <c r="E298" s="16"/>
    </row>
    <row r="299" spans="1:5" x14ac:dyDescent="0.25">
      <c r="A299" s="16" t="s">
        <v>446</v>
      </c>
      <c r="B299" s="16"/>
      <c r="C299" s="22"/>
      <c r="D299" s="25">
        <f>C295-C296+C297+C298</f>
        <v>789793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/>
      <c r="D302" s="16"/>
      <c r="E302" s="16"/>
    </row>
    <row r="303" spans="1:5" x14ac:dyDescent="0.25">
      <c r="A303" s="16" t="s">
        <v>449</v>
      </c>
      <c r="B303" s="35" t="s">
        <v>299</v>
      </c>
      <c r="C303" s="292"/>
      <c r="D303" s="16"/>
      <c r="E303" s="16"/>
    </row>
    <row r="304" spans="1:5" x14ac:dyDescent="0.25">
      <c r="A304" s="16" t="s">
        <v>450</v>
      </c>
      <c r="B304" s="35" t="s">
        <v>299</v>
      </c>
      <c r="C304" s="292"/>
      <c r="D304" s="16"/>
      <c r="E304" s="16"/>
    </row>
    <row r="305" spans="1:6" x14ac:dyDescent="0.25">
      <c r="A305" s="16" t="s">
        <v>451</v>
      </c>
      <c r="B305" s="35" t="s">
        <v>299</v>
      </c>
      <c r="C305" s="292"/>
      <c r="D305" s="16"/>
      <c r="E305" s="16"/>
    </row>
    <row r="306" spans="1:6" x14ac:dyDescent="0.25">
      <c r="A306" s="16" t="s">
        <v>452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f>D276+D281+D293+D299+D306</f>
        <v>83970428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83970428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/>
      <c r="D314" s="16"/>
      <c r="E314" s="16"/>
    </row>
    <row r="315" spans="1:6" x14ac:dyDescent="0.25">
      <c r="A315" s="16" t="s">
        <v>457</v>
      </c>
      <c r="B315" s="35" t="s">
        <v>299</v>
      </c>
      <c r="C315" s="292">
        <v>7641155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92">
        <v>2547380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 t="s">
        <v>392</v>
      </c>
      <c r="D317" s="16"/>
      <c r="E317" s="16"/>
    </row>
    <row r="318" spans="1:6" x14ac:dyDescent="0.25">
      <c r="A318" s="16" t="s">
        <v>460</v>
      </c>
      <c r="B318" s="35" t="s">
        <v>299</v>
      </c>
      <c r="C318" s="292" t="s">
        <v>392</v>
      </c>
      <c r="D318" s="16"/>
      <c r="E318" s="16"/>
    </row>
    <row r="319" spans="1:6" x14ac:dyDescent="0.25">
      <c r="A319" s="16" t="s">
        <v>461</v>
      </c>
      <c r="B319" s="35" t="s">
        <v>299</v>
      </c>
      <c r="C319" s="292">
        <v>5851000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92"/>
      <c r="D320" s="16"/>
      <c r="E320" s="16"/>
    </row>
    <row r="321" spans="1:5" x14ac:dyDescent="0.25">
      <c r="A321" s="16" t="s">
        <v>463</v>
      </c>
      <c r="B321" s="35" t="s">
        <v>299</v>
      </c>
      <c r="C321" s="292"/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973620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1283744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f>SUM(C314:C323)</f>
        <v>18296899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/>
      <c r="D326" s="16"/>
      <c r="E326" s="16"/>
    </row>
    <row r="327" spans="1:5" x14ac:dyDescent="0.25">
      <c r="A327" s="16" t="s">
        <v>469</v>
      </c>
      <c r="B327" s="35" t="s">
        <v>299</v>
      </c>
      <c r="C327" s="292"/>
      <c r="D327" s="16"/>
      <c r="E327" s="16"/>
    </row>
    <row r="328" spans="1:5" x14ac:dyDescent="0.25">
      <c r="A328" s="16" t="s">
        <v>470</v>
      </c>
      <c r="B328" s="35" t="s">
        <v>299</v>
      </c>
      <c r="C328" s="292"/>
      <c r="D328" s="16"/>
      <c r="E328" s="16"/>
    </row>
    <row r="329" spans="1:5" x14ac:dyDescent="0.25">
      <c r="A329" s="16" t="s">
        <v>471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/>
      <c r="D331" s="16"/>
      <c r="E331" s="16"/>
    </row>
    <row r="332" spans="1:5" x14ac:dyDescent="0.25">
      <c r="A332" s="16" t="s">
        <v>474</v>
      </c>
      <c r="B332" s="35" t="s">
        <v>299</v>
      </c>
      <c r="C332" s="292"/>
      <c r="D332" s="16"/>
      <c r="E332" s="16"/>
    </row>
    <row r="333" spans="1:5" x14ac:dyDescent="0.25">
      <c r="A333" s="16" t="s">
        <v>475</v>
      </c>
      <c r="B333" s="35" t="s">
        <v>299</v>
      </c>
      <c r="C333" s="292"/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6083352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 t="s">
        <v>392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/>
      <c r="D336" s="16"/>
      <c r="E336" s="16"/>
    </row>
    <row r="337" spans="1:5" x14ac:dyDescent="0.25">
      <c r="A337" s="21" t="s">
        <v>479</v>
      </c>
      <c r="B337" s="35" t="s">
        <v>299</v>
      </c>
      <c r="C337" s="298"/>
      <c r="D337" s="16"/>
      <c r="E337" s="16"/>
    </row>
    <row r="338" spans="1:5" x14ac:dyDescent="0.25">
      <c r="A338" s="16" t="s">
        <v>480</v>
      </c>
      <c r="B338" s="35" t="s">
        <v>299</v>
      </c>
      <c r="C338" s="292" t="s">
        <v>392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6083352</v>
      </c>
      <c r="E339" s="16"/>
    </row>
    <row r="340" spans="1:5" x14ac:dyDescent="0.25">
      <c r="A340" s="16" t="s">
        <v>481</v>
      </c>
      <c r="B340" s="16"/>
      <c r="C340" s="22"/>
      <c r="D340" s="25">
        <f>C323</f>
        <v>1283744</v>
      </c>
      <c r="E340" s="16"/>
    </row>
    <row r="341" spans="1:5" x14ac:dyDescent="0.25">
      <c r="A341" s="16" t="s">
        <v>482</v>
      </c>
      <c r="B341" s="16"/>
      <c r="C341" s="22"/>
      <c r="D341" s="25">
        <f>D339-D340</f>
        <v>4799608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/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/>
      <c r="D345" s="16"/>
      <c r="E345" s="16"/>
    </row>
    <row r="346" spans="1:5" x14ac:dyDescent="0.25">
      <c r="A346" s="16" t="s">
        <v>485</v>
      </c>
      <c r="B346" s="35" t="s">
        <v>299</v>
      </c>
      <c r="C346" s="293"/>
      <c r="D346" s="16"/>
      <c r="E346" s="16"/>
    </row>
    <row r="347" spans="1:5" x14ac:dyDescent="0.25">
      <c r="A347" s="16" t="s">
        <v>486</v>
      </c>
      <c r="B347" s="35" t="s">
        <v>299</v>
      </c>
      <c r="C347" s="293"/>
      <c r="D347" s="16"/>
      <c r="E347" s="16"/>
    </row>
    <row r="348" spans="1:5" x14ac:dyDescent="0.25">
      <c r="A348" s="16" t="s">
        <v>487</v>
      </c>
      <c r="B348" s="35" t="s">
        <v>299</v>
      </c>
      <c r="C348" s="293">
        <v>53623640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/>
      <c r="D349" s="16"/>
      <c r="E349" s="16"/>
    </row>
    <row r="350" spans="1:5" x14ac:dyDescent="0.25">
      <c r="A350" s="16" t="s">
        <v>489</v>
      </c>
      <c r="B350" s="16"/>
      <c r="C350" s="22"/>
      <c r="D350" s="25">
        <f>D324+D329+D341+C343+C347+C348</f>
        <v>76720147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f>D308</f>
        <v>83970428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2">
        <v>71135908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2">
        <f>267539826+30</f>
        <v>267539856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f>SUM(C358:C359)</f>
        <v>338675764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763451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f>D245</f>
        <v>206127491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8111157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f>D256</f>
        <v>0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f>SUM(C362:C365)</f>
        <v>215002099</v>
      </c>
      <c r="E366" s="16"/>
    </row>
    <row r="367" spans="1:5" x14ac:dyDescent="0.25">
      <c r="A367" s="16" t="s">
        <v>500</v>
      </c>
      <c r="B367" s="16"/>
      <c r="C367" s="22"/>
      <c r="D367" s="25">
        <f>D360-D366</f>
        <v>123673665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/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98710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/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/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>
        <v>8114</v>
      </c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/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/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/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/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583448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67185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514</v>
      </c>
      <c r="B381" s="35"/>
      <c r="C381" s="35"/>
      <c r="D381" s="25">
        <f>SUM(C370:C380)</f>
        <v>757457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/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f>D381+C382</f>
        <v>757457</v>
      </c>
      <c r="E383" s="16"/>
    </row>
    <row r="384" spans="1:6" x14ac:dyDescent="0.25">
      <c r="A384" s="16" t="s">
        <v>517</v>
      </c>
      <c r="B384" s="16"/>
      <c r="C384" s="22"/>
      <c r="D384" s="25">
        <f>D367+D383</f>
        <v>124431122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36602180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9188423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1172145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21103097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>
        <v>856409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10843696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2303886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1088032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4">
        <v>1920042</v>
      </c>
      <c r="D397" s="16"/>
      <c r="E397" s="16"/>
    </row>
    <row r="398" spans="1:5" x14ac:dyDescent="0.25">
      <c r="A398" s="16" t="s">
        <v>525</v>
      </c>
      <c r="B398" s="35" t="s">
        <v>299</v>
      </c>
      <c r="C398" s="294">
        <v>1028970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94">
        <v>4620689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441818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4059886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/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/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244254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498498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1304063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567748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17378936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85617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90902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/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/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1665303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f>SUM(C401:C414)</f>
        <v>26337025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f>SUM(C389:C399,D415)</f>
        <v>117064594</v>
      </c>
      <c r="E416" s="25"/>
    </row>
    <row r="417" spans="1:13" x14ac:dyDescent="0.25">
      <c r="A417" s="25" t="s">
        <v>531</v>
      </c>
      <c r="B417" s="16"/>
      <c r="C417" s="22"/>
      <c r="D417" s="25">
        <f>D384-D416</f>
        <v>7366528</v>
      </c>
      <c r="E417" s="25"/>
    </row>
    <row r="418" spans="1:13" x14ac:dyDescent="0.25">
      <c r="A418" s="25" t="s">
        <v>532</v>
      </c>
      <c r="B418" s="16"/>
      <c r="C418" s="294">
        <v>-116247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f>SUM(C418:C419)</f>
        <v>-116247</v>
      </c>
      <c r="E420" s="25"/>
      <c r="F420" s="11">
        <f>D420-C399</f>
        <v>-4736936</v>
      </c>
    </row>
    <row r="421" spans="1:13" x14ac:dyDescent="0.25">
      <c r="A421" s="25" t="s">
        <v>535</v>
      </c>
      <c r="B421" s="16"/>
      <c r="C421" s="22"/>
      <c r="D421" s="25">
        <f>D417+D420</f>
        <v>7250281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f>D421+C422-C423</f>
        <v>7250281</v>
      </c>
      <c r="E424" s="16"/>
    </row>
    <row r="426" spans="1:13" ht="29.1" customHeight="1" x14ac:dyDescent="0.25">
      <c r="A426" s="341" t="s">
        <v>539</v>
      </c>
      <c r="B426" s="341"/>
      <c r="C426" s="341"/>
      <c r="D426" s="341"/>
      <c r="E426" s="341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91130</v>
      </c>
      <c r="E612" s="219">
        <f>SUM(C624:D647)+SUM(C668:D713)</f>
        <v>94544988.03149347</v>
      </c>
      <c r="F612" s="219">
        <f>CE64-(AX64+BD64+BE64+BG64+BJ64+BN64+BP64+BQ64+CB64+CC64+CD64)</f>
        <v>21132390</v>
      </c>
      <c r="G612" s="217">
        <f>CE91-(AX91+AY91+BD91+BE91+BG91+BJ91+BN91+BP91+BQ91+CB91+CC91+CD91)</f>
        <v>22782</v>
      </c>
      <c r="H612" s="222">
        <f>CE60-(AX60+AY60+AZ60+BD60+BE60+BG60+BJ60+BN60+BO60+BP60+BQ60+BR60+CB60+CC60+CD60)</f>
        <v>322.84999999999997</v>
      </c>
      <c r="I612" s="217">
        <f>CE92-(AX92+AY92+AZ92+BD92+BE92+BF92+BG92+BJ92+BN92+BO92+BP92+BQ92+BR92+CB92+CC92+CD92)</f>
        <v>39815</v>
      </c>
      <c r="J612" s="217">
        <f>CE93-(AX93+AY93+AZ93+BA93+BD93+BE93+BF93+BG93+BJ93+BN93+BO93+BP93+BQ93+BR93+CB93+CC93+CD93)</f>
        <v>518671</v>
      </c>
      <c r="K612" s="217">
        <f>CE89-(AW89+AX89+AY89+AZ89+BA89+BB89+BC89+BD89+BE89+BF89+BG89+BH89+BI89+BJ89+BK89+BL89+BM89+BN89+BO89+BP89+BQ89+BR89+BS89+BT89+BU89+BV89+BW89+BX89+CB89+CC89+CD89)</f>
        <v>338675764</v>
      </c>
      <c r="L612" s="223">
        <f>CE94-(AW94+AX94+AY94+AZ94+BA94+BB94+BC94+BD94+BE94+BF94+BG94+BH94+BI94+BJ94+BK94+BL94+BM94+BN94+BO94+BP94+BQ94+BR94+BS94+BT94+BU94+BV94+BW94+BX94+BY94+BZ94+CA94+CB94+CC94+CD94)</f>
        <v>97.88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1982527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6538683</v>
      </c>
      <c r="D615" s="217">
        <f>SUM(C614:C615)</f>
        <v>8521210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557050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18947424</v>
      </c>
      <c r="D619" s="217">
        <f>(D615/D612)*BN90</f>
        <v>414418.99176999892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1607674</v>
      </c>
      <c r="D620" s="217">
        <f>(D615/D612)*CC90</f>
        <v>682874.9767365302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310164</v>
      </c>
      <c r="D623" s="217">
        <f>(D615/D612)*BQ90</f>
        <v>0</v>
      </c>
      <c r="E623" s="219">
        <f>SUM(C616:D623)</f>
        <v>22519605.96850653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91382</v>
      </c>
      <c r="D624" s="217">
        <f>(D615/D612)*BD90</f>
        <v>79106.15230988698</v>
      </c>
      <c r="E624" s="219">
        <f>(E623/E612)*SUM(C624:D624)</f>
        <v>40608.456273096999</v>
      </c>
      <c r="F624" s="219">
        <f>SUM(C624:E624)</f>
        <v>211096.60858298399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1417201</v>
      </c>
      <c r="D625" s="217">
        <f>(D615/D612)*AY90</f>
        <v>242087.26752990234</v>
      </c>
      <c r="E625" s="219">
        <f>(E623/E612)*SUM(C625:D625)</f>
        <v>395224.73640265572</v>
      </c>
      <c r="F625" s="219">
        <f>(F624/F612)*AY64</f>
        <v>6339.3143491711917</v>
      </c>
      <c r="G625" s="217">
        <f>SUM(C625:F625)</f>
        <v>2060852.3182817292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125539</v>
      </c>
      <c r="D626" s="217">
        <f>(D615/D612)*BR90</f>
        <v>225349.67738395699</v>
      </c>
      <c r="E626" s="219">
        <f>(E623/E612)*SUM(C626:D626)</f>
        <v>83577.933828337467</v>
      </c>
      <c r="F626" s="219">
        <f>(F624/F612)*BR64</f>
        <v>56.369306180407357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2200</v>
      </c>
      <c r="D627" s="217">
        <f>(D615/D612)*BO90</f>
        <v>0</v>
      </c>
      <c r="E627" s="219">
        <f>(E623/E612)*SUM(C627:D627)</f>
        <v>524.01649375862496</v>
      </c>
      <c r="F627" s="219">
        <f>(F624/F612)*BO64</f>
        <v>21.976337692166609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437268.97334992565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1339902</v>
      </c>
      <c r="D629" s="217">
        <f>(D615/D612)*BF90</f>
        <v>95282.705914627455</v>
      </c>
      <c r="E629" s="219">
        <f>(E623/E612)*SUM(C629:D629)</f>
        <v>341845.66249517561</v>
      </c>
      <c r="F629" s="219">
        <f>(F624/F612)*BF64</f>
        <v>1241.4632947193029</v>
      </c>
      <c r="G629" s="217">
        <f>(G625/G612)*BF91</f>
        <v>0</v>
      </c>
      <c r="H629" s="219">
        <f>(H628/H612)*BF60</f>
        <v>25923.271333181285</v>
      </c>
      <c r="I629" s="217">
        <f>SUM(C629:H629)</f>
        <v>1804195.1030377038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246716</v>
      </c>
      <c r="D630" s="217">
        <f>(D615/D612)*BA90</f>
        <v>0</v>
      </c>
      <c r="E630" s="219">
        <f>(E623/E612)*SUM(C630:D630)</f>
        <v>58765.11512461496</v>
      </c>
      <c r="F630" s="219">
        <f>(F624/F612)*BA64</f>
        <v>24.593519726415543</v>
      </c>
      <c r="G630" s="217">
        <f>(G625/G612)*BA91</f>
        <v>0</v>
      </c>
      <c r="H630" s="219">
        <f>(H628/H612)*BA60</f>
        <v>0</v>
      </c>
      <c r="I630" s="217">
        <f>(I629/I612)*BA92</f>
        <v>0</v>
      </c>
      <c r="J630" s="217">
        <f>SUM(C630:I630)</f>
        <v>305505.70864434139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140296</v>
      </c>
      <c r="D632" s="217">
        <f>(D615/D612)*BB90</f>
        <v>0</v>
      </c>
      <c r="E632" s="219">
        <f>(E623/E612)*SUM(C632:D632)</f>
        <v>33417.008185618201</v>
      </c>
      <c r="F632" s="219">
        <f>(F624/F612)*BB64</f>
        <v>5.3442457569586983</v>
      </c>
      <c r="G632" s="217">
        <f>(G625/G612)*BB91</f>
        <v>0</v>
      </c>
      <c r="H632" s="219">
        <f>(H628/H612)*BB60</f>
        <v>1354.402890970809</v>
      </c>
      <c r="I632" s="217">
        <f>(I629/I612)*BB92</f>
        <v>0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306287</v>
      </c>
      <c r="D634" s="217">
        <f>(D615/D612)*BI90</f>
        <v>0</v>
      </c>
      <c r="E634" s="219">
        <f>(E623/E612)*SUM(C634:D634)</f>
        <v>72954.290829021789</v>
      </c>
      <c r="F634" s="219">
        <f>(F624/F612)*BI64</f>
        <v>335.15912829435189</v>
      </c>
      <c r="G634" s="217">
        <f>(G625/G612)*BI91</f>
        <v>0</v>
      </c>
      <c r="H634" s="219">
        <f>(H628/H612)*BI60</f>
        <v>3223.4788805105254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>
        <f>(I629/I612)*BK92</f>
        <v>24016.662177822003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1598138</v>
      </c>
      <c r="D636" s="217">
        <f>(D615/D612)*BH90</f>
        <v>10472.682102490948</v>
      </c>
      <c r="E636" s="219">
        <f>(E623/E612)*SUM(C636:D636)</f>
        <v>383153.87702637148</v>
      </c>
      <c r="F636" s="219">
        <f>(F624/F612)*BH64</f>
        <v>2253.4636561991697</v>
      </c>
      <c r="G636" s="217">
        <f>(G625/G612)*BH91</f>
        <v>0</v>
      </c>
      <c r="H636" s="219">
        <f>(H628/H612)*BH60</f>
        <v>16022.586200184671</v>
      </c>
      <c r="I636" s="217">
        <f>(I629/I612)*BH92</f>
        <v>0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1149194</v>
      </c>
      <c r="D637" s="217">
        <f>(D615/D612)*BL90</f>
        <v>134368.25161856689</v>
      </c>
      <c r="E637" s="219">
        <f>(E623/E612)*SUM(C637:D637)</f>
        <v>305730.81391549425</v>
      </c>
      <c r="F637" s="219">
        <f>(F624/F612)*BL64</f>
        <v>166.46076877375654</v>
      </c>
      <c r="G637" s="217">
        <f>(G625/G612)*BL91</f>
        <v>0</v>
      </c>
      <c r="H637" s="219">
        <f>(H628/H612)*BL60</f>
        <v>26126.431766826907</v>
      </c>
      <c r="I637" s="217">
        <f>(I629/I612)*BL92</f>
        <v>41145.526900872414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6661.2251700751594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536230</v>
      </c>
      <c r="D642" s="217">
        <f>(D615/D612)*BV90</f>
        <v>344476.4362997915</v>
      </c>
      <c r="E642" s="219">
        <f>(E623/E612)*SUM(C642:D642)</f>
        <v>209774.86308203207</v>
      </c>
      <c r="F642" s="219">
        <f>(F624/F612)*BV64</f>
        <v>709.32625599229948</v>
      </c>
      <c r="G642" s="217">
        <f>(G625/G612)*BV91</f>
        <v>0</v>
      </c>
      <c r="H642" s="219">
        <f>(H628/H612)*BV60</f>
        <v>7435.6718714297422</v>
      </c>
      <c r="I642" s="217">
        <f>(I629/I612)*BV92</f>
        <v>6706.5396270144465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5360655.5026001101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1135057</v>
      </c>
      <c r="D645" s="217">
        <f>(D615/D612)*BY90</f>
        <v>139417.58048941073</v>
      </c>
      <c r="E645" s="219">
        <f>(E623/E612)*SUM(C645:D645)</f>
        <v>303566.22775116155</v>
      </c>
      <c r="F645" s="219">
        <f>(F624/F612)*BY64</f>
        <v>18.929618148479875</v>
      </c>
      <c r="G645" s="217">
        <f>(G625/G612)*BY91</f>
        <v>0</v>
      </c>
      <c r="H645" s="219">
        <f>(H628/H612)*BY60</f>
        <v>6013.5488359103911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1584073.2866946312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38031664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2462816</v>
      </c>
      <c r="D668" s="217">
        <f>(D615/D612)*C90</f>
        <v>271261.16767255566</v>
      </c>
      <c r="E668" s="219">
        <f>(E623/E612)*SUM(C668:D668)</f>
        <v>651227.96866785677</v>
      </c>
      <c r="F668" s="219">
        <f>(F624/F612)*C64</f>
        <v>1106.5285812893999</v>
      </c>
      <c r="G668" s="217">
        <f>(G625/G612)*C91</f>
        <v>256362.71925249847</v>
      </c>
      <c r="H668" s="219">
        <f>(H628/H612)*C60</f>
        <v>17945.838305363221</v>
      </c>
      <c r="I668" s="217">
        <f>(I629/I612)*C92</f>
        <v>103090.38953687747</v>
      </c>
      <c r="J668" s="217">
        <f>(J630/J612)*C93</f>
        <v>42574.692100621862</v>
      </c>
      <c r="K668" s="217">
        <f>(K644/K612)*C89</f>
        <v>79408.148259260648</v>
      </c>
      <c r="L668" s="217">
        <f>(L647/L612)*C94</f>
        <v>214435.74835210323</v>
      </c>
      <c r="M668" s="202">
        <f t="shared" ref="M668:M713" si="24">ROUND(SUM(D668:L668),0)</f>
        <v>1637413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24"/>
        <v>0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8544374</v>
      </c>
      <c r="D670" s="217">
        <f>(D615/D612)*E90</f>
        <v>1721260.1084165478</v>
      </c>
      <c r="E670" s="219">
        <f>(E623/E612)*SUM(C670:D670)</f>
        <v>2445164.3598642671</v>
      </c>
      <c r="F670" s="219">
        <f>(F624/F612)*E64</f>
        <v>3080.8627810648372</v>
      </c>
      <c r="G670" s="217">
        <f>(G625/G612)*E91</f>
        <v>1536548.0413630696</v>
      </c>
      <c r="H670" s="219">
        <f>(H628/H612)*E60</f>
        <v>47702.069819991892</v>
      </c>
      <c r="I670" s="217">
        <f>(I629/I612)*E92</f>
        <v>405111.24503722397</v>
      </c>
      <c r="J670" s="217">
        <f>(J630/J612)*E93</f>
        <v>106268.56607847006</v>
      </c>
      <c r="K670" s="217">
        <f>(K644/K612)*E89</f>
        <v>324812.88740328787</v>
      </c>
      <c r="L670" s="217">
        <f>(L647/L612)*E94</f>
        <v>569994.49486498686</v>
      </c>
      <c r="M670" s="202">
        <f t="shared" si="24"/>
        <v>7159943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4"/>
        <v>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4"/>
        <v>0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14367.489863446935</v>
      </c>
      <c r="L675" s="217">
        <f>(L647/L612)*J94</f>
        <v>0</v>
      </c>
      <c r="M675" s="202">
        <f t="shared" si="24"/>
        <v>14367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24"/>
        <v>0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24"/>
        <v>0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8878921</v>
      </c>
      <c r="D681" s="217">
        <f>(D615/D612)*P90</f>
        <v>406283.96192252822</v>
      </c>
      <c r="E681" s="219">
        <f>(E623/E612)*SUM(C681:D681)</f>
        <v>2211636.6127167409</v>
      </c>
      <c r="F681" s="219">
        <f>(F624/F612)*P64</f>
        <v>56229.916263972584</v>
      </c>
      <c r="G681" s="217">
        <f>(G625/G612)*P91</f>
        <v>0</v>
      </c>
      <c r="H681" s="219">
        <f>(H628/H612)*P60</f>
        <v>17133.196570780736</v>
      </c>
      <c r="I681" s="217">
        <f>(I629/I612)*P92</f>
        <v>154612.92707684656</v>
      </c>
      <c r="J681" s="217">
        <f>(J630/J612)*P93</f>
        <v>21635.749232025595</v>
      </c>
      <c r="K681" s="217">
        <f>(K644/K612)*P89</f>
        <v>621079.81642344722</v>
      </c>
      <c r="L681" s="217">
        <f>(L647/L612)*P94</f>
        <v>204725.45031351742</v>
      </c>
      <c r="M681" s="202">
        <f t="shared" si="24"/>
        <v>3693338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770338</v>
      </c>
      <c r="D682" s="217">
        <f>(D615/D612)*Q90</f>
        <v>111365.75342916712</v>
      </c>
      <c r="E682" s="219">
        <f>(E623/E612)*SUM(C682:D682)</f>
        <v>210012.41336625969</v>
      </c>
      <c r="F682" s="219">
        <f>(F624/F612)*Q64</f>
        <v>176.78964748907484</v>
      </c>
      <c r="G682" s="217">
        <f>(G625/G612)*Q91</f>
        <v>0</v>
      </c>
      <c r="H682" s="219">
        <f>(H628/H612)*Q60</f>
        <v>4307.001193287173</v>
      </c>
      <c r="I682" s="217">
        <f>(I629/I612)*Q92</f>
        <v>24288.548919457724</v>
      </c>
      <c r="J682" s="217">
        <f>(J630/J612)*Q93</f>
        <v>10649.415934744169</v>
      </c>
      <c r="K682" s="217">
        <f>(K644/K612)*Q89</f>
        <v>88637.081337799551</v>
      </c>
      <c r="L682" s="217">
        <f>(L647/L612)*Q94</f>
        <v>51464.579604504775</v>
      </c>
      <c r="M682" s="202">
        <f t="shared" si="24"/>
        <v>500902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1358217</v>
      </c>
      <c r="D683" s="217">
        <f>(D615/D612)*R90</f>
        <v>8883.0785690771427</v>
      </c>
      <c r="E683" s="219">
        <f>(E623/E612)*SUM(C683:D683)</f>
        <v>325628.6317222311</v>
      </c>
      <c r="F683" s="219">
        <f>(F624/F612)*R64</f>
        <v>1208.0792399160207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146647.70324849052</v>
      </c>
      <c r="L683" s="217">
        <f>(L647/L612)*R94</f>
        <v>0</v>
      </c>
      <c r="M683" s="202">
        <f t="shared" si="24"/>
        <v>482367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366472</v>
      </c>
      <c r="D684" s="217">
        <f>(D615/D612)*S90</f>
        <v>48903.685175024686</v>
      </c>
      <c r="E684" s="219">
        <f>(E623/E612)*SUM(C684:D684)</f>
        <v>98938.05006272858</v>
      </c>
      <c r="F684" s="219">
        <f>(F624/F612)*S64</f>
        <v>996.8167099834609</v>
      </c>
      <c r="G684" s="217">
        <f>(G625/G612)*S91</f>
        <v>0</v>
      </c>
      <c r="H684" s="219">
        <f>(H628/H612)*S60</f>
        <v>4239.2810487386323</v>
      </c>
      <c r="I684" s="217">
        <f>(I629/I612)*S92</f>
        <v>19530.53094083261</v>
      </c>
      <c r="J684" s="217">
        <f>(J630/J612)*S93</f>
        <v>269.76949657703699</v>
      </c>
      <c r="K684" s="217">
        <f>(K644/K612)*S89</f>
        <v>495598.7365455621</v>
      </c>
      <c r="L684" s="217">
        <f>(L647/L612)*S94</f>
        <v>50655.388101289289</v>
      </c>
      <c r="M684" s="202">
        <f t="shared" si="24"/>
        <v>719132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65260</v>
      </c>
      <c r="D685" s="217">
        <f>(D615/D612)*T90</f>
        <v>17485.63886755185</v>
      </c>
      <c r="E685" s="219">
        <f>(E623/E612)*SUM(C685:D685)</f>
        <v>19709.12706963269</v>
      </c>
      <c r="F685" s="219">
        <f>(F624/F612)*T64</f>
        <v>615.8868638229693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20487.305163293138</v>
      </c>
      <c r="L685" s="217">
        <f>(L647/L612)*T94</f>
        <v>0</v>
      </c>
      <c r="M685" s="202">
        <f t="shared" si="24"/>
        <v>58298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5186477</v>
      </c>
      <c r="D686" s="217">
        <f>(D615/D612)*U90</f>
        <v>240778.18226709098</v>
      </c>
      <c r="E686" s="219">
        <f>(E623/E612)*SUM(C686:D686)</f>
        <v>1292714.1960658764</v>
      </c>
      <c r="F686" s="219">
        <f>(F624/F612)*U64</f>
        <v>12735.247735632929</v>
      </c>
      <c r="G686" s="217">
        <f>(G625/G612)*U91</f>
        <v>0</v>
      </c>
      <c r="H686" s="219">
        <f>(H628/H612)*U60</f>
        <v>25191.89377205705</v>
      </c>
      <c r="I686" s="217">
        <f>(I629/I612)*U92</f>
        <v>39786.093192693806</v>
      </c>
      <c r="J686" s="217">
        <f>(J630/J612)*U93</f>
        <v>112.50212630177744</v>
      </c>
      <c r="K686" s="217">
        <f>(K644/K612)*U89</f>
        <v>704176.55586579267</v>
      </c>
      <c r="L686" s="217">
        <f>(L647/L612)*U94</f>
        <v>0</v>
      </c>
      <c r="M686" s="202">
        <f t="shared" si="24"/>
        <v>2315495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247940</v>
      </c>
      <c r="D687" s="217">
        <f>(D615/D612)*V90</f>
        <v>14399.937890925052</v>
      </c>
      <c r="E687" s="219">
        <f>(E623/E612)*SUM(C687:D687)</f>
        <v>62486.570193844535</v>
      </c>
      <c r="F687" s="219">
        <f>(F624/F612)*V64</f>
        <v>45.311212623485339</v>
      </c>
      <c r="G687" s="217">
        <f>(G625/G612)*V91</f>
        <v>0</v>
      </c>
      <c r="H687" s="219">
        <f>(H628/H612)*V60</f>
        <v>2167.0446255532947</v>
      </c>
      <c r="I687" s="217">
        <f>(I629/I612)*V92</f>
        <v>6933.1119117108801</v>
      </c>
      <c r="J687" s="217">
        <f>(J630/J612)*V93</f>
        <v>741.57160740281574</v>
      </c>
      <c r="K687" s="217">
        <f>(K644/K612)*V89</f>
        <v>25207.362171852401</v>
      </c>
      <c r="L687" s="217">
        <f>(L647/L612)*V94</f>
        <v>0</v>
      </c>
      <c r="M687" s="202">
        <f t="shared" si="24"/>
        <v>111981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335964</v>
      </c>
      <c r="D688" s="217">
        <f>(D615/D612)*W90</f>
        <v>86586.639525951934</v>
      </c>
      <c r="E688" s="219">
        <f>(E623/E612)*SUM(C688:D688)</f>
        <v>100647.04752720635</v>
      </c>
      <c r="F688" s="219">
        <f>(F624/F612)*W64</f>
        <v>96.176445136445508</v>
      </c>
      <c r="G688" s="217">
        <f>(G625/G612)*W91</f>
        <v>0</v>
      </c>
      <c r="H688" s="219">
        <f>(H628/H612)*W60</f>
        <v>1896.1640473591326</v>
      </c>
      <c r="I688" s="217">
        <f>(I629/I612)*W92</f>
        <v>7748.7721366180431</v>
      </c>
      <c r="J688" s="217">
        <f>(J630/J612)*W93</f>
        <v>2179.360561866893</v>
      </c>
      <c r="K688" s="217">
        <f>(K644/K612)*W89</f>
        <v>91408.34443698528</v>
      </c>
      <c r="L688" s="217">
        <f>(L647/L612)*W94</f>
        <v>0</v>
      </c>
      <c r="M688" s="202">
        <f t="shared" si="24"/>
        <v>290563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402520</v>
      </c>
      <c r="D689" s="217">
        <f>(D615/D612)*X90</f>
        <v>40768.655327554043</v>
      </c>
      <c r="E689" s="219">
        <f>(E623/E612)*SUM(C689:D689)</f>
        <v>105586.62131260021</v>
      </c>
      <c r="F689" s="219">
        <f>(F624/F612)*X64</f>
        <v>235.87602814778643</v>
      </c>
      <c r="G689" s="217">
        <f>(G625/G612)*X91</f>
        <v>0</v>
      </c>
      <c r="H689" s="219">
        <f>(H628/H612)*X60</f>
        <v>2708.8057819416181</v>
      </c>
      <c r="I689" s="217">
        <f>(I629/I612)*X92</f>
        <v>0</v>
      </c>
      <c r="J689" s="217">
        <f>(J630/J612)*X93</f>
        <v>2808.4300429679311</v>
      </c>
      <c r="K689" s="217">
        <f>(K644/K612)*X89</f>
        <v>340711.70023809018</v>
      </c>
      <c r="L689" s="217">
        <f>(L647/L612)*X94</f>
        <v>0</v>
      </c>
      <c r="M689" s="202">
        <f t="shared" si="24"/>
        <v>492820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4771303</v>
      </c>
      <c r="D690" s="217">
        <f>(D615/D612)*Y90</f>
        <v>349432.25908043451</v>
      </c>
      <c r="E690" s="219">
        <f>(E623/E612)*SUM(C690:D690)</f>
        <v>1219704.4254224969</v>
      </c>
      <c r="F690" s="219">
        <f>(F624/F612)*Y64</f>
        <v>4311.3478961824621</v>
      </c>
      <c r="G690" s="217">
        <f>(G625/G612)*Y91</f>
        <v>0</v>
      </c>
      <c r="H690" s="219">
        <f>(H628/H612)*Y60</f>
        <v>24135.459517099818</v>
      </c>
      <c r="I690" s="217">
        <f>(I629/I612)*Y92</f>
        <v>72367.187732041013</v>
      </c>
      <c r="J690" s="217">
        <f>(J630/J612)*Y93</f>
        <v>22084.579704496562</v>
      </c>
      <c r="K690" s="217">
        <f>(K644/K612)*Y89</f>
        <v>335555.63737327897</v>
      </c>
      <c r="L690" s="217">
        <f>(L647/L612)*Y94</f>
        <v>0</v>
      </c>
      <c r="M690" s="202">
        <f t="shared" si="24"/>
        <v>2027591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4"/>
        <v>0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198899</v>
      </c>
      <c r="D692" s="217">
        <f>(D615/D612)*AA90</f>
        <v>38056.978711730495</v>
      </c>
      <c r="E692" s="219">
        <f>(E623/E612)*SUM(C692:D692)</f>
        <v>56440.382336211085</v>
      </c>
      <c r="F692" s="219">
        <f>(F624/F612)*AA64</f>
        <v>603.09064173948491</v>
      </c>
      <c r="G692" s="217">
        <f>(G625/G612)*AA91</f>
        <v>0</v>
      </c>
      <c r="H692" s="219">
        <f>(H628/H612)*AA60</f>
        <v>920.99396586015018</v>
      </c>
      <c r="I692" s="217">
        <f>(I629/I612)*AA92</f>
        <v>0</v>
      </c>
      <c r="J692" s="217">
        <f>(J630/J612)*AA93</f>
        <v>0</v>
      </c>
      <c r="K692" s="217">
        <f>(K644/K612)*AA89</f>
        <v>11760.128624476463</v>
      </c>
      <c r="L692" s="217">
        <f>(L647/L612)*AA94</f>
        <v>0</v>
      </c>
      <c r="M692" s="202">
        <f t="shared" si="24"/>
        <v>107782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11391785</v>
      </c>
      <c r="D693" s="217">
        <f>(D615/D612)*AB90</f>
        <v>81724.322835509709</v>
      </c>
      <c r="E693" s="219">
        <f>(E623/E612)*SUM(C693:D693)</f>
        <v>2732867.3302087085</v>
      </c>
      <c r="F693" s="219">
        <f>(F624/F612)*AB64</f>
        <v>98767.525275062799</v>
      </c>
      <c r="G693" s="217">
        <f>(G625/G612)*AB91</f>
        <v>0</v>
      </c>
      <c r="H693" s="219">
        <f>(H628/H612)*AB60</f>
        <v>10307.006000287858</v>
      </c>
      <c r="I693" s="217">
        <f>(I629/I612)*AB92</f>
        <v>14953.770789964643</v>
      </c>
      <c r="J693" s="217">
        <f>(J630/J612)*AB93</f>
        <v>0</v>
      </c>
      <c r="K693" s="217">
        <f>(K644/K612)*AB89</f>
        <v>910979.62906563352</v>
      </c>
      <c r="L693" s="217">
        <f>(L647/L612)*AB94</f>
        <v>0</v>
      </c>
      <c r="M693" s="202">
        <f t="shared" si="24"/>
        <v>3849600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1150173</v>
      </c>
      <c r="D694" s="217">
        <f>(D615/D612)*AC90</f>
        <v>30202.467134862283</v>
      </c>
      <c r="E694" s="219">
        <f>(E623/E612)*SUM(C694:D694)</f>
        <v>281152.82436668611</v>
      </c>
      <c r="F694" s="219">
        <f>(F624/F612)*AC64</f>
        <v>700.53572091543276</v>
      </c>
      <c r="G694" s="217">
        <f>(G625/G612)*AC91</f>
        <v>0</v>
      </c>
      <c r="H694" s="219">
        <f>(H628/H612)*AC60</f>
        <v>0</v>
      </c>
      <c r="I694" s="217">
        <f>(I629/I612)*AC92</f>
        <v>21614.995960039803</v>
      </c>
      <c r="J694" s="217">
        <f>(J630/J612)*AC93</f>
        <v>0</v>
      </c>
      <c r="K694" s="217">
        <f>(K644/K612)*AC89</f>
        <v>42824.445816832253</v>
      </c>
      <c r="L694" s="217">
        <f>(L647/L612)*AC94</f>
        <v>0</v>
      </c>
      <c r="M694" s="202">
        <f t="shared" si="24"/>
        <v>376495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486676</v>
      </c>
      <c r="D695" s="217">
        <f>(D615/D612)*AD90</f>
        <v>24872.619993415999</v>
      </c>
      <c r="E695" s="219">
        <f>(E623/E612)*SUM(C695:D695)</f>
        <v>121845.41556182412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35209.158604383651</v>
      </c>
      <c r="L695" s="217">
        <f>(L647/L612)*AD94</f>
        <v>0</v>
      </c>
      <c r="M695" s="202">
        <f t="shared" si="24"/>
        <v>181927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771792</v>
      </c>
      <c r="D696" s="217">
        <f>(D615/D612)*AE90</f>
        <v>27303.778338637112</v>
      </c>
      <c r="E696" s="219">
        <f>(E623/E612)*SUM(C696:D696)</f>
        <v>190336.07633742361</v>
      </c>
      <c r="F696" s="219">
        <f>(F624/F612)*AE64</f>
        <v>520.87916028197083</v>
      </c>
      <c r="G696" s="217">
        <f>(G625/G612)*AE91</f>
        <v>0</v>
      </c>
      <c r="H696" s="219">
        <f>(H628/H612)*AE60</f>
        <v>8668.1785022131789</v>
      </c>
      <c r="I696" s="217">
        <f>(I629/I612)*AE92</f>
        <v>24016.662177822003</v>
      </c>
      <c r="J696" s="217">
        <f>(J630/J612)*AE93</f>
        <v>0</v>
      </c>
      <c r="K696" s="217">
        <f>(K644/K612)*AE89</f>
        <v>91948.31044948005</v>
      </c>
      <c r="L696" s="217">
        <f>(L647/L612)*AE94</f>
        <v>0</v>
      </c>
      <c r="M696" s="202">
        <f t="shared" si="24"/>
        <v>342794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7192940</v>
      </c>
      <c r="D698" s="217">
        <f>(D615/D612)*AG90</f>
        <v>667820.49621419946</v>
      </c>
      <c r="E698" s="219">
        <f>(E623/E612)*SUM(C698:D698)</f>
        <v>1872349.1606829425</v>
      </c>
      <c r="F698" s="219">
        <f>(F624/F612)*AG64</f>
        <v>4915.0878388083065</v>
      </c>
      <c r="G698" s="217">
        <f>(G625/G612)*AG91</f>
        <v>0</v>
      </c>
      <c r="H698" s="219">
        <f>(H628/H612)*AG60</f>
        <v>32356.68506529263</v>
      </c>
      <c r="I698" s="217">
        <f>(I629/I612)*AG92</f>
        <v>189097.22880764381</v>
      </c>
      <c r="J698" s="217">
        <f>(J630/J612)*AG93</f>
        <v>67670.323478703169</v>
      </c>
      <c r="K698" s="217">
        <f>(K644/K612)*AG89</f>
        <v>395486.05578070082</v>
      </c>
      <c r="L698" s="217">
        <f>(L647/L612)*AG94</f>
        <v>386631.70023635821</v>
      </c>
      <c r="M698" s="202">
        <f t="shared" si="24"/>
        <v>3616327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1229352</v>
      </c>
      <c r="D700" s="217">
        <f>(D615/D612)*AI90</f>
        <v>178503.12619335015</v>
      </c>
      <c r="E700" s="219">
        <f>(E623/E612)*SUM(C700:D700)</f>
        <v>335336.04861270264</v>
      </c>
      <c r="F700" s="219">
        <f>(F624/F612)*AI64</f>
        <v>1293.2275592287608</v>
      </c>
      <c r="G700" s="217">
        <f>(G625/G612)*AI91</f>
        <v>267941.5576661611</v>
      </c>
      <c r="H700" s="219">
        <f>(H628/H612)*AI60</f>
        <v>8884.882964768507</v>
      </c>
      <c r="I700" s="217">
        <f>(I629/I612)*AI92</f>
        <v>55283.637465929896</v>
      </c>
      <c r="J700" s="217">
        <f>(J630/J612)*AI93</f>
        <v>15996.506524102993</v>
      </c>
      <c r="K700" s="217">
        <f>(K644/K612)*AI89</f>
        <v>23197.692689867774</v>
      </c>
      <c r="L700" s="217">
        <f>(L647/L612)*AI94</f>
        <v>106165.92522187148</v>
      </c>
      <c r="M700" s="202">
        <f t="shared" si="24"/>
        <v>992603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18139488</v>
      </c>
      <c r="D701" s="217">
        <f>(D615/D612)*AJ90</f>
        <v>1279256.8200373093</v>
      </c>
      <c r="E701" s="219">
        <f>(E623/E612)*SUM(C701:D701)</f>
        <v>4625337.533540641</v>
      </c>
      <c r="F701" s="219">
        <f>(F624/F612)*AJ64</f>
        <v>6676.6511327459493</v>
      </c>
      <c r="G701" s="217">
        <f>(G625/G612)*AJ91</f>
        <v>0</v>
      </c>
      <c r="H701" s="219">
        <f>(H628/H612)*AJ60</f>
        <v>117101.67395333614</v>
      </c>
      <c r="I701" s="217">
        <f>(I629/I612)*AJ92</f>
        <v>459579.22227824671</v>
      </c>
      <c r="J701" s="217">
        <f>(J630/J612)*AJ93</f>
        <v>6740.1142998494206</v>
      </c>
      <c r="K701" s="217">
        <f>(K644/K612)*AJ89</f>
        <v>268253.70312464703</v>
      </c>
      <c r="L701" s="217">
        <f>(L647/L612)*AJ94</f>
        <v>0</v>
      </c>
      <c r="M701" s="202">
        <f t="shared" si="24"/>
        <v>6762946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24"/>
        <v>0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476599</v>
      </c>
      <c r="D703" s="217">
        <f>(D615/D612)*AL90</f>
        <v>0</v>
      </c>
      <c r="E703" s="219">
        <f>(E623/E612)*SUM(C703:D703)</f>
        <v>113520.7895040304</v>
      </c>
      <c r="F703" s="219">
        <f>(F624/F612)*AL64</f>
        <v>501.83966044503006</v>
      </c>
      <c r="G703" s="217">
        <f>(G625/G612)*AL91</f>
        <v>0</v>
      </c>
      <c r="H703" s="219">
        <f>(H628/H612)*AL60</f>
        <v>3128.6706781425682</v>
      </c>
      <c r="I703" s="217">
        <f>(I629/I612)*AL92</f>
        <v>65705.962561965862</v>
      </c>
      <c r="J703" s="217">
        <f>(J630/J612)*AL93</f>
        <v>0</v>
      </c>
      <c r="K703" s="217">
        <f>(K644/K612)*AL89</f>
        <v>28160.42891820689</v>
      </c>
      <c r="L703" s="217">
        <f>(L647/L612)*AL94</f>
        <v>0</v>
      </c>
      <c r="M703" s="202">
        <f t="shared" si="24"/>
        <v>211018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56638.578941203821</v>
      </c>
      <c r="L706" s="217">
        <f>(L647/L612)*AO94</f>
        <v>0</v>
      </c>
      <c r="M706" s="202">
        <f t="shared" si="24"/>
        <v>56639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0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4604624</v>
      </c>
      <c r="D713" s="217">
        <f>(D615/D612)*AV90</f>
        <v>508205.60024141334</v>
      </c>
      <c r="E713" s="219">
        <f>(E623/E612)*SUM(C713:D713)</f>
        <v>1217821.3819562807</v>
      </c>
      <c r="F713" s="219">
        <f>(F624/F612)*AV64</f>
        <v>5106.5317078402941</v>
      </c>
      <c r="G713" s="217">
        <f>(G625/G612)*AV91</f>
        <v>0</v>
      </c>
      <c r="H713" s="219">
        <f>(H628/H612)*AV60</f>
        <v>22374.735758837764</v>
      </c>
      <c r="I713" s="217">
        <f>(I629/I612)*AV92</f>
        <v>61944.862636005055</v>
      </c>
      <c r="J713" s="217">
        <f>(J630/J612)*AV93</f>
        <v>5774.1274562111221</v>
      </c>
      <c r="K713" s="217">
        <f>(K644/K612)*AV89</f>
        <v>208098.60225409086</v>
      </c>
      <c r="L713" s="217">
        <f>(L647/L612)*AV94</f>
        <v>0</v>
      </c>
      <c r="M713" s="202">
        <f t="shared" si="24"/>
        <v>2029326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117064594</v>
      </c>
      <c r="D715" s="202">
        <f>SUM(D616:D647)+SUM(D668:D713)</f>
        <v>8521209.9999999981</v>
      </c>
      <c r="E715" s="202">
        <f>SUM(E624:E647)+SUM(E668:E713)</f>
        <v>22519605.968506534</v>
      </c>
      <c r="F715" s="202">
        <f>SUM(F625:F648)+SUM(F668:F713)</f>
        <v>211096.60858298402</v>
      </c>
      <c r="G715" s="202">
        <f>SUM(G626:G647)+SUM(G668:G713)</f>
        <v>2060852.3182817292</v>
      </c>
      <c r="H715" s="202">
        <f>SUM(H629:H647)+SUM(H668:H713)</f>
        <v>437268.97334992565</v>
      </c>
      <c r="I715" s="202">
        <f>SUM(I630:I647)+SUM(I668:I713)</f>
        <v>1804195.1030377038</v>
      </c>
      <c r="J715" s="202">
        <f>SUM(J631:J647)+SUM(J668:J713)</f>
        <v>305505.70864434144</v>
      </c>
      <c r="K715" s="202">
        <f>SUM(K668:K713)</f>
        <v>5360655.5026001101</v>
      </c>
      <c r="L715" s="202">
        <f>SUM(L668:L713)</f>
        <v>1584073.2866946314</v>
      </c>
      <c r="M715" s="202">
        <f>SUM(M668:M713)</f>
        <v>38031667</v>
      </c>
      <c r="N715" s="211" t="s">
        <v>694</v>
      </c>
    </row>
    <row r="716" spans="1:14" s="202" customFormat="1" ht="12.6" customHeight="1" x14ac:dyDescent="0.2">
      <c r="C716" s="214">
        <f>CE85</f>
        <v>117064594</v>
      </c>
      <c r="D716" s="202">
        <f>D615</f>
        <v>8521210</v>
      </c>
      <c r="E716" s="202">
        <f>E623</f>
        <v>22519605.96850653</v>
      </c>
      <c r="F716" s="202">
        <f>F624</f>
        <v>211096.60858298399</v>
      </c>
      <c r="G716" s="202">
        <f>G625</f>
        <v>2060852.3182817292</v>
      </c>
      <c r="H716" s="202">
        <f>H628</f>
        <v>437268.97334992565</v>
      </c>
      <c r="I716" s="202">
        <f>I629</f>
        <v>1804195.1030377038</v>
      </c>
      <c r="J716" s="202">
        <f>J630</f>
        <v>305505.70864434139</v>
      </c>
      <c r="K716" s="202">
        <f>K644</f>
        <v>5360655.5026001101</v>
      </c>
      <c r="L716" s="202">
        <f>L647</f>
        <v>1584073.2866946312</v>
      </c>
      <c r="M716" s="202">
        <f>C648</f>
        <v>38031664</v>
      </c>
      <c r="N716" s="211" t="s">
        <v>695</v>
      </c>
    </row>
  </sheetData>
  <sheetProtection algorithmName="SHA-512" hashValue="UrjYp9Mxdlsb4/nkyCD6SnkwwMmJZoWQX6tH6lEyeWk9mAKe9ZFuWcK8rPtndveuPwuUZupKP16OsaIITveAkg==" saltValue="qCNc9W6GMh839GVckW7kNA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901</v>
      </c>
      <c r="B1" s="169"/>
      <c r="C1" s="169"/>
    </row>
    <row r="2" spans="1:3" ht="20.100000000000001" customHeight="1" x14ac:dyDescent="0.25">
      <c r="A2" s="168"/>
      <c r="B2" s="169"/>
      <c r="C2" s="94" t="s">
        <v>902</v>
      </c>
    </row>
    <row r="3" spans="1:3" ht="20.100000000000001" customHeight="1" x14ac:dyDescent="0.25">
      <c r="A3" s="120" t="str">
        <f>"Hospital: "&amp;data!C98</f>
        <v>Hospital: Astria Sunnyside Hospital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903</v>
      </c>
      <c r="C4" s="173"/>
    </row>
    <row r="5" spans="1:3" ht="20.100000000000001" customHeight="1" x14ac:dyDescent="0.25">
      <c r="A5" s="174">
        <v>1</v>
      </c>
      <c r="B5" s="175" t="s">
        <v>420</v>
      </c>
      <c r="C5" s="175"/>
    </row>
    <row r="6" spans="1:3" ht="20.100000000000001" customHeight="1" x14ac:dyDescent="0.25">
      <c r="A6" s="174">
        <v>2</v>
      </c>
      <c r="B6" s="176" t="s">
        <v>421</v>
      </c>
      <c r="C6" s="176">
        <f>data!C266</f>
        <v>6693322</v>
      </c>
    </row>
    <row r="7" spans="1:3" ht="20.100000000000001" customHeight="1" x14ac:dyDescent="0.25">
      <c r="A7" s="174">
        <v>3</v>
      </c>
      <c r="B7" s="176" t="s">
        <v>422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423</v>
      </c>
      <c r="C8" s="176">
        <f>data!C268</f>
        <v>79557888</v>
      </c>
    </row>
    <row r="9" spans="1:3" ht="20.100000000000001" customHeight="1" x14ac:dyDescent="0.25">
      <c r="A9" s="174">
        <v>5</v>
      </c>
      <c r="B9" s="176" t="s">
        <v>904</v>
      </c>
      <c r="C9" s="176">
        <f>data!C269</f>
        <v>55584294</v>
      </c>
    </row>
    <row r="10" spans="1:3" ht="20.100000000000001" customHeight="1" x14ac:dyDescent="0.25">
      <c r="A10" s="174">
        <v>6</v>
      </c>
      <c r="B10" s="176" t="s">
        <v>905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906</v>
      </c>
      <c r="C11" s="176">
        <f>data!C271</f>
        <v>29992879</v>
      </c>
    </row>
    <row r="12" spans="1:3" ht="20.100000000000001" customHeight="1" x14ac:dyDescent="0.25">
      <c r="A12" s="174">
        <v>8</v>
      </c>
      <c r="B12" s="176" t="s">
        <v>427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428</v>
      </c>
      <c r="C13" s="176">
        <f>data!C273</f>
        <v>3031920</v>
      </c>
    </row>
    <row r="14" spans="1:3" ht="20.100000000000001" customHeight="1" x14ac:dyDescent="0.25">
      <c r="A14" s="174">
        <v>10</v>
      </c>
      <c r="B14" s="176" t="s">
        <v>429</v>
      </c>
      <c r="C14" s="176">
        <f>data!C274</f>
        <v>395510</v>
      </c>
    </row>
    <row r="15" spans="1:3" ht="20.100000000000001" customHeight="1" x14ac:dyDescent="0.25">
      <c r="A15" s="174">
        <v>11</v>
      </c>
      <c r="B15" s="176" t="s">
        <v>907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908</v>
      </c>
      <c r="C16" s="176">
        <f>data!D276</f>
        <v>64087225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909</v>
      </c>
      <c r="C18" s="175"/>
    </row>
    <row r="19" spans="1:3" ht="20.100000000000001" customHeight="1" x14ac:dyDescent="0.25">
      <c r="A19" s="174">
        <v>15</v>
      </c>
      <c r="B19" s="176" t="s">
        <v>421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422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433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910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911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4563309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1471477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25334748</v>
      </c>
    </row>
    <row r="28" spans="1:3" ht="20.100000000000001" customHeight="1" x14ac:dyDescent="0.25">
      <c r="A28" s="174">
        <v>24</v>
      </c>
      <c r="B28" s="176" t="s">
        <v>912</v>
      </c>
      <c r="C28" s="176">
        <f>data!C286</f>
        <v>2930903</v>
      </c>
    </row>
    <row r="29" spans="1:3" ht="20.100000000000001" customHeight="1" x14ac:dyDescent="0.25">
      <c r="A29" s="174">
        <v>25</v>
      </c>
      <c r="B29" s="176" t="s">
        <v>394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438</v>
      </c>
      <c r="C30" s="176">
        <f>data!C288</f>
        <v>27820918</v>
      </c>
    </row>
    <row r="31" spans="1:3" ht="20.100000000000001" customHeight="1" x14ac:dyDescent="0.25">
      <c r="A31" s="174">
        <v>27</v>
      </c>
      <c r="B31" s="176" t="s">
        <v>397</v>
      </c>
      <c r="C31" s="176">
        <f>data!C289</f>
        <v>6014283</v>
      </c>
    </row>
    <row r="32" spans="1:3" ht="20.100000000000001" customHeight="1" x14ac:dyDescent="0.25">
      <c r="A32" s="174">
        <v>28</v>
      </c>
      <c r="B32" s="176" t="s">
        <v>398</v>
      </c>
      <c r="C32" s="176">
        <f>data!C290</f>
        <v>0</v>
      </c>
    </row>
    <row r="33" spans="1:3" ht="20.100000000000001" customHeight="1" x14ac:dyDescent="0.25">
      <c r="A33" s="174">
        <v>29</v>
      </c>
      <c r="B33" s="176" t="s">
        <v>612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913</v>
      </c>
      <c r="C34" s="176">
        <f>data!C292</f>
        <v>49042228</v>
      </c>
    </row>
    <row r="35" spans="1:3" ht="20.100000000000001" customHeight="1" x14ac:dyDescent="0.25">
      <c r="A35" s="174">
        <v>31</v>
      </c>
      <c r="B35" s="176" t="s">
        <v>914</v>
      </c>
      <c r="C35" s="176">
        <f>data!D293</f>
        <v>19093410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915</v>
      </c>
      <c r="C37" s="175"/>
    </row>
    <row r="38" spans="1:3" ht="20.100000000000001" customHeight="1" x14ac:dyDescent="0.25">
      <c r="A38" s="174">
        <v>34</v>
      </c>
      <c r="B38" s="176" t="s">
        <v>916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917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445</v>
      </c>
      <c r="C40" s="176">
        <f>data!C297</f>
        <v>789793</v>
      </c>
    </row>
    <row r="41" spans="1:3" ht="20.100000000000001" customHeight="1" x14ac:dyDescent="0.25">
      <c r="A41" s="174">
        <v>37</v>
      </c>
      <c r="B41" s="176" t="s">
        <v>433</v>
      </c>
      <c r="C41" s="176">
        <f>data!C298</f>
        <v>0</v>
      </c>
    </row>
    <row r="42" spans="1:3" ht="20.100000000000001" customHeight="1" x14ac:dyDescent="0.25">
      <c r="A42" s="174">
        <v>38</v>
      </c>
      <c r="B42" s="176" t="s">
        <v>918</v>
      </c>
      <c r="C42" s="176">
        <f>data!D299</f>
        <v>789793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919</v>
      </c>
      <c r="C44" s="175"/>
    </row>
    <row r="45" spans="1:3" ht="20.100000000000001" customHeight="1" x14ac:dyDescent="0.25">
      <c r="A45" s="174">
        <v>41</v>
      </c>
      <c r="B45" s="176" t="s">
        <v>448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449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920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451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921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922</v>
      </c>
      <c r="C50" s="176">
        <f>data!D308</f>
        <v>83970428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923</v>
      </c>
      <c r="B53" s="169"/>
      <c r="C53" s="169"/>
    </row>
    <row r="54" spans="1:3" ht="20.100000000000001" customHeight="1" x14ac:dyDescent="0.25">
      <c r="A54" s="168"/>
      <c r="B54" s="169"/>
      <c r="C54" s="94" t="s">
        <v>924</v>
      </c>
    </row>
    <row r="55" spans="1:3" ht="20.100000000000001" customHeight="1" x14ac:dyDescent="0.25">
      <c r="A55" s="120" t="str">
        <f>"Hospital: "&amp;data!C98</f>
        <v>Hospital: Astria Sunnyside Hospital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925</v>
      </c>
      <c r="C56" s="173"/>
    </row>
    <row r="57" spans="1:3" ht="20.100000000000001" customHeight="1" x14ac:dyDescent="0.25">
      <c r="A57" s="183">
        <v>1</v>
      </c>
      <c r="B57" s="168" t="s">
        <v>455</v>
      </c>
      <c r="C57" s="184"/>
    </row>
    <row r="58" spans="1:3" ht="20.100000000000001" customHeight="1" x14ac:dyDescent="0.25">
      <c r="A58" s="174">
        <v>2</v>
      </c>
      <c r="B58" s="176" t="s">
        <v>456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926</v>
      </c>
      <c r="C59" s="176">
        <f>data!C315</f>
        <v>7641155</v>
      </c>
    </row>
    <row r="60" spans="1:3" ht="20.100000000000001" customHeight="1" x14ac:dyDescent="0.25">
      <c r="A60" s="174">
        <v>4</v>
      </c>
      <c r="B60" s="176" t="s">
        <v>927</v>
      </c>
      <c r="C60" s="176">
        <f>data!C316</f>
        <v>2547380</v>
      </c>
    </row>
    <row r="61" spans="1:3" ht="20.100000000000001" customHeight="1" x14ac:dyDescent="0.25">
      <c r="A61" s="174">
        <v>5</v>
      </c>
      <c r="B61" s="176" t="s">
        <v>459</v>
      </c>
      <c r="C61" s="176" t="str">
        <f>data!C317</f>
        <v xml:space="preserve"> </v>
      </c>
    </row>
    <row r="62" spans="1:3" ht="20.100000000000001" customHeight="1" x14ac:dyDescent="0.25">
      <c r="A62" s="174">
        <v>6</v>
      </c>
      <c r="B62" s="176" t="s">
        <v>928</v>
      </c>
      <c r="C62" s="176" t="str">
        <f>data!C318</f>
        <v xml:space="preserve"> </v>
      </c>
    </row>
    <row r="63" spans="1:3" ht="20.100000000000001" customHeight="1" x14ac:dyDescent="0.25">
      <c r="A63" s="174">
        <v>7</v>
      </c>
      <c r="B63" s="176" t="s">
        <v>929</v>
      </c>
      <c r="C63" s="176">
        <f>data!C319</f>
        <v>5851000</v>
      </c>
    </row>
    <row r="64" spans="1:3" ht="20.100000000000001" customHeight="1" x14ac:dyDescent="0.25">
      <c r="A64" s="174">
        <v>8</v>
      </c>
      <c r="B64" s="176" t="s">
        <v>462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463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464</v>
      </c>
      <c r="C66" s="176">
        <f>data!C322</f>
        <v>973620</v>
      </c>
    </row>
    <row r="67" spans="1:3" ht="20.100000000000001" customHeight="1" x14ac:dyDescent="0.25">
      <c r="A67" s="174">
        <v>11</v>
      </c>
      <c r="B67" s="176" t="s">
        <v>930</v>
      </c>
      <c r="C67" s="176">
        <f>data!C323</f>
        <v>1283744</v>
      </c>
    </row>
    <row r="68" spans="1:3" ht="20.100000000000001" customHeight="1" x14ac:dyDescent="0.25">
      <c r="A68" s="174">
        <v>12</v>
      </c>
      <c r="B68" s="176" t="s">
        <v>931</v>
      </c>
      <c r="C68" s="176">
        <f>data!D324</f>
        <v>18296899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932</v>
      </c>
      <c r="C70" s="175"/>
    </row>
    <row r="71" spans="1:3" ht="20.100000000000001" customHeight="1" x14ac:dyDescent="0.25">
      <c r="A71" s="174">
        <v>15</v>
      </c>
      <c r="B71" s="176" t="s">
        <v>468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933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470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934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472</v>
      </c>
      <c r="C76" s="175"/>
    </row>
    <row r="77" spans="1:3" ht="20.100000000000001" customHeight="1" x14ac:dyDescent="0.25">
      <c r="A77" s="174">
        <v>21</v>
      </c>
      <c r="B77" s="176" t="s">
        <v>473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935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475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936</v>
      </c>
      <c r="C80" s="176">
        <f>data!C334</f>
        <v>6083352</v>
      </c>
    </row>
    <row r="81" spans="1:3" ht="20.100000000000001" customHeight="1" x14ac:dyDescent="0.25">
      <c r="A81" s="174">
        <v>25</v>
      </c>
      <c r="B81" s="176" t="s">
        <v>477</v>
      </c>
      <c r="C81" s="176" t="str">
        <f>data!C335</f>
        <v xml:space="preserve"> </v>
      </c>
    </row>
    <row r="82" spans="1:3" ht="20.100000000000001" customHeight="1" x14ac:dyDescent="0.25">
      <c r="A82" s="174">
        <v>26</v>
      </c>
      <c r="B82" s="176" t="s">
        <v>937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479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480</v>
      </c>
      <c r="C84" s="176" t="str">
        <f>data!C338</f>
        <v xml:space="preserve"> </v>
      </c>
    </row>
    <row r="85" spans="1:3" ht="20.100000000000001" customHeight="1" x14ac:dyDescent="0.25">
      <c r="A85" s="174">
        <v>29</v>
      </c>
      <c r="B85" s="176" t="s">
        <v>612</v>
      </c>
      <c r="C85" s="176">
        <f>data!D339</f>
        <v>6083352</v>
      </c>
    </row>
    <row r="86" spans="1:3" ht="20.100000000000001" customHeight="1" x14ac:dyDescent="0.25">
      <c r="A86" s="174">
        <v>30</v>
      </c>
      <c r="B86" s="176" t="s">
        <v>938</v>
      </c>
      <c r="C86" s="176">
        <f>data!D340</f>
        <v>1283744</v>
      </c>
    </row>
    <row r="87" spans="1:3" ht="20.100000000000001" customHeight="1" x14ac:dyDescent="0.25">
      <c r="A87" s="174">
        <v>31</v>
      </c>
      <c r="B87" s="176" t="s">
        <v>939</v>
      </c>
      <c r="C87" s="176">
        <f>data!D341</f>
        <v>4799608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940</v>
      </c>
      <c r="C89" s="176">
        <f>data!C343</f>
        <v>0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941</v>
      </c>
      <c r="C91" s="175"/>
    </row>
    <row r="92" spans="1:3" ht="20.100000000000001" customHeight="1" x14ac:dyDescent="0.25">
      <c r="A92" s="174">
        <v>36</v>
      </c>
      <c r="B92" s="176" t="s">
        <v>484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485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942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943</v>
      </c>
      <c r="C98" s="176">
        <f>data!C348</f>
        <v>53623640</v>
      </c>
    </row>
    <row r="99" spans="1:3" ht="20.100000000000001" customHeight="1" x14ac:dyDescent="0.25">
      <c r="A99" s="174">
        <v>43</v>
      </c>
      <c r="B99" s="176" t="s">
        <v>944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945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946</v>
      </c>
      <c r="C102" s="176">
        <f>data!C343+data!C345+data!C346+data!C347+data!C348-data!C349</f>
        <v>53623640</v>
      </c>
    </row>
    <row r="103" spans="1:3" ht="20.100000000000001" customHeight="1" x14ac:dyDescent="0.25">
      <c r="A103" s="174">
        <v>47</v>
      </c>
      <c r="B103" s="176" t="s">
        <v>947</v>
      </c>
      <c r="C103" s="176">
        <f>data!D352</f>
        <v>83970428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948</v>
      </c>
      <c r="B106" s="169"/>
      <c r="C106" s="169"/>
    </row>
    <row r="107" spans="1:3" ht="20.100000000000001" customHeight="1" x14ac:dyDescent="0.25">
      <c r="A107" s="170"/>
      <c r="C107" s="94" t="s">
        <v>949</v>
      </c>
    </row>
    <row r="108" spans="1:3" ht="20.100000000000001" customHeight="1" x14ac:dyDescent="0.25">
      <c r="A108" s="120" t="str">
        <f>"Hospital: "&amp;data!C98</f>
        <v>Hospital: Astria Sunnyside Hospital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950</v>
      </c>
      <c r="C110" s="175"/>
    </row>
    <row r="111" spans="1:3" ht="20.100000000000001" customHeight="1" x14ac:dyDescent="0.25">
      <c r="A111" s="174">
        <v>2</v>
      </c>
      <c r="B111" s="176" t="s">
        <v>493</v>
      </c>
      <c r="C111" s="176">
        <f>data!C358</f>
        <v>71135908</v>
      </c>
    </row>
    <row r="112" spans="1:3" ht="20.100000000000001" customHeight="1" x14ac:dyDescent="0.25">
      <c r="A112" s="174">
        <v>3</v>
      </c>
      <c r="B112" s="176" t="s">
        <v>494</v>
      </c>
      <c r="C112" s="176">
        <f>data!C359</f>
        <v>267539856</v>
      </c>
    </row>
    <row r="113" spans="1:3" ht="20.100000000000001" customHeight="1" x14ac:dyDescent="0.25">
      <c r="A113" s="174">
        <v>4</v>
      </c>
      <c r="B113" s="176" t="s">
        <v>951</v>
      </c>
      <c r="C113" s="176">
        <f>data!D360</f>
        <v>338675764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952</v>
      </c>
      <c r="C115" s="175"/>
    </row>
    <row r="116" spans="1:3" ht="20.100000000000001" customHeight="1" x14ac:dyDescent="0.25">
      <c r="A116" s="174">
        <v>7</v>
      </c>
      <c r="B116" s="188" t="s">
        <v>953</v>
      </c>
      <c r="C116" s="189">
        <f>data!C362</f>
        <v>763451</v>
      </c>
    </row>
    <row r="117" spans="1:3" ht="20.100000000000001" customHeight="1" x14ac:dyDescent="0.25">
      <c r="A117" s="174">
        <v>8</v>
      </c>
      <c r="B117" s="176" t="s">
        <v>497</v>
      </c>
      <c r="C117" s="189">
        <f>data!C363</f>
        <v>206127491</v>
      </c>
    </row>
    <row r="118" spans="1:3" ht="20.100000000000001" customHeight="1" x14ac:dyDescent="0.25">
      <c r="A118" s="174">
        <v>9</v>
      </c>
      <c r="B118" s="176" t="s">
        <v>954</v>
      </c>
      <c r="C118" s="189">
        <f>data!C364</f>
        <v>8111157</v>
      </c>
    </row>
    <row r="119" spans="1:3" ht="20.100000000000001" customHeight="1" x14ac:dyDescent="0.25">
      <c r="A119" s="174">
        <v>10</v>
      </c>
      <c r="B119" s="176" t="s">
        <v>955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899</v>
      </c>
      <c r="C120" s="189">
        <f>data!D366</f>
        <v>215002099</v>
      </c>
    </row>
    <row r="121" spans="1:3" ht="20.100000000000001" customHeight="1" x14ac:dyDescent="0.25">
      <c r="A121" s="174">
        <v>12</v>
      </c>
      <c r="B121" s="176" t="s">
        <v>956</v>
      </c>
      <c r="C121" s="189">
        <f>data!D367</f>
        <v>123673665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501</v>
      </c>
      <c r="C123" s="175"/>
    </row>
    <row r="124" spans="1:3" ht="20.100000000000001" customHeight="1" x14ac:dyDescent="0.25">
      <c r="A124" s="174">
        <v>15</v>
      </c>
      <c r="B124" s="190" t="s">
        <v>502</v>
      </c>
      <c r="C124" s="191"/>
    </row>
    <row r="125" spans="1:3" ht="20.100000000000001" customHeight="1" x14ac:dyDescent="0.25">
      <c r="A125" s="195" t="s">
        <v>957</v>
      </c>
      <c r="B125" s="192" t="s">
        <v>503</v>
      </c>
      <c r="C125" s="191">
        <f>data!C370</f>
        <v>0</v>
      </c>
    </row>
    <row r="126" spans="1:3" ht="20.100000000000001" customHeight="1" x14ac:dyDescent="0.25">
      <c r="A126" s="195" t="s">
        <v>958</v>
      </c>
      <c r="B126" s="192" t="s">
        <v>504</v>
      </c>
      <c r="C126" s="191">
        <f>data!C371</f>
        <v>98710</v>
      </c>
    </row>
    <row r="127" spans="1:3" ht="20.100000000000001" customHeight="1" x14ac:dyDescent="0.25">
      <c r="A127" s="195" t="s">
        <v>959</v>
      </c>
      <c r="B127" s="192" t="s">
        <v>505</v>
      </c>
      <c r="C127" s="191">
        <f>data!C372</f>
        <v>0</v>
      </c>
    </row>
    <row r="128" spans="1:3" ht="20.100000000000001" customHeight="1" x14ac:dyDescent="0.25">
      <c r="A128" s="195" t="s">
        <v>960</v>
      </c>
      <c r="B128" s="192" t="s">
        <v>506</v>
      </c>
      <c r="C128" s="191">
        <f>data!C373</f>
        <v>0</v>
      </c>
    </row>
    <row r="129" spans="1:3" ht="20.100000000000001" customHeight="1" x14ac:dyDescent="0.25">
      <c r="A129" s="195" t="s">
        <v>961</v>
      </c>
      <c r="B129" s="192" t="s">
        <v>507</v>
      </c>
      <c r="C129" s="191">
        <f>data!C374</f>
        <v>8114</v>
      </c>
    </row>
    <row r="130" spans="1:3" ht="20.100000000000001" customHeight="1" x14ac:dyDescent="0.25">
      <c r="A130" s="195" t="s">
        <v>962</v>
      </c>
      <c r="B130" s="192" t="s">
        <v>508</v>
      </c>
      <c r="C130" s="191">
        <f>data!C375</f>
        <v>0</v>
      </c>
    </row>
    <row r="131" spans="1:3" ht="20.100000000000001" customHeight="1" x14ac:dyDescent="0.25">
      <c r="A131" s="195" t="s">
        <v>963</v>
      </c>
      <c r="B131" s="192" t="s">
        <v>509</v>
      </c>
      <c r="C131" s="191">
        <f>data!C376</f>
        <v>0</v>
      </c>
    </row>
    <row r="132" spans="1:3" ht="20.100000000000001" customHeight="1" x14ac:dyDescent="0.25">
      <c r="A132" s="195" t="s">
        <v>964</v>
      </c>
      <c r="B132" s="192" t="s">
        <v>510</v>
      </c>
      <c r="C132" s="191">
        <f>data!C377</f>
        <v>0</v>
      </c>
    </row>
    <row r="133" spans="1:3" ht="20.100000000000001" customHeight="1" x14ac:dyDescent="0.25">
      <c r="A133" s="195" t="s">
        <v>965</v>
      </c>
      <c r="B133" s="192" t="s">
        <v>511</v>
      </c>
      <c r="C133" s="191">
        <f>data!C378</f>
        <v>0</v>
      </c>
    </row>
    <row r="134" spans="1:3" ht="20.100000000000001" customHeight="1" x14ac:dyDescent="0.25">
      <c r="A134" s="195" t="s">
        <v>966</v>
      </c>
      <c r="B134" s="192" t="s">
        <v>512</v>
      </c>
      <c r="C134" s="191">
        <f>data!C379</f>
        <v>583448</v>
      </c>
    </row>
    <row r="135" spans="1:3" ht="20.100000000000001" customHeight="1" x14ac:dyDescent="0.25">
      <c r="A135" s="195" t="s">
        <v>967</v>
      </c>
      <c r="B135" s="192" t="s">
        <v>513</v>
      </c>
      <c r="C135" s="191">
        <f>data!C380</f>
        <v>67185</v>
      </c>
    </row>
    <row r="136" spans="1:3" ht="20.100000000000001" customHeight="1" x14ac:dyDescent="0.25">
      <c r="A136" s="174">
        <v>16</v>
      </c>
      <c r="B136" s="176" t="s">
        <v>515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968</v>
      </c>
      <c r="C137" s="189">
        <f>data!D383</f>
        <v>757457</v>
      </c>
    </row>
    <row r="138" spans="1:3" ht="20.100000000000001" customHeight="1" x14ac:dyDescent="0.25">
      <c r="A138" s="174">
        <v>18</v>
      </c>
      <c r="B138" s="176" t="s">
        <v>969</v>
      </c>
      <c r="C138" s="189">
        <f>data!D384</f>
        <v>124431122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970</v>
      </c>
      <c r="C140" s="175"/>
    </row>
    <row r="141" spans="1:3" ht="20.100000000000001" customHeight="1" x14ac:dyDescent="0.25">
      <c r="A141" s="174">
        <v>21</v>
      </c>
      <c r="B141" s="176" t="s">
        <v>519</v>
      </c>
      <c r="C141" s="189">
        <f>data!C389</f>
        <v>36602180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9188423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1172145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21103097</v>
      </c>
    </row>
    <row r="145" spans="1:3" ht="20.100000000000001" customHeight="1" x14ac:dyDescent="0.25">
      <c r="A145" s="174">
        <v>25</v>
      </c>
      <c r="B145" s="176" t="s">
        <v>971</v>
      </c>
      <c r="C145" s="189">
        <f>data!C393</f>
        <v>856409</v>
      </c>
    </row>
    <row r="146" spans="1:3" ht="20.100000000000001" customHeight="1" x14ac:dyDescent="0.25">
      <c r="A146" s="174">
        <v>26</v>
      </c>
      <c r="B146" s="176" t="s">
        <v>972</v>
      </c>
      <c r="C146" s="189">
        <f>data!C394</f>
        <v>10843696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2303886</v>
      </c>
    </row>
    <row r="148" spans="1:3" ht="20.100000000000001" customHeight="1" x14ac:dyDescent="0.25">
      <c r="A148" s="174">
        <v>28</v>
      </c>
      <c r="B148" s="176" t="s">
        <v>973</v>
      </c>
      <c r="C148" s="189">
        <f>data!C396</f>
        <v>1088032</v>
      </c>
    </row>
    <row r="149" spans="1:3" ht="20.100000000000001" customHeight="1" x14ac:dyDescent="0.25">
      <c r="A149" s="174">
        <v>29</v>
      </c>
      <c r="B149" s="176" t="s">
        <v>524</v>
      </c>
      <c r="C149" s="189">
        <f>data!C397</f>
        <v>1920042</v>
      </c>
    </row>
    <row r="150" spans="1:3" ht="20.100000000000001" customHeight="1" x14ac:dyDescent="0.25">
      <c r="A150" s="174">
        <v>30</v>
      </c>
      <c r="B150" s="176" t="s">
        <v>974</v>
      </c>
      <c r="C150" s="189">
        <f>data!C398</f>
        <v>1028970</v>
      </c>
    </row>
    <row r="151" spans="1:3" ht="20.100000000000001" customHeight="1" x14ac:dyDescent="0.25">
      <c r="A151" s="174">
        <v>31</v>
      </c>
      <c r="B151" s="176" t="s">
        <v>526</v>
      </c>
      <c r="C151" s="189">
        <f>data!C399</f>
        <v>4620689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975</v>
      </c>
      <c r="B153" s="193" t="s">
        <v>269</v>
      </c>
      <c r="C153" s="189">
        <f>data!C401</f>
        <v>441818</v>
      </c>
    </row>
    <row r="154" spans="1:3" ht="20.100000000000001" customHeight="1" x14ac:dyDescent="0.25">
      <c r="A154" s="195" t="s">
        <v>976</v>
      </c>
      <c r="B154" s="193" t="s">
        <v>270</v>
      </c>
      <c r="C154" s="189">
        <f>data!C402</f>
        <v>4059886</v>
      </c>
    </row>
    <row r="155" spans="1:3" ht="20.100000000000001" customHeight="1" x14ac:dyDescent="0.25">
      <c r="A155" s="195" t="s">
        <v>977</v>
      </c>
      <c r="B155" s="193" t="s">
        <v>978</v>
      </c>
      <c r="C155" s="189">
        <f>data!C403</f>
        <v>0</v>
      </c>
    </row>
    <row r="156" spans="1:3" ht="20.100000000000001" customHeight="1" x14ac:dyDescent="0.25">
      <c r="A156" s="195" t="s">
        <v>979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980</v>
      </c>
      <c r="B157" s="193" t="s">
        <v>273</v>
      </c>
      <c r="C157" s="189">
        <f>data!C405</f>
        <v>244254</v>
      </c>
    </row>
    <row r="158" spans="1:3" ht="20.100000000000001" customHeight="1" x14ac:dyDescent="0.25">
      <c r="A158" s="195" t="s">
        <v>981</v>
      </c>
      <c r="B158" s="193" t="s">
        <v>274</v>
      </c>
      <c r="C158" s="189">
        <f>data!C406</f>
        <v>498498</v>
      </c>
    </row>
    <row r="159" spans="1:3" ht="20.100000000000001" customHeight="1" x14ac:dyDescent="0.25">
      <c r="A159" s="195" t="s">
        <v>982</v>
      </c>
      <c r="B159" s="193" t="s">
        <v>275</v>
      </c>
      <c r="C159" s="189">
        <f>data!C407</f>
        <v>1304063</v>
      </c>
    </row>
    <row r="160" spans="1:3" ht="20.100000000000001" customHeight="1" x14ac:dyDescent="0.25">
      <c r="A160" s="195" t="s">
        <v>983</v>
      </c>
      <c r="B160" s="193" t="s">
        <v>276</v>
      </c>
      <c r="C160" s="189">
        <f>data!C408</f>
        <v>567748</v>
      </c>
    </row>
    <row r="161" spans="1:3" ht="20.100000000000001" customHeight="1" x14ac:dyDescent="0.25">
      <c r="A161" s="195" t="s">
        <v>984</v>
      </c>
      <c r="B161" s="193" t="s">
        <v>277</v>
      </c>
      <c r="C161" s="189">
        <f>data!C409</f>
        <v>17378936</v>
      </c>
    </row>
    <row r="162" spans="1:3" ht="20.100000000000001" customHeight="1" x14ac:dyDescent="0.25">
      <c r="A162" s="195" t="s">
        <v>985</v>
      </c>
      <c r="B162" s="193" t="s">
        <v>278</v>
      </c>
      <c r="C162" s="189">
        <f>data!C410</f>
        <v>85617</v>
      </c>
    </row>
    <row r="163" spans="1:3" ht="20.100000000000001" customHeight="1" x14ac:dyDescent="0.25">
      <c r="A163" s="195" t="s">
        <v>986</v>
      </c>
      <c r="B163" s="193" t="s">
        <v>279</v>
      </c>
      <c r="C163" s="189">
        <f>data!C411</f>
        <v>90902</v>
      </c>
    </row>
    <row r="164" spans="1:3" ht="20.100000000000001" customHeight="1" x14ac:dyDescent="0.25">
      <c r="A164" s="195" t="s">
        <v>987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988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989</v>
      </c>
      <c r="B166" s="193" t="s">
        <v>990</v>
      </c>
      <c r="C166" s="189">
        <f>data!C414</f>
        <v>1665303</v>
      </c>
    </row>
    <row r="167" spans="1:3" ht="20.100000000000001" customHeight="1" x14ac:dyDescent="0.25">
      <c r="A167" s="174">
        <v>34</v>
      </c>
      <c r="B167" s="176" t="s">
        <v>991</v>
      </c>
      <c r="C167" s="189">
        <f>data!D416</f>
        <v>117064594</v>
      </c>
    </row>
    <row r="168" spans="1:3" ht="20.100000000000001" customHeight="1" x14ac:dyDescent="0.25">
      <c r="A168" s="174">
        <v>35</v>
      </c>
      <c r="B168" s="176" t="s">
        <v>992</v>
      </c>
      <c r="C168" s="189">
        <f>data!D417</f>
        <v>7366528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993</v>
      </c>
      <c r="C170" s="189">
        <f>data!D420</f>
        <v>-116247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994</v>
      </c>
      <c r="C172" s="176">
        <f>data!D421</f>
        <v>7250281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995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996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997</v>
      </c>
      <c r="C177" s="189">
        <f>data!D424</f>
        <v>7250281</v>
      </c>
    </row>
    <row r="178" spans="1:3" ht="20.100000000000001" customHeight="1" x14ac:dyDescent="0.25">
      <c r="A178" s="179">
        <v>45</v>
      </c>
      <c r="B178" s="178" t="s">
        <v>998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999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1000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Astria Sunnyside Hospital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1001</v>
      </c>
      <c r="C6" s="243" t="s">
        <v>117</v>
      </c>
      <c r="D6" s="244" t="s">
        <v>1002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1003</v>
      </c>
      <c r="E7" s="244" t="s">
        <v>189</v>
      </c>
      <c r="F7" s="244" t="s">
        <v>1004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1005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0</v>
      </c>
      <c r="D9" s="238">
        <f>data!D59</f>
        <v>0</v>
      </c>
      <c r="E9" s="238">
        <f>data!E59</f>
        <v>0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13.25</v>
      </c>
      <c r="D10" s="245">
        <f>data!D60</f>
        <v>0</v>
      </c>
      <c r="E10" s="245">
        <f>data!E60</f>
        <v>35.22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1648706</v>
      </c>
      <c r="D11" s="238">
        <f>data!D61</f>
        <v>0</v>
      </c>
      <c r="E11" s="238">
        <f>data!E61</f>
        <v>4002720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420742</v>
      </c>
      <c r="D12" s="238">
        <f>data!D62</f>
        <v>0</v>
      </c>
      <c r="E12" s="238">
        <f>data!E62</f>
        <v>1033662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0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110772</v>
      </c>
      <c r="D14" s="238">
        <f>data!D64</f>
        <v>0</v>
      </c>
      <c r="E14" s="238">
        <f>data!E64</f>
        <v>308418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521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522</v>
      </c>
      <c r="C16" s="238">
        <f>data!C66</f>
        <v>5954</v>
      </c>
      <c r="D16" s="238">
        <f>data!D66</f>
        <v>0</v>
      </c>
      <c r="E16" s="238">
        <f>data!E66</f>
        <v>1450172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55926</v>
      </c>
      <c r="D17" s="238">
        <f>data!D67</f>
        <v>0</v>
      </c>
      <c r="E17" s="238">
        <f>data!E67</f>
        <v>412514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1006</v>
      </c>
      <c r="C18" s="238">
        <f>data!C68</f>
        <v>-2810</v>
      </c>
      <c r="D18" s="238">
        <f>data!D68</f>
        <v>0</v>
      </c>
      <c r="E18" s="238">
        <f>data!E68</f>
        <v>23338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1007</v>
      </c>
      <c r="C19" s="238">
        <f>data!C69</f>
        <v>223526</v>
      </c>
      <c r="D19" s="238">
        <f>data!D69</f>
        <v>0</v>
      </c>
      <c r="E19" s="238">
        <f>data!E69</f>
        <v>1313550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1008</v>
      </c>
      <c r="C21" s="238">
        <f>data!C85</f>
        <v>2462816</v>
      </c>
      <c r="D21" s="238">
        <f>data!D85</f>
        <v>0</v>
      </c>
      <c r="E21" s="238">
        <f>data!E85</f>
        <v>8544374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1009</v>
      </c>
      <c r="C23" s="246">
        <f>+data!M668</f>
        <v>1637413</v>
      </c>
      <c r="D23" s="246">
        <f>+data!M669</f>
        <v>0</v>
      </c>
      <c r="E23" s="246">
        <f>+data!M670</f>
        <v>7159943</v>
      </c>
      <c r="F23" s="246">
        <f>+data!M671</f>
        <v>0</v>
      </c>
      <c r="G23" s="246">
        <f>+data!M672</f>
        <v>0</v>
      </c>
      <c r="H23" s="246">
        <f>+data!M673</f>
        <v>0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1010</v>
      </c>
      <c r="C24" s="238">
        <f>data!C87</f>
        <v>5015307</v>
      </c>
      <c r="D24" s="238">
        <f>data!D87</f>
        <v>0</v>
      </c>
      <c r="E24" s="238">
        <f>data!E87</f>
        <v>15405011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1011</v>
      </c>
      <c r="C25" s="238">
        <f>data!C88</f>
        <v>1545</v>
      </c>
      <c r="D25" s="238">
        <f>data!D88</f>
        <v>0</v>
      </c>
      <c r="E25" s="238">
        <f>data!E88</f>
        <v>5116034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1012</v>
      </c>
      <c r="C26" s="238">
        <f>data!C89</f>
        <v>5016852</v>
      </c>
      <c r="D26" s="238">
        <f>data!D89</f>
        <v>0</v>
      </c>
      <c r="E26" s="238">
        <f>data!E89</f>
        <v>20521045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1013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1014</v>
      </c>
      <c r="C28" s="238">
        <f>data!C90</f>
        <v>2901</v>
      </c>
      <c r="D28" s="238">
        <f>data!D90</f>
        <v>0</v>
      </c>
      <c r="E28" s="238">
        <f>data!E90</f>
        <v>18408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1015</v>
      </c>
      <c r="C29" s="238">
        <f>data!C91</f>
        <v>2834</v>
      </c>
      <c r="D29" s="238">
        <f>data!D91</f>
        <v>0</v>
      </c>
      <c r="E29" s="238">
        <f>data!E91</f>
        <v>16986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1016</v>
      </c>
      <c r="C30" s="238">
        <f>data!C92</f>
        <v>2275</v>
      </c>
      <c r="D30" s="238">
        <f>data!D92</f>
        <v>0</v>
      </c>
      <c r="E30" s="238">
        <f>data!E92</f>
        <v>8940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1017</v>
      </c>
      <c r="C31" s="238">
        <f>data!C93</f>
        <v>72281</v>
      </c>
      <c r="D31" s="238">
        <f>data!D93</f>
        <v>0</v>
      </c>
      <c r="E31" s="238">
        <f>data!E93</f>
        <v>180417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13.25</v>
      </c>
      <c r="D32" s="245">
        <f>data!D94</f>
        <v>0</v>
      </c>
      <c r="E32" s="245">
        <f>data!E94</f>
        <v>35.22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999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1018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Astria Sunnyside Hospital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1001</v>
      </c>
      <c r="C38" s="244"/>
      <c r="D38" s="244" t="s">
        <v>125</v>
      </c>
      <c r="E38" s="244" t="s">
        <v>126</v>
      </c>
      <c r="F38" s="244" t="s">
        <v>1019</v>
      </c>
      <c r="G38" s="244" t="s">
        <v>128</v>
      </c>
      <c r="H38" s="244" t="s">
        <v>1020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1005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0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12.65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1034753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277996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0</v>
      </c>
      <c r="I46" s="238">
        <f>data!P64</f>
        <v>5629046</v>
      </c>
    </row>
    <row r="47" spans="1:9" ht="20.100000000000001" customHeight="1" x14ac:dyDescent="0.2">
      <c r="A47" s="230">
        <v>10</v>
      </c>
      <c r="B47" s="238" t="s">
        <v>521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522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810586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168796</v>
      </c>
    </row>
    <row r="50" spans="1:11" ht="20.100000000000001" customHeight="1" x14ac:dyDescent="0.2">
      <c r="A50" s="230">
        <v>13</v>
      </c>
      <c r="B50" s="238" t="s">
        <v>1006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-976</v>
      </c>
    </row>
    <row r="51" spans="1:11" ht="20.100000000000001" customHeight="1" x14ac:dyDescent="0.2">
      <c r="A51" s="230">
        <v>14</v>
      </c>
      <c r="B51" s="238" t="s">
        <v>1007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958720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1008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0</v>
      </c>
      <c r="I53" s="238">
        <f>data!P85</f>
        <v>8878921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1009</v>
      </c>
      <c r="C55" s="246">
        <f>+data!M675</f>
        <v>14367</v>
      </c>
      <c r="D55" s="246">
        <f>+data!M676</f>
        <v>0</v>
      </c>
      <c r="E55" s="246">
        <f>+data!M691</f>
        <v>0</v>
      </c>
      <c r="F55" s="246">
        <f>+data!M692</f>
        <v>107782</v>
      </c>
      <c r="G55" s="246">
        <f>+data!M693</f>
        <v>3849600</v>
      </c>
      <c r="H55" s="246">
        <f>+data!M680</f>
        <v>0</v>
      </c>
      <c r="I55" s="246">
        <f>+data!M681</f>
        <v>3693338</v>
      </c>
    </row>
    <row r="56" spans="1:11" ht="20.100000000000001" customHeight="1" x14ac:dyDescent="0.2">
      <c r="A56" s="230">
        <v>19</v>
      </c>
      <c r="B56" s="246" t="s">
        <v>1010</v>
      </c>
      <c r="C56" s="238">
        <f>data!J87</f>
        <v>839948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9200103</v>
      </c>
    </row>
    <row r="57" spans="1:11" ht="20.100000000000001" customHeight="1" x14ac:dyDescent="0.2">
      <c r="A57" s="230">
        <v>20</v>
      </c>
      <c r="B57" s="246" t="s">
        <v>1011</v>
      </c>
      <c r="C57" s="238">
        <f>data!J88</f>
        <v>67762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30038509</v>
      </c>
    </row>
    <row r="58" spans="1:11" ht="20.100000000000001" customHeight="1" x14ac:dyDescent="0.2">
      <c r="A58" s="230">
        <v>21</v>
      </c>
      <c r="B58" s="246" t="s">
        <v>1012</v>
      </c>
      <c r="C58" s="238">
        <f>data!J89</f>
        <v>907710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39238612</v>
      </c>
    </row>
    <row r="59" spans="1:11" ht="20.100000000000001" customHeight="1" x14ac:dyDescent="0.2">
      <c r="A59" s="230" t="s">
        <v>1013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1014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4345</v>
      </c>
      <c r="K60" s="249"/>
    </row>
    <row r="61" spans="1:11" ht="20.100000000000001" customHeight="1" x14ac:dyDescent="0.2">
      <c r="A61" s="230">
        <v>23</v>
      </c>
      <c r="B61" s="238" t="s">
        <v>1015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1016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3412</v>
      </c>
    </row>
    <row r="63" spans="1:11" ht="20.100000000000001" customHeight="1" x14ac:dyDescent="0.2">
      <c r="A63" s="230">
        <v>25</v>
      </c>
      <c r="B63" s="238" t="s">
        <v>1017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36732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12.65</v>
      </c>
    </row>
    <row r="65" spans="1:9" ht="20.100000000000001" customHeight="1" x14ac:dyDescent="0.2">
      <c r="A65" s="231" t="s">
        <v>999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1021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Astria Sunnyside Hospital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1001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1022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1005</v>
      </c>
      <c r="C72" s="240" t="s">
        <v>1023</v>
      </c>
      <c r="D72" s="239" t="s">
        <v>1024</v>
      </c>
      <c r="E72" s="250"/>
      <c r="F72" s="250"/>
      <c r="G72" s="239" t="s">
        <v>1025</v>
      </c>
      <c r="H72" s="239" t="s">
        <v>1025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3.18</v>
      </c>
      <c r="D74" s="245">
        <f>data!R60</f>
        <v>0</v>
      </c>
      <c r="E74" s="245">
        <f>data!S60</f>
        <v>3.13</v>
      </c>
      <c r="F74" s="245">
        <f>data!T60</f>
        <v>0</v>
      </c>
      <c r="G74" s="245">
        <f>data!U60</f>
        <v>18.600000000000001</v>
      </c>
      <c r="H74" s="245">
        <f>data!V60</f>
        <v>1.6</v>
      </c>
      <c r="I74" s="245">
        <f>data!W60</f>
        <v>1.4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494895</v>
      </c>
      <c r="D75" s="238">
        <f>data!R61</f>
        <v>0</v>
      </c>
      <c r="E75" s="238">
        <f>data!S61</f>
        <v>141301</v>
      </c>
      <c r="F75" s="238">
        <f>data!T61</f>
        <v>0</v>
      </c>
      <c r="G75" s="238">
        <f>data!U61</f>
        <v>1214483</v>
      </c>
      <c r="H75" s="238">
        <f>data!V61</f>
        <v>181881</v>
      </c>
      <c r="I75" s="238">
        <f>data!W61</f>
        <v>142479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137389</v>
      </c>
      <c r="D76" s="238">
        <f>data!R62</f>
        <v>0</v>
      </c>
      <c r="E76" s="238">
        <f>data!S62</f>
        <v>37626</v>
      </c>
      <c r="F76" s="238">
        <f>data!T62</f>
        <v>0</v>
      </c>
      <c r="G76" s="238">
        <f>data!U62</f>
        <v>322153</v>
      </c>
      <c r="H76" s="238">
        <f>data!V62</f>
        <v>49721</v>
      </c>
      <c r="I76" s="238">
        <f>data!W62</f>
        <v>38455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55000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17698</v>
      </c>
      <c r="D78" s="238">
        <f>data!R64</f>
        <v>120938</v>
      </c>
      <c r="E78" s="238">
        <f>data!S64</f>
        <v>99789</v>
      </c>
      <c r="F78" s="238">
        <f>data!T64</f>
        <v>61655</v>
      </c>
      <c r="G78" s="238">
        <f>data!U64</f>
        <v>1274896</v>
      </c>
      <c r="H78" s="238">
        <f>data!V64</f>
        <v>4536</v>
      </c>
      <c r="I78" s="238">
        <f>data!W64</f>
        <v>9628</v>
      </c>
    </row>
    <row r="79" spans="1:9" ht="20.100000000000001" customHeight="1" x14ac:dyDescent="0.2">
      <c r="A79" s="230">
        <v>10</v>
      </c>
      <c r="B79" s="238" t="s">
        <v>521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522</v>
      </c>
      <c r="C80" s="238">
        <f>data!Q66</f>
        <v>0</v>
      </c>
      <c r="D80" s="238">
        <f>data!R66</f>
        <v>1234318</v>
      </c>
      <c r="E80" s="238">
        <f>data!S66</f>
        <v>56188</v>
      </c>
      <c r="F80" s="238">
        <f>data!T66</f>
        <v>0</v>
      </c>
      <c r="G80" s="238">
        <f>data!U66</f>
        <v>0</v>
      </c>
      <c r="H80" s="238">
        <f>data!V66</f>
        <v>7595</v>
      </c>
      <c r="I80" s="238">
        <f>data!W66</f>
        <v>116788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22960</v>
      </c>
      <c r="D81" s="238">
        <f>data!R67</f>
        <v>1831</v>
      </c>
      <c r="E81" s="238">
        <f>data!S67</f>
        <v>10083</v>
      </c>
      <c r="F81" s="238">
        <f>data!T67</f>
        <v>3605</v>
      </c>
      <c r="G81" s="238">
        <f>data!U67</f>
        <v>122757</v>
      </c>
      <c r="H81" s="238">
        <f>data!V67</f>
        <v>2969</v>
      </c>
      <c r="I81" s="238">
        <f>data!W67</f>
        <v>17852</v>
      </c>
    </row>
    <row r="82" spans="1:9" ht="20.100000000000001" customHeight="1" x14ac:dyDescent="0.2">
      <c r="A82" s="230">
        <v>13</v>
      </c>
      <c r="B82" s="238" t="s">
        <v>1006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-15266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1007</v>
      </c>
      <c r="C83" s="238">
        <f>data!Q69</f>
        <v>97396</v>
      </c>
      <c r="D83" s="238">
        <f>data!R69</f>
        <v>1130</v>
      </c>
      <c r="E83" s="238">
        <f>data!S69</f>
        <v>21485</v>
      </c>
      <c r="F83" s="238">
        <f>data!T69</f>
        <v>0</v>
      </c>
      <c r="G83" s="238">
        <f>data!U69</f>
        <v>2212454</v>
      </c>
      <c r="H83" s="238">
        <f>data!V69</f>
        <v>1238</v>
      </c>
      <c r="I83" s="238">
        <f>data!W69</f>
        <v>10762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1008</v>
      </c>
      <c r="C85" s="238">
        <f>data!Q85</f>
        <v>770338</v>
      </c>
      <c r="D85" s="238">
        <f>data!R85</f>
        <v>1358217</v>
      </c>
      <c r="E85" s="238">
        <f>data!S85</f>
        <v>366472</v>
      </c>
      <c r="F85" s="238">
        <f>data!T85</f>
        <v>65260</v>
      </c>
      <c r="G85" s="238">
        <f>data!U85</f>
        <v>5186477</v>
      </c>
      <c r="H85" s="238">
        <f>data!V85</f>
        <v>247940</v>
      </c>
      <c r="I85" s="238">
        <f>data!W85</f>
        <v>335964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1009</v>
      </c>
      <c r="C87" s="246">
        <f>+data!M682</f>
        <v>500902</v>
      </c>
      <c r="D87" s="246">
        <f>+data!M683</f>
        <v>482367</v>
      </c>
      <c r="E87" s="246">
        <f>+data!M684</f>
        <v>719132</v>
      </c>
      <c r="F87" s="246">
        <f>+data!M685</f>
        <v>58298</v>
      </c>
      <c r="G87" s="246">
        <f>+data!M686</f>
        <v>2315495</v>
      </c>
      <c r="H87" s="246">
        <f>+data!M687</f>
        <v>111981</v>
      </c>
      <c r="I87" s="246">
        <f>+data!M688</f>
        <v>290563</v>
      </c>
    </row>
    <row r="88" spans="1:9" ht="20.100000000000001" customHeight="1" x14ac:dyDescent="0.2">
      <c r="A88" s="230">
        <v>19</v>
      </c>
      <c r="B88" s="246" t="s">
        <v>1010</v>
      </c>
      <c r="C88" s="238">
        <f>data!Q87</f>
        <v>1146838</v>
      </c>
      <c r="D88" s="238">
        <f>data!R87</f>
        <v>2041285</v>
      </c>
      <c r="E88" s="238">
        <f>data!S87</f>
        <v>8021754</v>
      </c>
      <c r="F88" s="238">
        <f>data!T87</f>
        <v>922539</v>
      </c>
      <c r="G88" s="238">
        <f>data!U87</f>
        <v>7769555</v>
      </c>
      <c r="H88" s="238">
        <f>data!V87</f>
        <v>717784</v>
      </c>
      <c r="I88" s="238">
        <f>data!W87</f>
        <v>320006</v>
      </c>
    </row>
    <row r="89" spans="1:9" ht="20.100000000000001" customHeight="1" x14ac:dyDescent="0.2">
      <c r="A89" s="230">
        <v>20</v>
      </c>
      <c r="B89" s="246" t="s">
        <v>1011</v>
      </c>
      <c r="C89" s="238">
        <f>data!Q88</f>
        <v>4453080</v>
      </c>
      <c r="D89" s="238">
        <f>data!R88</f>
        <v>7223631</v>
      </c>
      <c r="E89" s="238">
        <f>data!S88</f>
        <v>23289208</v>
      </c>
      <c r="F89" s="238">
        <f>data!T88</f>
        <v>371809</v>
      </c>
      <c r="G89" s="238">
        <f>data!U88</f>
        <v>36718947</v>
      </c>
      <c r="H89" s="238">
        <f>data!V88</f>
        <v>874768</v>
      </c>
      <c r="I89" s="238">
        <f>data!W88</f>
        <v>5454995</v>
      </c>
    </row>
    <row r="90" spans="1:9" ht="20.100000000000001" customHeight="1" x14ac:dyDescent="0.2">
      <c r="A90" s="230">
        <v>21</v>
      </c>
      <c r="B90" s="246" t="s">
        <v>1012</v>
      </c>
      <c r="C90" s="238">
        <f>data!Q89</f>
        <v>5599918</v>
      </c>
      <c r="D90" s="238">
        <f>data!R89</f>
        <v>9264916</v>
      </c>
      <c r="E90" s="238">
        <f>data!S89</f>
        <v>31310962</v>
      </c>
      <c r="F90" s="238">
        <f>data!T89</f>
        <v>1294348</v>
      </c>
      <c r="G90" s="238">
        <f>data!U89</f>
        <v>44488502</v>
      </c>
      <c r="H90" s="238">
        <f>data!V89</f>
        <v>1592552</v>
      </c>
      <c r="I90" s="238">
        <f>data!W89</f>
        <v>5775001</v>
      </c>
    </row>
    <row r="91" spans="1:9" ht="20.100000000000001" customHeight="1" x14ac:dyDescent="0.2">
      <c r="A91" s="230" t="s">
        <v>1013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1014</v>
      </c>
      <c r="C92" s="238">
        <f>data!Q90</f>
        <v>1191</v>
      </c>
      <c r="D92" s="238">
        <f>data!R90</f>
        <v>95</v>
      </c>
      <c r="E92" s="238">
        <f>data!S90</f>
        <v>523</v>
      </c>
      <c r="F92" s="238">
        <f>data!T90</f>
        <v>187</v>
      </c>
      <c r="G92" s="238">
        <f>data!U90</f>
        <v>2575</v>
      </c>
      <c r="H92" s="238">
        <f>data!V90</f>
        <v>154</v>
      </c>
      <c r="I92" s="238">
        <f>data!W90</f>
        <v>926</v>
      </c>
    </row>
    <row r="93" spans="1:9" ht="20.100000000000001" customHeight="1" x14ac:dyDescent="0.2">
      <c r="A93" s="230">
        <v>23</v>
      </c>
      <c r="B93" s="238" t="s">
        <v>1015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1016</v>
      </c>
      <c r="C94" s="238">
        <f>data!Q92</f>
        <v>536</v>
      </c>
      <c r="D94" s="238">
        <f>data!R92</f>
        <v>0</v>
      </c>
      <c r="E94" s="238">
        <f>data!S92</f>
        <v>431</v>
      </c>
      <c r="F94" s="238">
        <f>data!T92</f>
        <v>0</v>
      </c>
      <c r="G94" s="238">
        <f>data!U92</f>
        <v>878</v>
      </c>
      <c r="H94" s="238">
        <f>data!V92</f>
        <v>153</v>
      </c>
      <c r="I94" s="238">
        <f>data!W92</f>
        <v>171</v>
      </c>
    </row>
    <row r="95" spans="1:9" ht="20.100000000000001" customHeight="1" x14ac:dyDescent="0.2">
      <c r="A95" s="230">
        <v>25</v>
      </c>
      <c r="B95" s="238" t="s">
        <v>1017</v>
      </c>
      <c r="C95" s="238">
        <f>data!Q93</f>
        <v>18080</v>
      </c>
      <c r="D95" s="238">
        <f>data!R93</f>
        <v>0</v>
      </c>
      <c r="E95" s="238">
        <f>data!S93</f>
        <v>458</v>
      </c>
      <c r="F95" s="238">
        <f>data!T93</f>
        <v>0</v>
      </c>
      <c r="G95" s="238">
        <f>data!U93</f>
        <v>191</v>
      </c>
      <c r="H95" s="238">
        <f>data!V93</f>
        <v>1259</v>
      </c>
      <c r="I95" s="238">
        <f>data!W93</f>
        <v>3700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3.18</v>
      </c>
      <c r="D96" s="245">
        <f>data!R94</f>
        <v>0</v>
      </c>
      <c r="E96" s="245">
        <f>data!S94</f>
        <v>3.13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999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1026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Astria Sunnyside Hospital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1001</v>
      </c>
      <c r="C102" s="244" t="s">
        <v>1027</v>
      </c>
      <c r="D102" s="244" t="s">
        <v>1028</v>
      </c>
      <c r="E102" s="244" t="s">
        <v>1028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1005</v>
      </c>
      <c r="C104" s="239" t="s">
        <v>250</v>
      </c>
      <c r="D104" s="240" t="s">
        <v>1029</v>
      </c>
      <c r="E104" s="240" t="s">
        <v>1029</v>
      </c>
      <c r="F104" s="240" t="s">
        <v>1029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2</v>
      </c>
      <c r="D106" s="245">
        <f>data!Y60</f>
        <v>17.82</v>
      </c>
      <c r="E106" s="245">
        <f>data!Z60</f>
        <v>0</v>
      </c>
      <c r="F106" s="245">
        <f>data!AA60</f>
        <v>0.68</v>
      </c>
      <c r="G106" s="245">
        <f>data!AB60</f>
        <v>7.61</v>
      </c>
      <c r="H106" s="245">
        <f>data!AC60</f>
        <v>0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214309</v>
      </c>
      <c r="D107" s="238">
        <f>data!Y61</f>
        <v>2429002</v>
      </c>
      <c r="E107" s="238">
        <f>data!Z61</f>
        <v>0</v>
      </c>
      <c r="F107" s="238">
        <f>data!AA61</f>
        <v>71290</v>
      </c>
      <c r="G107" s="238">
        <f>data!AB61</f>
        <v>860377</v>
      </c>
      <c r="H107" s="238">
        <f>data!AC61</f>
        <v>0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58546</v>
      </c>
      <c r="D108" s="238">
        <f>data!Y62</f>
        <v>595936</v>
      </c>
      <c r="E108" s="238">
        <f>data!Z62</f>
        <v>0</v>
      </c>
      <c r="F108" s="238">
        <f>data!AA62</f>
        <v>17625</v>
      </c>
      <c r="G108" s="238">
        <f>data!AB62</f>
        <v>224889</v>
      </c>
      <c r="H108" s="238">
        <f>data!AC62</f>
        <v>0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0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23613</v>
      </c>
      <c r="D110" s="238">
        <f>data!Y64</f>
        <v>431599</v>
      </c>
      <c r="E110" s="238">
        <f>data!Z64</f>
        <v>0</v>
      </c>
      <c r="F110" s="238">
        <f>data!AA64</f>
        <v>60374</v>
      </c>
      <c r="G110" s="238">
        <f>data!AB64</f>
        <v>9887387</v>
      </c>
      <c r="H110" s="238">
        <f>data!AC64</f>
        <v>70129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521</v>
      </c>
      <c r="C111" s="238">
        <f>data!X65</f>
        <v>0</v>
      </c>
      <c r="D111" s="238">
        <f>data!Y65</f>
        <v>3632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522</v>
      </c>
      <c r="C112" s="238">
        <f>data!X66</f>
        <v>95006</v>
      </c>
      <c r="D112" s="238">
        <f>data!Y66</f>
        <v>1153194</v>
      </c>
      <c r="E112" s="238">
        <f>data!Z66</f>
        <v>0</v>
      </c>
      <c r="F112" s="238">
        <f>data!AA66</f>
        <v>30813</v>
      </c>
      <c r="G112" s="238">
        <f>data!AB66</f>
        <v>177809</v>
      </c>
      <c r="H112" s="238">
        <f>data!AC66</f>
        <v>1015300</v>
      </c>
      <c r="I112" s="238">
        <f>data!AD66</f>
        <v>481548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8405</v>
      </c>
      <c r="D113" s="238">
        <f>data!Y67</f>
        <v>133893</v>
      </c>
      <c r="E113" s="238">
        <f>data!Z67</f>
        <v>0</v>
      </c>
      <c r="F113" s="238">
        <f>data!AA67</f>
        <v>7846</v>
      </c>
      <c r="G113" s="238">
        <f>data!AB67</f>
        <v>16849</v>
      </c>
      <c r="H113" s="238">
        <f>data!AC67</f>
        <v>6227</v>
      </c>
      <c r="I113" s="238">
        <f>data!AD67</f>
        <v>5128</v>
      </c>
    </row>
    <row r="114" spans="1:9" ht="20.100000000000001" customHeight="1" x14ac:dyDescent="0.2">
      <c r="A114" s="230">
        <v>13</v>
      </c>
      <c r="B114" s="238" t="s">
        <v>1006</v>
      </c>
      <c r="C114" s="238">
        <f>data!X68</f>
        <v>0</v>
      </c>
      <c r="D114" s="238">
        <f>data!Y68</f>
        <v>328</v>
      </c>
      <c r="E114" s="238">
        <f>data!Z68</f>
        <v>0</v>
      </c>
      <c r="F114" s="238">
        <f>data!AA68</f>
        <v>0</v>
      </c>
      <c r="G114" s="238">
        <f>data!AB68</f>
        <v>153855</v>
      </c>
      <c r="H114" s="238">
        <f>data!AC68</f>
        <v>52865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1007</v>
      </c>
      <c r="C115" s="238">
        <f>data!X69</f>
        <v>2641</v>
      </c>
      <c r="D115" s="238">
        <f>data!Y69</f>
        <v>23719</v>
      </c>
      <c r="E115" s="238">
        <f>data!Z69</f>
        <v>0</v>
      </c>
      <c r="F115" s="238">
        <f>data!AA69</f>
        <v>10951</v>
      </c>
      <c r="G115" s="238">
        <f>data!AB69</f>
        <v>70619</v>
      </c>
      <c r="H115" s="238">
        <f>data!AC69</f>
        <v>5652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1008</v>
      </c>
      <c r="C117" s="238">
        <f>data!X85</f>
        <v>402520</v>
      </c>
      <c r="D117" s="238">
        <f>data!Y85</f>
        <v>4771303</v>
      </c>
      <c r="E117" s="238">
        <f>data!Z85</f>
        <v>0</v>
      </c>
      <c r="F117" s="238">
        <f>data!AA85</f>
        <v>198899</v>
      </c>
      <c r="G117" s="238">
        <f>data!AB85</f>
        <v>11391785</v>
      </c>
      <c r="H117" s="238">
        <f>data!AC85</f>
        <v>1150173</v>
      </c>
      <c r="I117" s="238">
        <f>data!AD85</f>
        <v>486676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1009</v>
      </c>
      <c r="C119" s="246">
        <f>+data!M689</f>
        <v>492820</v>
      </c>
      <c r="D119" s="246">
        <f>+data!M690</f>
        <v>2027591</v>
      </c>
      <c r="E119" s="246">
        <f>+data!M691</f>
        <v>0</v>
      </c>
      <c r="F119" s="246">
        <f>+data!M692</f>
        <v>107782</v>
      </c>
      <c r="G119" s="246">
        <f>+data!M693</f>
        <v>3849600</v>
      </c>
      <c r="H119" s="246">
        <f>+data!M694</f>
        <v>376495</v>
      </c>
      <c r="I119" s="246">
        <f>+data!M695</f>
        <v>181927</v>
      </c>
    </row>
    <row r="120" spans="1:9" ht="20.100000000000001" customHeight="1" x14ac:dyDescent="0.2">
      <c r="A120" s="230">
        <v>19</v>
      </c>
      <c r="B120" s="246" t="s">
        <v>1010</v>
      </c>
      <c r="C120" s="238">
        <f>data!X87</f>
        <v>3503961</v>
      </c>
      <c r="D120" s="238">
        <f>data!Y87</f>
        <v>1378807</v>
      </c>
      <c r="E120" s="238">
        <f>data!Z87</f>
        <v>0</v>
      </c>
      <c r="F120" s="238">
        <f>data!AA87</f>
        <v>35937</v>
      </c>
      <c r="G120" s="238">
        <f>data!AB87</f>
        <v>5151451</v>
      </c>
      <c r="H120" s="238">
        <f>data!AC87</f>
        <v>1174417</v>
      </c>
      <c r="I120" s="238">
        <f>data!AD87</f>
        <v>2093568</v>
      </c>
    </row>
    <row r="121" spans="1:9" ht="20.100000000000001" customHeight="1" x14ac:dyDescent="0.2">
      <c r="A121" s="230">
        <v>20</v>
      </c>
      <c r="B121" s="246" t="s">
        <v>1011</v>
      </c>
      <c r="C121" s="238">
        <f>data!X88</f>
        <v>18021540</v>
      </c>
      <c r="D121" s="238">
        <f>data!Y88</f>
        <v>19820944</v>
      </c>
      <c r="E121" s="238">
        <f>data!Z88</f>
        <v>0</v>
      </c>
      <c r="F121" s="238">
        <f>data!AA88</f>
        <v>707045</v>
      </c>
      <c r="G121" s="238">
        <f>data!AB88</f>
        <v>52402466</v>
      </c>
      <c r="H121" s="238">
        <f>data!AC88</f>
        <v>1531148</v>
      </c>
      <c r="I121" s="238">
        <f>data!AD88</f>
        <v>130878</v>
      </c>
    </row>
    <row r="122" spans="1:9" ht="20.100000000000001" customHeight="1" x14ac:dyDescent="0.2">
      <c r="A122" s="230">
        <v>21</v>
      </c>
      <c r="B122" s="246" t="s">
        <v>1012</v>
      </c>
      <c r="C122" s="238">
        <f>data!X89</f>
        <v>21525501</v>
      </c>
      <c r="D122" s="238">
        <f>data!Y89</f>
        <v>21199751</v>
      </c>
      <c r="E122" s="238">
        <f>data!Z89</f>
        <v>0</v>
      </c>
      <c r="F122" s="238">
        <f>data!AA89</f>
        <v>742982</v>
      </c>
      <c r="G122" s="238">
        <f>data!AB89</f>
        <v>57553917</v>
      </c>
      <c r="H122" s="238">
        <f>data!AC89</f>
        <v>2705565</v>
      </c>
      <c r="I122" s="238">
        <f>data!AD89</f>
        <v>2224446</v>
      </c>
    </row>
    <row r="123" spans="1:9" ht="20.100000000000001" customHeight="1" x14ac:dyDescent="0.2">
      <c r="A123" s="230" t="s">
        <v>1013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1014</v>
      </c>
      <c r="C124" s="238">
        <f>data!X90</f>
        <v>436</v>
      </c>
      <c r="D124" s="238">
        <f>data!Y90</f>
        <v>3737</v>
      </c>
      <c r="E124" s="238">
        <f>data!Z90</f>
        <v>0</v>
      </c>
      <c r="F124" s="238">
        <f>data!AA90</f>
        <v>407</v>
      </c>
      <c r="G124" s="238">
        <f>data!AB90</f>
        <v>874</v>
      </c>
      <c r="H124" s="238">
        <f>data!AC90</f>
        <v>323</v>
      </c>
      <c r="I124" s="238">
        <f>data!AD90</f>
        <v>266</v>
      </c>
    </row>
    <row r="125" spans="1:9" ht="20.100000000000001" customHeight="1" x14ac:dyDescent="0.2">
      <c r="A125" s="230">
        <v>23</v>
      </c>
      <c r="B125" s="238" t="s">
        <v>1015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1016</v>
      </c>
      <c r="C126" s="238">
        <f>data!X92</f>
        <v>0</v>
      </c>
      <c r="D126" s="238">
        <f>data!Y92</f>
        <v>1597</v>
      </c>
      <c r="E126" s="238">
        <f>data!Z92</f>
        <v>0</v>
      </c>
      <c r="F126" s="238">
        <f>data!AA92</f>
        <v>0</v>
      </c>
      <c r="G126" s="238">
        <f>data!AB92</f>
        <v>330</v>
      </c>
      <c r="H126" s="238">
        <f>data!AC92</f>
        <v>477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1017</v>
      </c>
      <c r="C127" s="238">
        <f>data!X93</f>
        <v>4768</v>
      </c>
      <c r="D127" s="238">
        <f>data!Y93</f>
        <v>37494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999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1030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Astria Sunnyside Hospital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1001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1031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1005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1032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0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6.4</v>
      </c>
      <c r="D138" s="245">
        <f>data!AF60</f>
        <v>0</v>
      </c>
      <c r="E138" s="245">
        <f>data!AG60</f>
        <v>23.89</v>
      </c>
      <c r="F138" s="245">
        <f>data!AH60</f>
        <v>0</v>
      </c>
      <c r="G138" s="245">
        <f>data!AI60</f>
        <v>6.56</v>
      </c>
      <c r="H138" s="245">
        <f>data!AJ60</f>
        <v>86.46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505737</v>
      </c>
      <c r="D139" s="238">
        <f>data!AF61</f>
        <v>0</v>
      </c>
      <c r="E139" s="238">
        <f>data!AG61</f>
        <v>2892551</v>
      </c>
      <c r="F139" s="238">
        <f>data!AH61</f>
        <v>0</v>
      </c>
      <c r="G139" s="238">
        <f>data!AI61</f>
        <v>718598</v>
      </c>
      <c r="H139" s="238">
        <f>data!AJ61</f>
        <v>11899406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135151</v>
      </c>
      <c r="D140" s="238">
        <f>data!AF62</f>
        <v>0</v>
      </c>
      <c r="E140" s="238">
        <f>data!AG62</f>
        <v>750213</v>
      </c>
      <c r="F140" s="238">
        <f>data!AH62</f>
        <v>0</v>
      </c>
      <c r="G140" s="238">
        <f>data!AI62</f>
        <v>194375</v>
      </c>
      <c r="H140" s="238">
        <f>data!AJ62</f>
        <v>2777907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628246</v>
      </c>
      <c r="F141" s="238">
        <f>data!AH63</f>
        <v>0</v>
      </c>
      <c r="G141" s="238">
        <f>data!AI63</f>
        <v>0</v>
      </c>
      <c r="H141" s="238">
        <f>data!AJ63</f>
        <v>164834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52144</v>
      </c>
      <c r="D142" s="238">
        <f>data!AF64</f>
        <v>0</v>
      </c>
      <c r="E142" s="238">
        <f>data!AG64</f>
        <v>492038</v>
      </c>
      <c r="F142" s="238">
        <f>data!AH64</f>
        <v>0</v>
      </c>
      <c r="G142" s="238">
        <f>data!AI64</f>
        <v>129462</v>
      </c>
      <c r="H142" s="238">
        <f>data!AJ64</f>
        <v>668384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521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184472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522</v>
      </c>
      <c r="C144" s="238">
        <f>data!AE66</f>
        <v>5959</v>
      </c>
      <c r="D144" s="238">
        <f>data!AF66</f>
        <v>0</v>
      </c>
      <c r="E144" s="238">
        <f>data!AG66</f>
        <v>1648326</v>
      </c>
      <c r="F144" s="238">
        <f>data!AH66</f>
        <v>0</v>
      </c>
      <c r="G144" s="238">
        <f>data!AI66</f>
        <v>0</v>
      </c>
      <c r="H144" s="238">
        <f>data!AJ66</f>
        <v>1275601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5629</v>
      </c>
      <c r="D145" s="238">
        <f>data!AF67</f>
        <v>0</v>
      </c>
      <c r="E145" s="238">
        <f>data!AG67</f>
        <v>154805</v>
      </c>
      <c r="F145" s="238">
        <f>data!AH67</f>
        <v>0</v>
      </c>
      <c r="G145" s="238">
        <f>data!AI67</f>
        <v>36802</v>
      </c>
      <c r="H145" s="238">
        <f>data!AJ67</f>
        <v>263745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1006</v>
      </c>
      <c r="C146" s="238">
        <f>data!AE68</f>
        <v>28939</v>
      </c>
      <c r="D146" s="238">
        <f>data!AF68</f>
        <v>0</v>
      </c>
      <c r="E146" s="238">
        <f>data!AG68</f>
        <v>-6118</v>
      </c>
      <c r="F146" s="238">
        <f>data!AH68</f>
        <v>0</v>
      </c>
      <c r="G146" s="238">
        <f>data!AI68</f>
        <v>0</v>
      </c>
      <c r="H146" s="238">
        <f>data!AJ68</f>
        <v>605632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1007</v>
      </c>
      <c r="C147" s="238">
        <f>data!AE69</f>
        <v>38233</v>
      </c>
      <c r="D147" s="238">
        <f>data!AF69</f>
        <v>0</v>
      </c>
      <c r="E147" s="238">
        <f>data!AG69</f>
        <v>632879</v>
      </c>
      <c r="F147" s="238">
        <f>data!AH69</f>
        <v>0</v>
      </c>
      <c r="G147" s="238">
        <f>data!AI69</f>
        <v>150115</v>
      </c>
      <c r="H147" s="238">
        <f>data!AJ69</f>
        <v>299507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1008</v>
      </c>
      <c r="C149" s="238">
        <f>data!AE85</f>
        <v>771792</v>
      </c>
      <c r="D149" s="238">
        <f>data!AF85</f>
        <v>0</v>
      </c>
      <c r="E149" s="238">
        <f>data!AG85</f>
        <v>7192940</v>
      </c>
      <c r="F149" s="238">
        <f>data!AH85</f>
        <v>0</v>
      </c>
      <c r="G149" s="238">
        <f>data!AI85</f>
        <v>1229352</v>
      </c>
      <c r="H149" s="238">
        <f>data!AJ85</f>
        <v>18139488</v>
      </c>
      <c r="I149" s="238">
        <f>data!AK85</f>
        <v>0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1009</v>
      </c>
      <c r="C151" s="246">
        <f>+data!M696</f>
        <v>342794</v>
      </c>
      <c r="D151" s="246">
        <f>+data!M697</f>
        <v>0</v>
      </c>
      <c r="E151" s="246">
        <f>+data!M698</f>
        <v>3616327</v>
      </c>
      <c r="F151" s="246">
        <f>+data!M699</f>
        <v>0</v>
      </c>
      <c r="G151" s="246">
        <f>+data!M700</f>
        <v>992603</v>
      </c>
      <c r="H151" s="246">
        <f>+data!M701</f>
        <v>6762946</v>
      </c>
      <c r="I151" s="246">
        <f>+data!M702</f>
        <v>0</v>
      </c>
    </row>
    <row r="152" spans="1:9" ht="20.100000000000001" customHeight="1" x14ac:dyDescent="0.2">
      <c r="A152" s="230">
        <v>19</v>
      </c>
      <c r="B152" s="246" t="s">
        <v>1010</v>
      </c>
      <c r="C152" s="238">
        <f>data!AE87</f>
        <v>642591</v>
      </c>
      <c r="D152" s="238">
        <f>data!AF87</f>
        <v>0</v>
      </c>
      <c r="E152" s="238">
        <f>data!AG87</f>
        <v>1910731</v>
      </c>
      <c r="F152" s="238">
        <f>data!AH87</f>
        <v>0</v>
      </c>
      <c r="G152" s="238">
        <f>data!AI87</f>
        <v>463</v>
      </c>
      <c r="H152" s="238">
        <f>data!AJ87</f>
        <v>3484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1011</v>
      </c>
      <c r="C153" s="238">
        <f>data!AE88</f>
        <v>5166524</v>
      </c>
      <c r="D153" s="238">
        <f>data!AF88</f>
        <v>0</v>
      </c>
      <c r="E153" s="238">
        <f>data!AG88</f>
        <v>23075307</v>
      </c>
      <c r="F153" s="238">
        <f>data!AH88</f>
        <v>0</v>
      </c>
      <c r="G153" s="238">
        <f>data!AI88</f>
        <v>1465122</v>
      </c>
      <c r="H153" s="238">
        <f>data!AJ88</f>
        <v>16944262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1012</v>
      </c>
      <c r="C154" s="238">
        <f>data!AE89</f>
        <v>5809115</v>
      </c>
      <c r="D154" s="238">
        <f>data!AF89</f>
        <v>0</v>
      </c>
      <c r="E154" s="238">
        <f>data!AG89</f>
        <v>24986038</v>
      </c>
      <c r="F154" s="238">
        <f>data!AH89</f>
        <v>0</v>
      </c>
      <c r="G154" s="238">
        <f>data!AI89</f>
        <v>1465585</v>
      </c>
      <c r="H154" s="238">
        <f>data!AJ89</f>
        <v>16947746</v>
      </c>
      <c r="I154" s="238">
        <f>data!AK89</f>
        <v>0</v>
      </c>
    </row>
    <row r="155" spans="1:9" ht="20.100000000000001" customHeight="1" x14ac:dyDescent="0.2">
      <c r="A155" s="230" t="s">
        <v>1013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1014</v>
      </c>
      <c r="C156" s="238">
        <f>data!AE90</f>
        <v>292</v>
      </c>
      <c r="D156" s="238">
        <f>data!AF90</f>
        <v>0</v>
      </c>
      <c r="E156" s="238">
        <f>data!AG90</f>
        <v>7142</v>
      </c>
      <c r="F156" s="238">
        <f>data!AH90</f>
        <v>0</v>
      </c>
      <c r="G156" s="238">
        <f>data!AI90</f>
        <v>1909</v>
      </c>
      <c r="H156" s="238">
        <f>data!AJ90</f>
        <v>13681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1015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2962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1016</v>
      </c>
      <c r="C158" s="238">
        <f>data!AE92</f>
        <v>530</v>
      </c>
      <c r="D158" s="238">
        <f>data!AF92</f>
        <v>0</v>
      </c>
      <c r="E158" s="238">
        <f>data!AG92</f>
        <v>4173</v>
      </c>
      <c r="F158" s="238">
        <f>data!AH92</f>
        <v>0</v>
      </c>
      <c r="G158" s="238">
        <f>data!AI92</f>
        <v>1220</v>
      </c>
      <c r="H158" s="238">
        <f>data!AJ92</f>
        <v>10142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1017</v>
      </c>
      <c r="C159" s="238">
        <f>data!AE93</f>
        <v>0</v>
      </c>
      <c r="D159" s="238">
        <f>data!AF93</f>
        <v>0</v>
      </c>
      <c r="E159" s="238">
        <f>data!AG93</f>
        <v>114887</v>
      </c>
      <c r="F159" s="238">
        <f>data!AH93</f>
        <v>0</v>
      </c>
      <c r="G159" s="238">
        <f>data!AI93</f>
        <v>27158</v>
      </c>
      <c r="H159" s="238">
        <f>data!AJ93</f>
        <v>11443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23.89</v>
      </c>
      <c r="F160" s="245">
        <f>data!AH94</f>
        <v>0</v>
      </c>
      <c r="G160" s="245">
        <f>data!AI94</f>
        <v>6.56</v>
      </c>
      <c r="H160" s="245">
        <f>data!AJ94</f>
        <v>0</v>
      </c>
      <c r="I160" s="245">
        <f>data!AK94</f>
        <v>0</v>
      </c>
    </row>
    <row r="161" spans="1:9" ht="20.100000000000001" customHeight="1" x14ac:dyDescent="0.2">
      <c r="A161" s="231" t="s">
        <v>999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1033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Astria Sunnyside Hospital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1001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1034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1035</v>
      </c>
      <c r="F167" s="244" t="s">
        <v>208</v>
      </c>
      <c r="G167" s="244" t="s">
        <v>147</v>
      </c>
      <c r="H167" s="243" t="s">
        <v>1036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1005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2.3099999999999996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217122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57026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123547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50238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521</v>
      </c>
      <c r="C175" s="238">
        <f>data!AL65</f>
        <v>7757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522</v>
      </c>
      <c r="C176" s="238">
        <f>data!AL66</f>
        <v>9280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1006</v>
      </c>
      <c r="C178" s="238">
        <f>data!AL68</f>
        <v>8982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1007</v>
      </c>
      <c r="C179" s="238">
        <f>data!AL69</f>
        <v>2647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1008</v>
      </c>
      <c r="C181" s="238">
        <f>data!AL85</f>
        <v>476599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1009</v>
      </c>
      <c r="C183" s="246">
        <f>+data!M703</f>
        <v>211018</v>
      </c>
      <c r="D183" s="246">
        <f>+data!M704</f>
        <v>0</v>
      </c>
      <c r="E183" s="246">
        <f>+data!M705</f>
        <v>0</v>
      </c>
      <c r="F183" s="246">
        <f>+data!M706</f>
        <v>56639</v>
      </c>
      <c r="G183" s="246">
        <f>+data!M707</f>
        <v>0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1010</v>
      </c>
      <c r="C184" s="238">
        <f>data!AL87</f>
        <v>121938</v>
      </c>
      <c r="D184" s="238">
        <f>data!AM87</f>
        <v>0</v>
      </c>
      <c r="E184" s="238">
        <f>data!AN87</f>
        <v>0</v>
      </c>
      <c r="F184" s="238">
        <f>data!AO87</f>
        <v>3259794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1011</v>
      </c>
      <c r="C185" s="238">
        <f>data!AL88</f>
        <v>1657183</v>
      </c>
      <c r="D185" s="238">
        <f>data!AM88</f>
        <v>0</v>
      </c>
      <c r="E185" s="238">
        <f>data!AN88</f>
        <v>0</v>
      </c>
      <c r="F185" s="238">
        <f>data!AO88</f>
        <v>318521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1012</v>
      </c>
      <c r="C186" s="238">
        <f>data!AL89</f>
        <v>1779121</v>
      </c>
      <c r="D186" s="238">
        <f>data!AM89</f>
        <v>0</v>
      </c>
      <c r="E186" s="238">
        <f>data!AN89</f>
        <v>0</v>
      </c>
      <c r="F186" s="238">
        <f>data!AO89</f>
        <v>3578315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1013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1014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1015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1016</v>
      </c>
      <c r="C190" s="238">
        <f>data!AL92</f>
        <v>1450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1017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999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1037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Astria Sunnyside Hospital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1001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1038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1039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1005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22782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16.52</v>
      </c>
      <c r="G202" s="245">
        <f>data!AW60</f>
        <v>0</v>
      </c>
      <c r="H202" s="245">
        <f>data!AX60</f>
        <v>0</v>
      </c>
      <c r="I202" s="245">
        <f>data!AY60</f>
        <v>12.479999999999999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2509174</v>
      </c>
      <c r="G203" s="238">
        <f>data!AW61</f>
        <v>0</v>
      </c>
      <c r="H203" s="238">
        <f>data!AX61</f>
        <v>0</v>
      </c>
      <c r="I203" s="238">
        <f>data!AY61</f>
        <v>546702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607315</v>
      </c>
      <c r="G204" s="238">
        <f>data!AW62</f>
        <v>0</v>
      </c>
      <c r="H204" s="238">
        <f>data!AX62</f>
        <v>0</v>
      </c>
      <c r="I204" s="238">
        <f>data!AY62</f>
        <v>147367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196130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511203</v>
      </c>
      <c r="G206" s="238">
        <f>data!AW64</f>
        <v>0</v>
      </c>
      <c r="H206" s="238">
        <f>data!AX64</f>
        <v>0</v>
      </c>
      <c r="I206" s="238">
        <f>data!AY64</f>
        <v>634614</v>
      </c>
    </row>
    <row r="207" spans="1:9" ht="20.100000000000001" customHeight="1" x14ac:dyDescent="0.2">
      <c r="A207" s="230">
        <v>10</v>
      </c>
      <c r="B207" s="238" t="s">
        <v>521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11767</v>
      </c>
      <c r="G207" s="238">
        <f>data!AW65</f>
        <v>0</v>
      </c>
      <c r="H207" s="238">
        <f>data!AX65</f>
        <v>0</v>
      </c>
      <c r="I207" s="238">
        <f>data!AY65</f>
        <v>858</v>
      </c>
    </row>
    <row r="208" spans="1:9" ht="20.100000000000001" customHeight="1" x14ac:dyDescent="0.2">
      <c r="A208" s="230">
        <v>11</v>
      </c>
      <c r="B208" s="238" t="s">
        <v>522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354251</v>
      </c>
      <c r="G208" s="238">
        <f>data!AW66</f>
        <v>0</v>
      </c>
      <c r="H208" s="238">
        <f>data!AX66</f>
        <v>0</v>
      </c>
      <c r="I208" s="238">
        <f>data!AY66</f>
        <v>6328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104777</v>
      </c>
      <c r="G209" s="238">
        <f>data!AW67</f>
        <v>0</v>
      </c>
      <c r="H209" s="238">
        <f>data!AX67</f>
        <v>0</v>
      </c>
      <c r="I209" s="238">
        <f>data!AY67</f>
        <v>49911</v>
      </c>
    </row>
    <row r="210" spans="1:9" ht="20.100000000000001" customHeight="1" x14ac:dyDescent="0.2">
      <c r="A210" s="230">
        <v>13</v>
      </c>
      <c r="B210" s="238" t="s">
        <v>1006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98723</v>
      </c>
      <c r="G210" s="238">
        <f>data!AW68</f>
        <v>0</v>
      </c>
      <c r="H210" s="238">
        <f>data!AX68</f>
        <v>0</v>
      </c>
      <c r="I210" s="238">
        <f>data!AY68</f>
        <v>1665</v>
      </c>
    </row>
    <row r="211" spans="1:9" ht="20.100000000000001" customHeight="1" x14ac:dyDescent="0.2">
      <c r="A211" s="230">
        <v>14</v>
      </c>
      <c r="B211" s="238" t="s">
        <v>1007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211284</v>
      </c>
      <c r="G211" s="238">
        <f>data!AW69</f>
        <v>0</v>
      </c>
      <c r="H211" s="238">
        <f>data!AX69</f>
        <v>0</v>
      </c>
      <c r="I211" s="238">
        <f>data!AY69</f>
        <v>29756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1008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4604624</v>
      </c>
      <c r="G213" s="238">
        <f>data!AW85</f>
        <v>0</v>
      </c>
      <c r="H213" s="238">
        <f>data!AX85</f>
        <v>0</v>
      </c>
      <c r="I213" s="238">
        <f>data!AY85</f>
        <v>1417201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1009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2029326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1010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458636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1011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12688628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1012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13147264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1013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1014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5435</v>
      </c>
      <c r="G220" s="238">
        <f>data!AW90</f>
        <v>0</v>
      </c>
      <c r="H220" s="238">
        <f>data!AX90</f>
        <v>0</v>
      </c>
      <c r="I220" s="238">
        <f>data!AY90</f>
        <v>2589</v>
      </c>
    </row>
    <row r="221" spans="1:9" ht="20.100000000000001" customHeight="1" x14ac:dyDescent="0.2">
      <c r="A221" s="230">
        <v>23</v>
      </c>
      <c r="B221" s="238" t="s">
        <v>1015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1016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1367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1017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9803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999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1040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Astria Sunnyside Hospital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1001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1041</v>
      </c>
      <c r="F231" s="244" t="s">
        <v>1042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1005</v>
      </c>
      <c r="C232" s="240" t="s">
        <v>1043</v>
      </c>
      <c r="D232" s="240" t="s">
        <v>1044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103666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</v>
      </c>
      <c r="E234" s="245">
        <f>data!BB60</f>
        <v>1</v>
      </c>
      <c r="F234" s="245">
        <f>data!BC60</f>
        <v>0</v>
      </c>
      <c r="G234" s="245">
        <f>data!BD60</f>
        <v>4.6500000000000004</v>
      </c>
      <c r="H234" s="245">
        <f>data!BE60</f>
        <v>4.53</v>
      </c>
      <c r="I234" s="245">
        <f>data!BF60</f>
        <v>19.14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0</v>
      </c>
      <c r="E235" s="238">
        <f>data!BB61</f>
        <v>109526</v>
      </c>
      <c r="F235" s="238">
        <f>data!BC61</f>
        <v>0</v>
      </c>
      <c r="G235" s="238">
        <f>data!BD61</f>
        <v>180928</v>
      </c>
      <c r="H235" s="238">
        <f>data!BE61</f>
        <v>333031</v>
      </c>
      <c r="I235" s="238">
        <f>data!BF61</f>
        <v>823573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0</v>
      </c>
      <c r="E236" s="238">
        <f>data!BB62</f>
        <v>30235</v>
      </c>
      <c r="F236" s="238">
        <f>data!BC62</f>
        <v>0</v>
      </c>
      <c r="G236" s="238">
        <f>data!BD62</f>
        <v>47362</v>
      </c>
      <c r="H236" s="238">
        <f>data!BE62</f>
        <v>90108</v>
      </c>
      <c r="I236" s="238">
        <f>data!BF62</f>
        <v>221104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2462</v>
      </c>
      <c r="E238" s="238">
        <f>data!BB64</f>
        <v>535</v>
      </c>
      <c r="F238" s="238">
        <f>data!BC64</f>
        <v>0</v>
      </c>
      <c r="G238" s="238">
        <f>data!BD64</f>
        <v>-165166</v>
      </c>
      <c r="H238" s="238">
        <f>data!BE64</f>
        <v>114794</v>
      </c>
      <c r="I238" s="238">
        <f>data!BF64</f>
        <v>124280</v>
      </c>
    </row>
    <row r="239" spans="1:9" ht="20.100000000000001" customHeight="1" x14ac:dyDescent="0.2">
      <c r="A239" s="230">
        <v>10</v>
      </c>
      <c r="B239" s="238" t="s">
        <v>521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528560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522</v>
      </c>
      <c r="C240" s="238">
        <f>data!AZ66</f>
        <v>0</v>
      </c>
      <c r="D240" s="238">
        <f>data!BA66</f>
        <v>0</v>
      </c>
      <c r="E240" s="238">
        <f>data!BB66</f>
        <v>0</v>
      </c>
      <c r="F240" s="238">
        <f>data!BC66</f>
        <v>0</v>
      </c>
      <c r="G240" s="238">
        <f>data!BD66</f>
        <v>1955</v>
      </c>
      <c r="H240" s="238">
        <f>data!BE66</f>
        <v>361275</v>
      </c>
      <c r="I240" s="238">
        <f>data!BF66</f>
        <v>142310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0</v>
      </c>
      <c r="E241" s="238">
        <f>data!BB67</f>
        <v>0</v>
      </c>
      <c r="F241" s="238">
        <f>data!BC67</f>
        <v>0</v>
      </c>
      <c r="G241" s="238">
        <f>data!BD67</f>
        <v>16309</v>
      </c>
      <c r="H241" s="238">
        <f>data!BE67</f>
        <v>252304</v>
      </c>
      <c r="I241" s="238">
        <f>data!BF67</f>
        <v>19645</v>
      </c>
    </row>
    <row r="242" spans="1:9" ht="20.100000000000001" customHeight="1" x14ac:dyDescent="0.2">
      <c r="A242" s="230">
        <v>13</v>
      </c>
      <c r="B242" s="238" t="s">
        <v>1006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40380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1007</v>
      </c>
      <c r="C243" s="238">
        <f>data!AZ69</f>
        <v>0</v>
      </c>
      <c r="D243" s="238">
        <f>data!BA69</f>
        <v>244254</v>
      </c>
      <c r="E243" s="238">
        <f>data!BB69</f>
        <v>0</v>
      </c>
      <c r="F243" s="238">
        <f>data!BC69</f>
        <v>0</v>
      </c>
      <c r="G243" s="238">
        <f>data!BD69</f>
        <v>9994</v>
      </c>
      <c r="H243" s="238">
        <f>data!BE69</f>
        <v>262075</v>
      </c>
      <c r="I243" s="238">
        <f>data!BF69</f>
        <v>8990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1008</v>
      </c>
      <c r="C245" s="238">
        <f>data!AZ85</f>
        <v>0</v>
      </c>
      <c r="D245" s="238">
        <f>data!BA85</f>
        <v>246716</v>
      </c>
      <c r="E245" s="238">
        <f>data!BB85</f>
        <v>140296</v>
      </c>
      <c r="F245" s="238">
        <f>data!BC85</f>
        <v>0</v>
      </c>
      <c r="G245" s="238">
        <f>data!BD85</f>
        <v>91382</v>
      </c>
      <c r="H245" s="238">
        <f>data!BE85</f>
        <v>1982527</v>
      </c>
      <c r="I245" s="238">
        <f>data!BF85</f>
        <v>1339902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1009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1010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1011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1012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1013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1014</v>
      </c>
      <c r="C252" s="254">
        <f>data!AZ90</f>
        <v>0</v>
      </c>
      <c r="D252" s="254">
        <f>data!BA90</f>
        <v>0</v>
      </c>
      <c r="E252" s="254">
        <f>data!BB90</f>
        <v>0</v>
      </c>
      <c r="F252" s="254">
        <f>data!BC90</f>
        <v>0</v>
      </c>
      <c r="G252" s="254">
        <f>data!BD90</f>
        <v>846</v>
      </c>
      <c r="H252" s="254">
        <f>data!BE90</f>
        <v>12536</v>
      </c>
      <c r="I252" s="254">
        <f>data!BF90</f>
        <v>1019</v>
      </c>
    </row>
    <row r="253" spans="1:9" ht="20.100000000000001" customHeight="1" x14ac:dyDescent="0.2">
      <c r="A253" s="230">
        <v>23</v>
      </c>
      <c r="B253" s="238" t="s">
        <v>1015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1016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1017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999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1045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Astria Sunnyside Hospital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1001</v>
      </c>
      <c r="C262" s="244" t="s">
        <v>1046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1047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1048</v>
      </c>
    </row>
    <row r="264" spans="1:9" ht="20.100000000000001" customHeight="1" x14ac:dyDescent="0.2">
      <c r="A264" s="230">
        <v>3</v>
      </c>
      <c r="B264" s="238" t="s">
        <v>1005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11.83</v>
      </c>
      <c r="E266" s="245">
        <f>data!BI60</f>
        <v>2.38</v>
      </c>
      <c r="F266" s="245">
        <f>data!BJ60</f>
        <v>4.07</v>
      </c>
      <c r="G266" s="245">
        <f>data!BK60</f>
        <v>0</v>
      </c>
      <c r="H266" s="245">
        <f>data!BL60</f>
        <v>19.29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959742</v>
      </c>
      <c r="E267" s="238">
        <f>data!BI61</f>
        <v>200982</v>
      </c>
      <c r="F267" s="238">
        <f>data!BJ61</f>
        <v>277995</v>
      </c>
      <c r="G267" s="238">
        <f>data!BK61</f>
        <v>0</v>
      </c>
      <c r="H267" s="238">
        <f>data!BL61</f>
        <v>874188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260622</v>
      </c>
      <c r="E268" s="238">
        <f>data!BI62</f>
        <v>56031</v>
      </c>
      <c r="F268" s="238">
        <f>data!BJ62</f>
        <v>73818</v>
      </c>
      <c r="G268" s="238">
        <f>data!BK62</f>
        <v>0</v>
      </c>
      <c r="H268" s="238">
        <f>data!BL62</f>
        <v>228033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225589</v>
      </c>
      <c r="E270" s="238">
        <f>data!BI64</f>
        <v>33552</v>
      </c>
      <c r="F270" s="238">
        <f>data!BJ64</f>
        <v>4698</v>
      </c>
      <c r="G270" s="238">
        <f>data!BK64</f>
        <v>0</v>
      </c>
      <c r="H270" s="238">
        <f>data!BL64</f>
        <v>16664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521</v>
      </c>
      <c r="C271" s="238">
        <f>data!BG65</f>
        <v>0</v>
      </c>
      <c r="D271" s="238">
        <f>data!BH65</f>
        <v>117313</v>
      </c>
      <c r="E271" s="238">
        <f>data!BI65</f>
        <v>1402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522</v>
      </c>
      <c r="C272" s="238">
        <f>data!BG66</f>
        <v>0</v>
      </c>
      <c r="D272" s="238">
        <f>data!BH66</f>
        <v>-143404</v>
      </c>
      <c r="E272" s="238">
        <f>data!BI66</f>
        <v>162</v>
      </c>
      <c r="F272" s="238">
        <f>data!BJ66</f>
        <v>171765</v>
      </c>
      <c r="G272" s="238">
        <f>data!BK66</f>
        <v>0</v>
      </c>
      <c r="H272" s="238">
        <f>data!BL66</f>
        <v>2292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2159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27703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1006</v>
      </c>
      <c r="C274" s="238">
        <f>data!BG68</f>
        <v>0</v>
      </c>
      <c r="D274" s="238">
        <f>data!BH68</f>
        <v>19160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1007</v>
      </c>
      <c r="C275" s="238">
        <f>data!BG69</f>
        <v>0</v>
      </c>
      <c r="D275" s="238">
        <f>data!BH69</f>
        <v>156957</v>
      </c>
      <c r="E275" s="238">
        <f>data!BI69</f>
        <v>14158</v>
      </c>
      <c r="F275" s="238">
        <f>data!BJ69</f>
        <v>28774</v>
      </c>
      <c r="G275" s="238">
        <f>data!BK69</f>
        <v>0</v>
      </c>
      <c r="H275" s="238">
        <f>data!BL69</f>
        <v>314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1008</v>
      </c>
      <c r="C277" s="238">
        <f>data!BG85</f>
        <v>0</v>
      </c>
      <c r="D277" s="238">
        <f>data!BH85</f>
        <v>1598138</v>
      </c>
      <c r="E277" s="238">
        <f>data!BI85</f>
        <v>306287</v>
      </c>
      <c r="F277" s="238">
        <f>data!BJ85</f>
        <v>557050</v>
      </c>
      <c r="G277" s="238">
        <f>data!BK85</f>
        <v>0</v>
      </c>
      <c r="H277" s="238">
        <f>data!BL85</f>
        <v>1149194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1009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1010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1011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1012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1013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1014</v>
      </c>
      <c r="C284" s="254">
        <f>data!BG90</f>
        <v>0</v>
      </c>
      <c r="D284" s="254">
        <f>data!BH90</f>
        <v>112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1437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1015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1016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530</v>
      </c>
      <c r="H286" s="254">
        <f>data!BL92</f>
        <v>908</v>
      </c>
      <c r="I286" s="254">
        <f>data!BM92</f>
        <v>147</v>
      </c>
    </row>
    <row r="287" spans="1:9" ht="20.100000000000001" customHeight="1" x14ac:dyDescent="0.2">
      <c r="A287" s="230">
        <v>25</v>
      </c>
      <c r="B287" s="238" t="s">
        <v>1017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999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1049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Astria Sunnyside Hospital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1001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1050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1005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0.8</v>
      </c>
      <c r="D298" s="245">
        <f>data!BO60</f>
        <v>0</v>
      </c>
      <c r="E298" s="245">
        <f>data!BP60</f>
        <v>0</v>
      </c>
      <c r="F298" s="245">
        <f>data!BQ60</f>
        <v>2.35</v>
      </c>
      <c r="G298" s="245">
        <f>data!BR60</f>
        <v>0.01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64731</v>
      </c>
      <c r="D299" s="238">
        <f>data!BO61</f>
        <v>0</v>
      </c>
      <c r="E299" s="238">
        <f>data!BP61</f>
        <v>0</v>
      </c>
      <c r="F299" s="238">
        <f>data!BQ61</f>
        <v>222903</v>
      </c>
      <c r="G299" s="238">
        <f>data!BR61</f>
        <v>743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18540</v>
      </c>
      <c r="D300" s="238">
        <f>data!BO62</f>
        <v>0</v>
      </c>
      <c r="E300" s="238">
        <f>data!BP62</f>
        <v>0</v>
      </c>
      <c r="F300" s="238">
        <f>data!BQ62</f>
        <v>62547</v>
      </c>
      <c r="G300" s="238">
        <f>data!BR62</f>
        <v>214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0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9494</v>
      </c>
      <c r="D302" s="238">
        <f>data!BO64</f>
        <v>2200</v>
      </c>
      <c r="E302" s="238">
        <f>data!BP64</f>
        <v>0</v>
      </c>
      <c r="F302" s="238">
        <f>data!BQ64</f>
        <v>5950</v>
      </c>
      <c r="G302" s="238">
        <f>data!BR64</f>
        <v>5643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521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648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522</v>
      </c>
      <c r="C304" s="238">
        <f>data!BN66</f>
        <v>16062</v>
      </c>
      <c r="D304" s="238">
        <f>data!BO66</f>
        <v>0</v>
      </c>
      <c r="E304" s="238">
        <f>data!BP66</f>
        <v>0</v>
      </c>
      <c r="F304" s="238">
        <f>data!BQ66</f>
        <v>6325</v>
      </c>
      <c r="G304" s="238">
        <f>data!BR66</f>
        <v>45978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85441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46461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1006</v>
      </c>
      <c r="C306" s="238">
        <f>data!BN68</f>
        <v>70707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1007</v>
      </c>
      <c r="C307" s="238">
        <f>data!BN69</f>
        <v>18682449</v>
      </c>
      <c r="D307" s="238">
        <f>data!BO69</f>
        <v>0</v>
      </c>
      <c r="E307" s="238">
        <f>data!BP69</f>
        <v>0</v>
      </c>
      <c r="F307" s="238">
        <f>data!BQ69</f>
        <v>11791</v>
      </c>
      <c r="G307" s="238">
        <f>data!BR69</f>
        <v>26500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1008</v>
      </c>
      <c r="C309" s="238">
        <f>data!BN85</f>
        <v>18947424</v>
      </c>
      <c r="D309" s="238">
        <f>data!BO85</f>
        <v>2200</v>
      </c>
      <c r="E309" s="238">
        <f>data!BP85</f>
        <v>0</v>
      </c>
      <c r="F309" s="238">
        <f>data!BQ85</f>
        <v>310164</v>
      </c>
      <c r="G309" s="238">
        <f>data!BR85</f>
        <v>125539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1009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1010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1011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1012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1013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1014</v>
      </c>
      <c r="C316" s="254">
        <f>data!BN90</f>
        <v>4432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2410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1015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1016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1017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999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1051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Astria Sunnyside Hospital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1001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1050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1005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5.49</v>
      </c>
      <c r="E330" s="245">
        <f>data!BW60</f>
        <v>0</v>
      </c>
      <c r="F330" s="245">
        <f>data!BX60</f>
        <v>0</v>
      </c>
      <c r="G330" s="245">
        <f>data!BY60</f>
        <v>4.4399999999999995</v>
      </c>
      <c r="H330" s="245">
        <f>data!BZ60</f>
        <v>0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251143</v>
      </c>
      <c r="E331" s="257">
        <f>data!BW61</f>
        <v>0</v>
      </c>
      <c r="F331" s="257">
        <f>data!BX61</f>
        <v>0</v>
      </c>
      <c r="G331" s="257">
        <f>data!BY61</f>
        <v>536442</v>
      </c>
      <c r="H331" s="257">
        <f>data!BZ61</f>
        <v>0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67708</v>
      </c>
      <c r="E332" s="257">
        <f>data!BW62</f>
        <v>0</v>
      </c>
      <c r="F332" s="257">
        <f>data!BX62</f>
        <v>0</v>
      </c>
      <c r="G332" s="257">
        <f>data!BY62</f>
        <v>138825</v>
      </c>
      <c r="H332" s="257">
        <f>data!BZ62</f>
        <v>0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71009</v>
      </c>
      <c r="E334" s="257">
        <f>data!BW64</f>
        <v>0</v>
      </c>
      <c r="F334" s="257">
        <f>data!BX64</f>
        <v>0</v>
      </c>
      <c r="G334" s="257">
        <f>data!BY64</f>
        <v>1895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521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522</v>
      </c>
      <c r="C336" s="257">
        <f>data!BU66</f>
        <v>0</v>
      </c>
      <c r="D336" s="257">
        <f>data!BV66</f>
        <v>43869</v>
      </c>
      <c r="E336" s="257">
        <f>data!BW66</f>
        <v>0</v>
      </c>
      <c r="F336" s="257">
        <f>data!BX66</f>
        <v>0</v>
      </c>
      <c r="G336" s="257">
        <f>data!BY66</f>
        <v>85246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71021</v>
      </c>
      <c r="E337" s="257">
        <f>data!BW67</f>
        <v>0</v>
      </c>
      <c r="F337" s="257">
        <f>data!BX67</f>
        <v>0</v>
      </c>
      <c r="G337" s="257">
        <f>data!BY67</f>
        <v>28744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1006</v>
      </c>
      <c r="C338" s="257">
        <f>data!BU68</f>
        <v>0</v>
      </c>
      <c r="D338" s="257">
        <f>data!BV68</f>
        <v>8527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1007</v>
      </c>
      <c r="C339" s="257">
        <f>data!BU69</f>
        <v>0</v>
      </c>
      <c r="D339" s="257">
        <f>data!BV69</f>
        <v>22953</v>
      </c>
      <c r="E339" s="257">
        <f>data!BW69</f>
        <v>0</v>
      </c>
      <c r="F339" s="257">
        <f>data!BX69</f>
        <v>0</v>
      </c>
      <c r="G339" s="257">
        <f>data!BY69</f>
        <v>343905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1008</v>
      </c>
      <c r="C341" s="238">
        <f>data!BU85</f>
        <v>0</v>
      </c>
      <c r="D341" s="238">
        <f>data!BV85</f>
        <v>536230</v>
      </c>
      <c r="E341" s="238">
        <f>data!BW85</f>
        <v>0</v>
      </c>
      <c r="F341" s="238">
        <f>data!BX85</f>
        <v>0</v>
      </c>
      <c r="G341" s="238">
        <f>data!BY85</f>
        <v>1135057</v>
      </c>
      <c r="H341" s="238">
        <f>data!BZ85</f>
        <v>0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1009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1010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1011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1012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1013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1014</v>
      </c>
      <c r="C348" s="254">
        <f>data!BU90</f>
        <v>0</v>
      </c>
      <c r="D348" s="254">
        <f>data!BV90</f>
        <v>3684</v>
      </c>
      <c r="E348" s="254">
        <f>data!BW90</f>
        <v>0</v>
      </c>
      <c r="F348" s="254">
        <f>data!BX90</f>
        <v>0</v>
      </c>
      <c r="G348" s="254">
        <f>data!BY90</f>
        <v>1491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1015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1016</v>
      </c>
      <c r="C350" s="254">
        <f>data!BU92</f>
        <v>0</v>
      </c>
      <c r="D350" s="254">
        <f>data!BV92</f>
        <v>148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1017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999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1052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Astria Sunnyside Hospital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1001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1053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1005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0.12</v>
      </c>
      <c r="E362" s="260"/>
      <c r="F362" s="248"/>
      <c r="G362" s="248"/>
      <c r="H362" s="248"/>
      <c r="I362" s="261">
        <f>data!CE60</f>
        <v>351.85999999999996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40767</v>
      </c>
      <c r="E363" s="262"/>
      <c r="F363" s="262"/>
      <c r="G363" s="262"/>
      <c r="H363" s="262"/>
      <c r="I363" s="257">
        <f>data!CE61</f>
        <v>36602180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9182</v>
      </c>
      <c r="E364" s="262"/>
      <c r="F364" s="262"/>
      <c r="G364" s="262"/>
      <c r="H364" s="262"/>
      <c r="I364" s="257">
        <f>data!CE62</f>
        <v>9188423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4388</v>
      </c>
      <c r="E365" s="262"/>
      <c r="F365" s="262"/>
      <c r="G365" s="262"/>
      <c r="H365" s="262"/>
      <c r="I365" s="257">
        <f>data!CE63</f>
        <v>1172145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937</v>
      </c>
      <c r="E366" s="262"/>
      <c r="F366" s="262"/>
      <c r="G366" s="262"/>
      <c r="H366" s="262"/>
      <c r="I366" s="257">
        <f>data!CE64</f>
        <v>21103097</v>
      </c>
    </row>
    <row r="367" spans="1:9" ht="20.100000000000001" customHeight="1" x14ac:dyDescent="0.2">
      <c r="A367" s="230">
        <v>10</v>
      </c>
      <c r="B367" s="238" t="s">
        <v>521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856409</v>
      </c>
    </row>
    <row r="368" spans="1:9" ht="20.100000000000001" customHeight="1" x14ac:dyDescent="0.2">
      <c r="A368" s="230">
        <v>11</v>
      </c>
      <c r="B368" s="238" t="s">
        <v>522</v>
      </c>
      <c r="C368" s="257">
        <f>data!CB66</f>
        <v>0</v>
      </c>
      <c r="D368" s="257">
        <f>data!CC66</f>
        <v>174845</v>
      </c>
      <c r="E368" s="262"/>
      <c r="F368" s="262"/>
      <c r="G368" s="262"/>
      <c r="H368" s="262"/>
      <c r="I368" s="257">
        <f>data!CE66</f>
        <v>10843696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140789</v>
      </c>
      <c r="E369" s="262"/>
      <c r="F369" s="262"/>
      <c r="G369" s="262"/>
      <c r="H369" s="262"/>
      <c r="I369" s="257">
        <f>data!CE67</f>
        <v>2303886</v>
      </c>
    </row>
    <row r="370" spans="1:9" ht="20.100000000000001" customHeight="1" x14ac:dyDescent="0.2">
      <c r="A370" s="230">
        <v>13</v>
      </c>
      <c r="B370" s="238" t="s">
        <v>1006</v>
      </c>
      <c r="C370" s="257">
        <f>data!CB68</f>
        <v>0</v>
      </c>
      <c r="D370" s="257">
        <f>data!CC68</f>
        <v>101</v>
      </c>
      <c r="E370" s="262"/>
      <c r="F370" s="262"/>
      <c r="G370" s="262"/>
      <c r="H370" s="262"/>
      <c r="I370" s="257">
        <f>data!CE68</f>
        <v>1088032</v>
      </c>
    </row>
    <row r="371" spans="1:9" ht="20.100000000000001" customHeight="1" x14ac:dyDescent="0.2">
      <c r="A371" s="230">
        <v>14</v>
      </c>
      <c r="B371" s="238" t="s">
        <v>1007</v>
      </c>
      <c r="C371" s="257">
        <f>data!CB69</f>
        <v>0</v>
      </c>
      <c r="D371" s="257">
        <f>data!CC69</f>
        <v>1236665</v>
      </c>
      <c r="E371" s="257">
        <f>data!CD69</f>
        <v>6538683</v>
      </c>
      <c r="F371" s="262"/>
      <c r="G371" s="262"/>
      <c r="H371" s="262"/>
      <c r="I371" s="257">
        <f>data!CE69</f>
        <v>33906726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0</v>
      </c>
      <c r="F372" s="248"/>
      <c r="G372" s="248"/>
      <c r="H372" s="248"/>
      <c r="I372" s="238">
        <f>-data!CE84</f>
        <v>0</v>
      </c>
    </row>
    <row r="373" spans="1:9" ht="20.100000000000001" customHeight="1" x14ac:dyDescent="0.2">
      <c r="A373" s="230">
        <v>16</v>
      </c>
      <c r="B373" s="246" t="s">
        <v>1008</v>
      </c>
      <c r="C373" s="257">
        <f>data!CB85</f>
        <v>0</v>
      </c>
      <c r="D373" s="257">
        <f>data!CC85</f>
        <v>1607674</v>
      </c>
      <c r="E373" s="257">
        <f>data!CD85</f>
        <v>6538683</v>
      </c>
      <c r="F373" s="262"/>
      <c r="G373" s="262"/>
      <c r="H373" s="262"/>
      <c r="I373" s="238">
        <f>data!CE85</f>
        <v>117064594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1009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1010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71135908</v>
      </c>
    </row>
    <row r="377" spans="1:9" ht="20.100000000000001" customHeight="1" x14ac:dyDescent="0.2">
      <c r="A377" s="230">
        <v>20</v>
      </c>
      <c r="B377" s="246" t="s">
        <v>1011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267539856</v>
      </c>
    </row>
    <row r="378" spans="1:9" ht="20.100000000000001" customHeight="1" x14ac:dyDescent="0.2">
      <c r="A378" s="230">
        <v>21</v>
      </c>
      <c r="B378" s="246" t="s">
        <v>1012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338675764</v>
      </c>
    </row>
    <row r="379" spans="1:9" ht="20.100000000000001" customHeight="1" x14ac:dyDescent="0.2">
      <c r="A379" s="230" t="s">
        <v>1013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1014</v>
      </c>
      <c r="C380" s="254">
        <f>data!CB90</f>
        <v>0</v>
      </c>
      <c r="D380" s="254">
        <f>data!CC90</f>
        <v>7303</v>
      </c>
      <c r="E380" s="248"/>
      <c r="F380" s="248"/>
      <c r="G380" s="248"/>
      <c r="H380" s="248"/>
      <c r="I380" s="238">
        <f>data!CE90</f>
        <v>103666</v>
      </c>
    </row>
    <row r="381" spans="1:9" ht="20.100000000000001" customHeight="1" x14ac:dyDescent="0.2">
      <c r="A381" s="230">
        <v>23</v>
      </c>
      <c r="B381" s="238" t="s">
        <v>1015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22782</v>
      </c>
    </row>
    <row r="382" spans="1:9" ht="20.100000000000001" customHeight="1" x14ac:dyDescent="0.2">
      <c r="A382" s="230">
        <v>24</v>
      </c>
      <c r="B382" s="238" t="s">
        <v>1016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39815</v>
      </c>
    </row>
    <row r="383" spans="1:9" ht="20.100000000000001" customHeight="1" x14ac:dyDescent="0.2">
      <c r="A383" s="230">
        <v>25</v>
      </c>
      <c r="B383" s="238" t="s">
        <v>1017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518671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97.88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6" transitionEvaluation="1" transitionEntry="1" codeName="Sheet1">
    <tabColor rgb="FF92D050"/>
    <pageSetUpPr autoPageBreaks="0" fitToPage="1"/>
  </sheetPr>
  <dimension ref="A1:CF716"/>
  <sheetViews>
    <sheetView topLeftCell="A26" zoomScaleNormal="100" workbookViewId="0">
      <selection activeCell="A39" sqref="A3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0" t="s">
        <v>1054</v>
      </c>
    </row>
    <row r="6" spans="1:5" x14ac:dyDescent="0.25">
      <c r="A6" s="11" t="s">
        <v>1055</v>
      </c>
    </row>
    <row r="7" spans="1:5" x14ac:dyDescent="0.25">
      <c r="A7" s="3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2" t="s">
        <v>23</v>
      </c>
      <c r="F30" s="313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4" t="s">
        <v>27</v>
      </c>
      <c r="B36" s="315"/>
      <c r="C36" s="316"/>
      <c r="D36" s="315"/>
      <c r="E36" s="315"/>
      <c r="F36" s="315"/>
      <c r="G36" s="317"/>
    </row>
    <row r="37" spans="1:83" x14ac:dyDescent="0.25">
      <c r="A37" s="318" t="s">
        <v>1056</v>
      </c>
      <c r="B37" s="319"/>
      <c r="C37" s="320"/>
      <c r="D37" s="321"/>
      <c r="E37" s="321"/>
      <c r="F37" s="321"/>
      <c r="G37" s="322"/>
    </row>
    <row r="38" spans="1:83" x14ac:dyDescent="0.25">
      <c r="A38" s="323" t="s">
        <v>29</v>
      </c>
      <c r="B38" s="319"/>
      <c r="C38" s="320"/>
      <c r="D38" s="321"/>
      <c r="E38" s="321"/>
      <c r="F38" s="321"/>
      <c r="G38" s="322"/>
    </row>
    <row r="39" spans="1:83" x14ac:dyDescent="0.25">
      <c r="A39" s="324" t="s">
        <v>1057</v>
      </c>
      <c r="B39" s="321"/>
      <c r="C39" s="320"/>
      <c r="D39" s="321"/>
      <c r="E39" s="321"/>
      <c r="F39" s="321"/>
      <c r="G39" s="322"/>
    </row>
    <row r="40" spans="1:83" x14ac:dyDescent="0.25">
      <c r="A40" s="325" t="s">
        <v>31</v>
      </c>
      <c r="B40" s="326"/>
      <c r="C40" s="327"/>
      <c r="D40" s="326"/>
      <c r="E40" s="326"/>
      <c r="F40" s="326"/>
      <c r="G40" s="328"/>
    </row>
    <row r="41" spans="1:83" x14ac:dyDescent="0.25">
      <c r="C41" s="13"/>
    </row>
    <row r="42" spans="1:83" x14ac:dyDescent="0.25">
      <c r="A42" s="11" t="s">
        <v>32</v>
      </c>
      <c r="C42" s="13"/>
      <c r="F42" s="313" t="s">
        <v>33</v>
      </c>
    </row>
    <row r="43" spans="1:83" x14ac:dyDescent="0.25">
      <c r="A43" s="313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3340396</v>
      </c>
      <c r="C47" s="273">
        <v>148781</v>
      </c>
      <c r="D47" s="273">
        <v>0</v>
      </c>
      <c r="E47" s="273">
        <v>367880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130746</v>
      </c>
      <c r="Q47" s="273">
        <v>58759</v>
      </c>
      <c r="R47" s="273">
        <v>0</v>
      </c>
      <c r="S47" s="273">
        <v>8752</v>
      </c>
      <c r="T47" s="273">
        <v>0</v>
      </c>
      <c r="U47" s="273">
        <v>157966</v>
      </c>
      <c r="V47" s="273">
        <v>17538</v>
      </c>
      <c r="W47" s="273">
        <v>15477</v>
      </c>
      <c r="X47" s="273">
        <v>24206</v>
      </c>
      <c r="Y47" s="273">
        <v>257818</v>
      </c>
      <c r="Z47" s="273">
        <v>0</v>
      </c>
      <c r="AA47" s="273">
        <v>4873</v>
      </c>
      <c r="AB47" s="273">
        <v>81129</v>
      </c>
      <c r="AC47" s="273">
        <v>0</v>
      </c>
      <c r="AD47" s="273">
        <v>0</v>
      </c>
      <c r="AE47" s="273">
        <v>55240</v>
      </c>
      <c r="AF47" s="273">
        <v>0</v>
      </c>
      <c r="AG47" s="273">
        <v>289840</v>
      </c>
      <c r="AH47" s="273">
        <v>0</v>
      </c>
      <c r="AI47" s="273">
        <v>56373</v>
      </c>
      <c r="AJ47" s="273">
        <v>816543</v>
      </c>
      <c r="AK47" s="273">
        <v>0</v>
      </c>
      <c r="AL47" s="273">
        <v>32162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170200</v>
      </c>
      <c r="AW47" s="273">
        <v>0</v>
      </c>
      <c r="AX47" s="273">
        <v>0</v>
      </c>
      <c r="AY47" s="273">
        <v>46122</v>
      </c>
      <c r="AZ47" s="273">
        <v>0</v>
      </c>
      <c r="BA47" s="273">
        <v>0</v>
      </c>
      <c r="BB47" s="273">
        <v>13121</v>
      </c>
      <c r="BC47" s="273">
        <v>0</v>
      </c>
      <c r="BD47" s="273">
        <v>19359</v>
      </c>
      <c r="BE47" s="273">
        <v>38176</v>
      </c>
      <c r="BF47" s="273">
        <v>91386</v>
      </c>
      <c r="BG47" s="273">
        <v>0</v>
      </c>
      <c r="BH47" s="273">
        <v>137857</v>
      </c>
      <c r="BI47" s="273">
        <v>21268</v>
      </c>
      <c r="BJ47" s="273">
        <v>31480</v>
      </c>
      <c r="BK47" s="273">
        <v>0</v>
      </c>
      <c r="BL47" s="273">
        <v>94960</v>
      </c>
      <c r="BM47" s="273">
        <v>0</v>
      </c>
      <c r="BN47" s="273">
        <v>9126</v>
      </c>
      <c r="BO47" s="273">
        <v>100</v>
      </c>
      <c r="BP47" s="273">
        <v>0</v>
      </c>
      <c r="BQ47" s="273">
        <v>32361</v>
      </c>
      <c r="BR47" s="273">
        <v>27</v>
      </c>
      <c r="BS47" s="273">
        <v>0</v>
      </c>
      <c r="BT47" s="273">
        <v>0</v>
      </c>
      <c r="BU47" s="273">
        <v>0</v>
      </c>
      <c r="BV47" s="273">
        <v>28772</v>
      </c>
      <c r="BW47" s="273">
        <v>0</v>
      </c>
      <c r="BX47" s="273">
        <v>0</v>
      </c>
      <c r="BY47" s="273">
        <v>67373</v>
      </c>
      <c r="BZ47" s="273">
        <v>0</v>
      </c>
      <c r="CA47" s="273">
        <v>0</v>
      </c>
      <c r="CB47" s="273">
        <v>0</v>
      </c>
      <c r="CC47" s="273">
        <v>14625</v>
      </c>
      <c r="CD47" s="16"/>
      <c r="CE47" s="25">
        <v>3340396</v>
      </c>
    </row>
    <row r="48" spans="1:83" x14ac:dyDescent="0.25">
      <c r="A48" s="25" t="s">
        <v>231</v>
      </c>
      <c r="B48" s="272">
        <v>6117517</v>
      </c>
      <c r="C48" s="25">
        <v>261257</v>
      </c>
      <c r="D48" s="25">
        <v>0</v>
      </c>
      <c r="E48" s="25">
        <v>631331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200077</v>
      </c>
      <c r="Q48" s="25">
        <v>89166</v>
      </c>
      <c r="R48" s="25">
        <v>0</v>
      </c>
      <c r="S48" s="25">
        <v>14796</v>
      </c>
      <c r="T48" s="25">
        <v>0</v>
      </c>
      <c r="U48" s="25">
        <v>251845</v>
      </c>
      <c r="V48" s="25">
        <v>28121</v>
      </c>
      <c r="W48" s="25">
        <v>24443</v>
      </c>
      <c r="X48" s="25">
        <v>34601</v>
      </c>
      <c r="Y48" s="25">
        <v>489132</v>
      </c>
      <c r="Z48" s="25">
        <v>0</v>
      </c>
      <c r="AA48" s="25">
        <v>14956</v>
      </c>
      <c r="AB48" s="25">
        <v>136133</v>
      </c>
      <c r="AC48" s="25">
        <v>0</v>
      </c>
      <c r="AD48" s="25">
        <v>0</v>
      </c>
      <c r="AE48" s="25">
        <v>82835</v>
      </c>
      <c r="AF48" s="25">
        <v>0</v>
      </c>
      <c r="AG48" s="25">
        <v>507985</v>
      </c>
      <c r="AH48" s="25">
        <v>0</v>
      </c>
      <c r="AI48" s="25">
        <v>89774</v>
      </c>
      <c r="AJ48" s="25">
        <v>1873432</v>
      </c>
      <c r="AK48" s="25">
        <v>0</v>
      </c>
      <c r="AL48" s="25">
        <v>53196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279401</v>
      </c>
      <c r="AW48" s="25">
        <v>0</v>
      </c>
      <c r="AX48" s="25">
        <v>0</v>
      </c>
      <c r="AY48" s="25">
        <v>77251</v>
      </c>
      <c r="AZ48" s="25">
        <v>0</v>
      </c>
      <c r="BA48" s="25">
        <v>0</v>
      </c>
      <c r="BB48" s="25">
        <v>19511</v>
      </c>
      <c r="BC48" s="25">
        <v>0</v>
      </c>
      <c r="BD48" s="25">
        <v>33018</v>
      </c>
      <c r="BE48" s="25">
        <v>61238</v>
      </c>
      <c r="BF48" s="25">
        <v>144416</v>
      </c>
      <c r="BG48" s="25">
        <v>0</v>
      </c>
      <c r="BH48" s="25">
        <v>212363</v>
      </c>
      <c r="BI48" s="25">
        <v>37010</v>
      </c>
      <c r="BJ48" s="25">
        <v>49994</v>
      </c>
      <c r="BK48" s="25">
        <v>0</v>
      </c>
      <c r="BL48" s="25">
        <v>163686</v>
      </c>
      <c r="BM48" s="25">
        <v>0</v>
      </c>
      <c r="BN48" s="25">
        <v>10303</v>
      </c>
      <c r="BO48" s="25">
        <v>0</v>
      </c>
      <c r="BP48" s="25">
        <v>0</v>
      </c>
      <c r="BQ48" s="25">
        <v>46595</v>
      </c>
      <c r="BR48" s="25">
        <v>39</v>
      </c>
      <c r="BS48" s="25">
        <v>0</v>
      </c>
      <c r="BT48" s="25">
        <v>0</v>
      </c>
      <c r="BU48" s="25">
        <v>0</v>
      </c>
      <c r="BV48" s="25">
        <v>44678</v>
      </c>
      <c r="BW48" s="25">
        <v>0</v>
      </c>
      <c r="BX48" s="25">
        <v>0</v>
      </c>
      <c r="BY48" s="25">
        <v>130355</v>
      </c>
      <c r="BZ48" s="25">
        <v>0</v>
      </c>
      <c r="CA48" s="25">
        <v>0</v>
      </c>
      <c r="CB48" s="25">
        <v>0</v>
      </c>
      <c r="CC48" s="25">
        <v>24579</v>
      </c>
      <c r="CD48" s="25" t="s">
        <v>1058</v>
      </c>
      <c r="CE48" s="25" t="s">
        <v>1058</v>
      </c>
    </row>
    <row r="49" spans="1:83" x14ac:dyDescent="0.25">
      <c r="A49" s="16" t="s">
        <v>232</v>
      </c>
      <c r="B49" s="25">
        <v>9457913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0</v>
      </c>
    </row>
    <row r="52" spans="1:83" x14ac:dyDescent="0.25">
      <c r="A52" s="31" t="s">
        <v>234</v>
      </c>
      <c r="B52" s="329">
        <v>2154598</v>
      </c>
      <c r="C52" s="25">
        <v>61550</v>
      </c>
      <c r="D52" s="25">
        <v>0</v>
      </c>
      <c r="E52" s="25">
        <v>373608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92187</v>
      </c>
      <c r="Q52" s="25">
        <v>25269</v>
      </c>
      <c r="R52" s="25">
        <v>2016</v>
      </c>
      <c r="S52" s="25">
        <v>11096</v>
      </c>
      <c r="T52" s="25">
        <v>3968</v>
      </c>
      <c r="U52" s="25">
        <v>54634</v>
      </c>
      <c r="V52" s="25">
        <v>3267</v>
      </c>
      <c r="W52" s="25">
        <v>19647</v>
      </c>
      <c r="X52" s="25">
        <v>9251</v>
      </c>
      <c r="Y52" s="25">
        <v>79288</v>
      </c>
      <c r="Z52" s="25">
        <v>0</v>
      </c>
      <c r="AA52" s="25">
        <v>8635</v>
      </c>
      <c r="AB52" s="25">
        <v>18544</v>
      </c>
      <c r="AC52" s="25">
        <v>6853</v>
      </c>
      <c r="AD52" s="25">
        <v>5644</v>
      </c>
      <c r="AE52" s="25">
        <v>6195</v>
      </c>
      <c r="AF52" s="25">
        <v>0</v>
      </c>
      <c r="AG52" s="25">
        <v>151531</v>
      </c>
      <c r="AH52" s="25">
        <v>0</v>
      </c>
      <c r="AI52" s="25">
        <v>40503</v>
      </c>
      <c r="AJ52" s="25">
        <v>664301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29385</v>
      </c>
      <c r="AW52" s="25">
        <v>0</v>
      </c>
      <c r="AX52" s="25">
        <v>0</v>
      </c>
      <c r="AY52" s="25">
        <v>54931</v>
      </c>
      <c r="AZ52" s="25">
        <v>0</v>
      </c>
      <c r="BA52" s="25">
        <v>0</v>
      </c>
      <c r="BB52" s="25">
        <v>0</v>
      </c>
      <c r="BC52" s="25">
        <v>0</v>
      </c>
      <c r="BD52" s="25">
        <v>17950</v>
      </c>
      <c r="BE52" s="25">
        <v>265975</v>
      </c>
      <c r="BF52" s="25">
        <v>21620</v>
      </c>
      <c r="BG52" s="25">
        <v>0</v>
      </c>
      <c r="BH52" s="25">
        <v>2376</v>
      </c>
      <c r="BI52" s="25">
        <v>0</v>
      </c>
      <c r="BJ52" s="25">
        <v>0</v>
      </c>
      <c r="BK52" s="25">
        <v>0</v>
      </c>
      <c r="BL52" s="25">
        <v>3522</v>
      </c>
      <c r="BM52" s="25">
        <v>0</v>
      </c>
      <c r="BN52" s="25">
        <v>48905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36790</v>
      </c>
      <c r="BW52" s="25">
        <v>0</v>
      </c>
      <c r="BX52" s="25">
        <v>0</v>
      </c>
      <c r="BY52" s="25">
        <v>31634</v>
      </c>
      <c r="BZ52" s="25">
        <v>0</v>
      </c>
      <c r="CA52" s="25">
        <v>0</v>
      </c>
      <c r="CB52" s="25">
        <v>0</v>
      </c>
      <c r="CC52" s="25">
        <v>3522</v>
      </c>
      <c r="CD52" s="25" t="s">
        <v>1058</v>
      </c>
      <c r="CE52" s="25" t="s">
        <v>1058</v>
      </c>
    </row>
    <row r="53" spans="1:83" x14ac:dyDescent="0.25">
      <c r="A53" s="16" t="s">
        <v>232</v>
      </c>
      <c r="B53" s="25">
        <v>2154598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0</v>
      </c>
      <c r="D59" s="273">
        <v>0</v>
      </c>
      <c r="E59" s="273">
        <v>0</v>
      </c>
      <c r="F59" s="273">
        <v>0</v>
      </c>
      <c r="G59" s="273">
        <v>0</v>
      </c>
      <c r="H59" s="273">
        <v>0</v>
      </c>
      <c r="I59" s="273">
        <v>0</v>
      </c>
      <c r="J59" s="273">
        <v>0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330">
        <v>0</v>
      </c>
      <c r="Q59" s="330">
        <v>0</v>
      </c>
      <c r="R59" s="330">
        <v>0</v>
      </c>
      <c r="S59" s="331">
        <v>0</v>
      </c>
      <c r="T59" s="331">
        <v>0</v>
      </c>
      <c r="U59" s="332">
        <v>0</v>
      </c>
      <c r="V59" s="330">
        <v>0</v>
      </c>
      <c r="W59" s="330">
        <v>0</v>
      </c>
      <c r="X59" s="330">
        <v>0</v>
      </c>
      <c r="Y59" s="330">
        <v>0</v>
      </c>
      <c r="Z59" s="330">
        <v>0</v>
      </c>
      <c r="AA59" s="330">
        <v>0</v>
      </c>
      <c r="AB59" s="331">
        <v>0</v>
      </c>
      <c r="AC59" s="330">
        <v>0</v>
      </c>
      <c r="AD59" s="330">
        <v>0</v>
      </c>
      <c r="AE59" s="330">
        <v>0</v>
      </c>
      <c r="AF59" s="330">
        <v>0</v>
      </c>
      <c r="AG59" s="330">
        <v>0</v>
      </c>
      <c r="AH59" s="330">
        <v>0</v>
      </c>
      <c r="AI59" s="330">
        <v>0</v>
      </c>
      <c r="AJ59" s="330">
        <v>0</v>
      </c>
      <c r="AK59" s="330">
        <v>0</v>
      </c>
      <c r="AL59" s="330">
        <v>0</v>
      </c>
      <c r="AM59" s="330">
        <v>0</v>
      </c>
      <c r="AN59" s="330">
        <v>0</v>
      </c>
      <c r="AO59" s="330">
        <v>0</v>
      </c>
      <c r="AP59" s="330">
        <v>0</v>
      </c>
      <c r="AQ59" s="330">
        <v>0</v>
      </c>
      <c r="AR59" s="330">
        <v>0</v>
      </c>
      <c r="AS59" s="330">
        <v>0</v>
      </c>
      <c r="AT59" s="330">
        <v>0</v>
      </c>
      <c r="AU59" s="330">
        <v>0</v>
      </c>
      <c r="AV59" s="331">
        <v>0</v>
      </c>
      <c r="AW59" s="331">
        <v>0</v>
      </c>
      <c r="AX59" s="331">
        <v>0</v>
      </c>
      <c r="AY59" s="330">
        <v>24961</v>
      </c>
      <c r="AZ59" s="330">
        <v>0</v>
      </c>
      <c r="BA59" s="331">
        <v>0</v>
      </c>
      <c r="BB59" s="331">
        <v>0</v>
      </c>
      <c r="BC59" s="331">
        <v>0</v>
      </c>
      <c r="BD59" s="331">
        <v>0</v>
      </c>
      <c r="BE59" s="330">
        <v>101551</v>
      </c>
      <c r="BF59" s="331">
        <v>0</v>
      </c>
      <c r="BG59" s="331">
        <v>0</v>
      </c>
      <c r="BH59" s="331">
        <v>0</v>
      </c>
      <c r="BI59" s="331">
        <v>0</v>
      </c>
      <c r="BJ59" s="331">
        <v>0</v>
      </c>
      <c r="BK59" s="331">
        <v>0</v>
      </c>
      <c r="BL59" s="331">
        <v>0</v>
      </c>
      <c r="BM59" s="331">
        <v>0</v>
      </c>
      <c r="BN59" s="331">
        <v>0</v>
      </c>
      <c r="BO59" s="331">
        <v>0</v>
      </c>
      <c r="BP59" s="331">
        <v>0</v>
      </c>
      <c r="BQ59" s="331">
        <v>0</v>
      </c>
      <c r="BR59" s="331">
        <v>0</v>
      </c>
      <c r="BS59" s="331">
        <v>0</v>
      </c>
      <c r="BT59" s="331">
        <v>0</v>
      </c>
      <c r="BU59" s="331">
        <v>0</v>
      </c>
      <c r="BV59" s="331">
        <v>0</v>
      </c>
      <c r="BW59" s="331">
        <v>0</v>
      </c>
      <c r="BX59" s="331">
        <v>0</v>
      </c>
      <c r="BY59" s="331">
        <v>0</v>
      </c>
      <c r="BZ59" s="331">
        <v>0</v>
      </c>
      <c r="CA59" s="331">
        <v>0</v>
      </c>
      <c r="CB59" s="331">
        <v>0</v>
      </c>
      <c r="CC59" s="331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277">
        <v>12.18</v>
      </c>
      <c r="D60" s="277">
        <v>0</v>
      </c>
      <c r="E60" s="277">
        <v>32.65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333">
        <v>12.59</v>
      </c>
      <c r="Q60" s="333">
        <v>3.19</v>
      </c>
      <c r="R60" s="333">
        <v>0</v>
      </c>
      <c r="S60" s="278">
        <v>1.9</v>
      </c>
      <c r="T60" s="278">
        <v>0</v>
      </c>
      <c r="U60" s="334">
        <v>21.38</v>
      </c>
      <c r="V60" s="333">
        <v>1.27</v>
      </c>
      <c r="W60" s="333">
        <v>1.43</v>
      </c>
      <c r="X60" s="333">
        <v>2.02</v>
      </c>
      <c r="Y60" s="333">
        <v>20.05</v>
      </c>
      <c r="Z60" s="333">
        <v>0</v>
      </c>
      <c r="AA60" s="333">
        <v>0.48</v>
      </c>
      <c r="AB60" s="278">
        <v>7.68</v>
      </c>
      <c r="AC60" s="333">
        <v>0</v>
      </c>
      <c r="AD60" s="333">
        <v>0</v>
      </c>
      <c r="AE60" s="333">
        <v>6.44</v>
      </c>
      <c r="AF60" s="333">
        <v>0</v>
      </c>
      <c r="AG60" s="333">
        <v>21.63</v>
      </c>
      <c r="AH60" s="333">
        <v>0</v>
      </c>
      <c r="AI60" s="333">
        <v>4.82</v>
      </c>
      <c r="AJ60" s="333">
        <v>80.91</v>
      </c>
      <c r="AK60" s="333">
        <v>0</v>
      </c>
      <c r="AL60" s="333">
        <v>2.67</v>
      </c>
      <c r="AM60" s="333">
        <v>0</v>
      </c>
      <c r="AN60" s="333">
        <v>0</v>
      </c>
      <c r="AO60" s="333">
        <v>0</v>
      </c>
      <c r="AP60" s="333">
        <v>0</v>
      </c>
      <c r="AQ60" s="333">
        <v>0</v>
      </c>
      <c r="AR60" s="333">
        <v>0</v>
      </c>
      <c r="AS60" s="333">
        <v>0</v>
      </c>
      <c r="AT60" s="333">
        <v>0</v>
      </c>
      <c r="AU60" s="333">
        <v>0</v>
      </c>
      <c r="AV60" s="278">
        <v>12.98</v>
      </c>
      <c r="AW60" s="278">
        <v>0</v>
      </c>
      <c r="AX60" s="278">
        <v>0</v>
      </c>
      <c r="AY60" s="333">
        <v>10.200000000000001</v>
      </c>
      <c r="AZ60" s="333">
        <v>0</v>
      </c>
      <c r="BA60" s="278">
        <v>0</v>
      </c>
      <c r="BB60" s="278">
        <v>0</v>
      </c>
      <c r="BC60" s="278">
        <v>0</v>
      </c>
      <c r="BD60" s="278">
        <v>4.55</v>
      </c>
      <c r="BE60" s="333">
        <v>4.5199999999999996</v>
      </c>
      <c r="BF60" s="278">
        <v>18.78</v>
      </c>
      <c r="BG60" s="278">
        <v>0</v>
      </c>
      <c r="BH60" s="278">
        <v>15.13</v>
      </c>
      <c r="BI60" s="278">
        <v>2.1800000000000002</v>
      </c>
      <c r="BJ60" s="278">
        <v>4.05</v>
      </c>
      <c r="BK60" s="278">
        <v>0</v>
      </c>
      <c r="BL60" s="278">
        <v>20.11</v>
      </c>
      <c r="BM60" s="278">
        <v>0</v>
      </c>
      <c r="BN60" s="278">
        <v>0.73</v>
      </c>
      <c r="BO60" s="278">
        <v>0</v>
      </c>
      <c r="BP60" s="278">
        <v>0</v>
      </c>
      <c r="BQ60" s="278">
        <v>3.08</v>
      </c>
      <c r="BR60" s="278">
        <v>0.01</v>
      </c>
      <c r="BS60" s="278">
        <v>0</v>
      </c>
      <c r="BT60" s="278">
        <v>0</v>
      </c>
      <c r="BU60" s="278">
        <v>0</v>
      </c>
      <c r="BV60" s="278">
        <v>5.13</v>
      </c>
      <c r="BW60" s="278">
        <v>0</v>
      </c>
      <c r="BX60" s="278">
        <v>0</v>
      </c>
      <c r="BY60" s="278">
        <v>4.67</v>
      </c>
      <c r="BZ60" s="278">
        <v>0</v>
      </c>
      <c r="CA60" s="278">
        <v>0</v>
      </c>
      <c r="CB60" s="278">
        <v>0</v>
      </c>
      <c r="CC60" s="278">
        <v>10.66</v>
      </c>
      <c r="CD60" s="209" t="s">
        <v>247</v>
      </c>
      <c r="CE60" s="227">
        <v>350.07</v>
      </c>
    </row>
    <row r="61" spans="1:83" x14ac:dyDescent="0.25">
      <c r="A61" s="31" t="s">
        <v>262</v>
      </c>
      <c r="B61" s="16"/>
      <c r="C61" s="273">
        <v>1438200</v>
      </c>
      <c r="D61" s="273">
        <v>0</v>
      </c>
      <c r="E61" s="273">
        <v>3475424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330">
        <v>1101405</v>
      </c>
      <c r="Q61" s="330">
        <v>490852</v>
      </c>
      <c r="R61" s="330">
        <v>0</v>
      </c>
      <c r="S61" s="280">
        <v>81448</v>
      </c>
      <c r="T61" s="280">
        <v>0</v>
      </c>
      <c r="U61" s="332">
        <v>1386383</v>
      </c>
      <c r="V61" s="330">
        <v>154803</v>
      </c>
      <c r="W61" s="330">
        <v>134558</v>
      </c>
      <c r="X61" s="330">
        <v>190476</v>
      </c>
      <c r="Y61" s="330">
        <v>2692628</v>
      </c>
      <c r="Z61" s="330">
        <v>0</v>
      </c>
      <c r="AA61" s="330">
        <v>82331</v>
      </c>
      <c r="AB61" s="330">
        <v>749401</v>
      </c>
      <c r="AC61" s="330">
        <v>0</v>
      </c>
      <c r="AD61" s="330">
        <v>0</v>
      </c>
      <c r="AE61" s="330">
        <v>456001</v>
      </c>
      <c r="AF61" s="330">
        <v>0</v>
      </c>
      <c r="AG61" s="330">
        <v>2796414</v>
      </c>
      <c r="AH61" s="330">
        <v>0</v>
      </c>
      <c r="AI61" s="330">
        <v>494197</v>
      </c>
      <c r="AJ61" s="330">
        <v>10313088</v>
      </c>
      <c r="AK61" s="330">
        <v>0</v>
      </c>
      <c r="AL61" s="330">
        <v>292842</v>
      </c>
      <c r="AM61" s="330">
        <v>0</v>
      </c>
      <c r="AN61" s="330">
        <v>0</v>
      </c>
      <c r="AO61" s="330">
        <v>0</v>
      </c>
      <c r="AP61" s="330">
        <v>0</v>
      </c>
      <c r="AQ61" s="330">
        <v>0</v>
      </c>
      <c r="AR61" s="330">
        <v>0</v>
      </c>
      <c r="AS61" s="330">
        <v>0</v>
      </c>
      <c r="AT61" s="330">
        <v>0</v>
      </c>
      <c r="AU61" s="330">
        <v>0</v>
      </c>
      <c r="AV61" s="280">
        <v>1538081</v>
      </c>
      <c r="AW61" s="280">
        <v>0</v>
      </c>
      <c r="AX61" s="280">
        <v>0</v>
      </c>
      <c r="AY61" s="330">
        <v>425261</v>
      </c>
      <c r="AZ61" s="330">
        <v>0</v>
      </c>
      <c r="BA61" s="280">
        <v>0</v>
      </c>
      <c r="BB61" s="280">
        <v>107406</v>
      </c>
      <c r="BC61" s="280">
        <v>0</v>
      </c>
      <c r="BD61" s="280">
        <v>181761</v>
      </c>
      <c r="BE61" s="330">
        <v>337110</v>
      </c>
      <c r="BF61" s="280">
        <v>794999</v>
      </c>
      <c r="BG61" s="280">
        <v>0</v>
      </c>
      <c r="BH61" s="280">
        <v>1169041</v>
      </c>
      <c r="BI61" s="280">
        <v>203738</v>
      </c>
      <c r="BJ61" s="280">
        <v>275215</v>
      </c>
      <c r="BK61" s="280">
        <v>0</v>
      </c>
      <c r="BL61" s="280">
        <v>901075</v>
      </c>
      <c r="BM61" s="280">
        <v>0</v>
      </c>
      <c r="BN61" s="280">
        <v>56716</v>
      </c>
      <c r="BO61" s="280">
        <v>0</v>
      </c>
      <c r="BP61" s="280">
        <v>0</v>
      </c>
      <c r="BQ61" s="280">
        <v>256500</v>
      </c>
      <c r="BR61" s="280">
        <v>216</v>
      </c>
      <c r="BS61" s="280">
        <v>0</v>
      </c>
      <c r="BT61" s="280">
        <v>0</v>
      </c>
      <c r="BU61" s="280">
        <v>0</v>
      </c>
      <c r="BV61" s="280">
        <v>245951</v>
      </c>
      <c r="BW61" s="280">
        <v>0</v>
      </c>
      <c r="BX61" s="280">
        <v>0</v>
      </c>
      <c r="BY61" s="280">
        <v>717595</v>
      </c>
      <c r="BZ61" s="280">
        <v>0</v>
      </c>
      <c r="CA61" s="280">
        <v>0</v>
      </c>
      <c r="CB61" s="280">
        <v>0</v>
      </c>
      <c r="CC61" s="280">
        <v>135303</v>
      </c>
      <c r="CD61" s="24" t="s">
        <v>247</v>
      </c>
      <c r="CE61" s="25">
        <v>33676419</v>
      </c>
    </row>
    <row r="62" spans="1:83" x14ac:dyDescent="0.25">
      <c r="A62" s="31" t="s">
        <v>10</v>
      </c>
      <c r="B62" s="16"/>
      <c r="C62" s="25">
        <v>410038</v>
      </c>
      <c r="D62" s="25">
        <v>0</v>
      </c>
      <c r="E62" s="25">
        <v>999211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330823</v>
      </c>
      <c r="Q62" s="25">
        <v>147925</v>
      </c>
      <c r="R62" s="25">
        <v>0</v>
      </c>
      <c r="S62" s="25">
        <v>23548</v>
      </c>
      <c r="T62" s="25">
        <v>0</v>
      </c>
      <c r="U62" s="25">
        <v>409811</v>
      </c>
      <c r="V62" s="25">
        <v>45659</v>
      </c>
      <c r="W62" s="25">
        <v>39920</v>
      </c>
      <c r="X62" s="25">
        <v>58807</v>
      </c>
      <c r="Y62" s="25">
        <v>746950</v>
      </c>
      <c r="Z62" s="25">
        <v>0</v>
      </c>
      <c r="AA62" s="25">
        <v>19829</v>
      </c>
      <c r="AB62" s="25">
        <v>217262</v>
      </c>
      <c r="AC62" s="25">
        <v>0</v>
      </c>
      <c r="AD62" s="25">
        <v>0</v>
      </c>
      <c r="AE62" s="25">
        <v>138075</v>
      </c>
      <c r="AF62" s="25">
        <v>0</v>
      </c>
      <c r="AG62" s="25">
        <v>797825</v>
      </c>
      <c r="AH62" s="25">
        <v>0</v>
      </c>
      <c r="AI62" s="25">
        <v>146147</v>
      </c>
      <c r="AJ62" s="25">
        <v>2689975</v>
      </c>
      <c r="AK62" s="25">
        <v>0</v>
      </c>
      <c r="AL62" s="25">
        <v>85358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449601</v>
      </c>
      <c r="AW62" s="25">
        <v>0</v>
      </c>
      <c r="AX62" s="25">
        <v>0</v>
      </c>
      <c r="AY62" s="25">
        <v>123373</v>
      </c>
      <c r="AZ62" s="25">
        <v>0</v>
      </c>
      <c r="BA62" s="25">
        <v>0</v>
      </c>
      <c r="BB62" s="25">
        <v>32632</v>
      </c>
      <c r="BC62" s="25">
        <v>0</v>
      </c>
      <c r="BD62" s="25">
        <v>52377</v>
      </c>
      <c r="BE62" s="25">
        <v>99414</v>
      </c>
      <c r="BF62" s="25">
        <v>235802</v>
      </c>
      <c r="BG62" s="25">
        <v>0</v>
      </c>
      <c r="BH62" s="25">
        <v>350220</v>
      </c>
      <c r="BI62" s="25">
        <v>58278</v>
      </c>
      <c r="BJ62" s="25">
        <v>81474</v>
      </c>
      <c r="BK62" s="25">
        <v>0</v>
      </c>
      <c r="BL62" s="25">
        <v>258646</v>
      </c>
      <c r="BM62" s="25">
        <v>0</v>
      </c>
      <c r="BN62" s="25">
        <v>19429</v>
      </c>
      <c r="BO62" s="25">
        <v>100</v>
      </c>
      <c r="BP62" s="25">
        <v>0</v>
      </c>
      <c r="BQ62" s="25">
        <v>78956</v>
      </c>
      <c r="BR62" s="25">
        <v>66</v>
      </c>
      <c r="BS62" s="25">
        <v>0</v>
      </c>
      <c r="BT62" s="25">
        <v>0</v>
      </c>
      <c r="BU62" s="25">
        <v>0</v>
      </c>
      <c r="BV62" s="25">
        <v>73450</v>
      </c>
      <c r="BW62" s="25">
        <v>0</v>
      </c>
      <c r="BX62" s="25">
        <v>0</v>
      </c>
      <c r="BY62" s="25">
        <v>197728</v>
      </c>
      <c r="BZ62" s="25">
        <v>0</v>
      </c>
      <c r="CA62" s="25">
        <v>0</v>
      </c>
      <c r="CB62" s="25">
        <v>0</v>
      </c>
      <c r="CC62" s="25">
        <v>39204</v>
      </c>
      <c r="CD62" s="24" t="s">
        <v>247</v>
      </c>
      <c r="CE62" s="25">
        <v>9457913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330">
        <v>117</v>
      </c>
      <c r="Q63" s="330">
        <v>0</v>
      </c>
      <c r="R63" s="330">
        <v>0</v>
      </c>
      <c r="S63" s="280">
        <v>0</v>
      </c>
      <c r="T63" s="280">
        <v>0</v>
      </c>
      <c r="U63" s="332">
        <v>35000</v>
      </c>
      <c r="V63" s="330">
        <v>0</v>
      </c>
      <c r="W63" s="330">
        <v>0</v>
      </c>
      <c r="X63" s="330">
        <v>0</v>
      </c>
      <c r="Y63" s="330">
        <v>0</v>
      </c>
      <c r="Z63" s="330">
        <v>0</v>
      </c>
      <c r="AA63" s="330">
        <v>0</v>
      </c>
      <c r="AB63" s="281">
        <v>0</v>
      </c>
      <c r="AC63" s="330">
        <v>0</v>
      </c>
      <c r="AD63" s="330">
        <v>0</v>
      </c>
      <c r="AE63" s="330">
        <v>0</v>
      </c>
      <c r="AF63" s="330">
        <v>0</v>
      </c>
      <c r="AG63" s="330">
        <v>798176</v>
      </c>
      <c r="AH63" s="330">
        <v>0</v>
      </c>
      <c r="AI63" s="330">
        <v>0</v>
      </c>
      <c r="AJ63" s="330">
        <v>493787</v>
      </c>
      <c r="AK63" s="330">
        <v>0</v>
      </c>
      <c r="AL63" s="330">
        <v>0</v>
      </c>
      <c r="AM63" s="330">
        <v>0</v>
      </c>
      <c r="AN63" s="330">
        <v>0</v>
      </c>
      <c r="AO63" s="330">
        <v>0</v>
      </c>
      <c r="AP63" s="330">
        <v>0</v>
      </c>
      <c r="AQ63" s="330">
        <v>0</v>
      </c>
      <c r="AR63" s="330">
        <v>0</v>
      </c>
      <c r="AS63" s="330">
        <v>0</v>
      </c>
      <c r="AT63" s="330">
        <v>0</v>
      </c>
      <c r="AU63" s="330">
        <v>0</v>
      </c>
      <c r="AV63" s="280">
        <v>667030</v>
      </c>
      <c r="AW63" s="280">
        <v>0</v>
      </c>
      <c r="AX63" s="280">
        <v>0</v>
      </c>
      <c r="AY63" s="330">
        <v>0</v>
      </c>
      <c r="AZ63" s="330">
        <v>0</v>
      </c>
      <c r="BA63" s="280">
        <v>0</v>
      </c>
      <c r="BB63" s="280">
        <v>0</v>
      </c>
      <c r="BC63" s="280">
        <v>0</v>
      </c>
      <c r="BD63" s="280">
        <v>0</v>
      </c>
      <c r="BE63" s="330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3137</v>
      </c>
      <c r="CD63" s="24" t="s">
        <v>247</v>
      </c>
      <c r="CE63" s="25">
        <v>1997247</v>
      </c>
    </row>
    <row r="64" spans="1:83" x14ac:dyDescent="0.25">
      <c r="A64" s="31" t="s">
        <v>264</v>
      </c>
      <c r="B64" s="16"/>
      <c r="C64" s="273">
        <v>128854</v>
      </c>
      <c r="D64" s="273">
        <v>0</v>
      </c>
      <c r="E64" s="273">
        <v>345180</v>
      </c>
      <c r="F64" s="273">
        <v>0</v>
      </c>
      <c r="G64" s="273">
        <v>0</v>
      </c>
      <c r="H64" s="273">
        <v>0</v>
      </c>
      <c r="I64" s="273">
        <v>0</v>
      </c>
      <c r="J64" s="273">
        <v>5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330">
        <v>4299175</v>
      </c>
      <c r="Q64" s="330">
        <v>32812</v>
      </c>
      <c r="R64" s="330">
        <v>114606</v>
      </c>
      <c r="S64" s="280">
        <v>102858</v>
      </c>
      <c r="T64" s="280">
        <v>134499</v>
      </c>
      <c r="U64" s="332">
        <v>1304764</v>
      </c>
      <c r="V64" s="330">
        <v>7699</v>
      </c>
      <c r="W64" s="330">
        <v>2548</v>
      </c>
      <c r="X64" s="330">
        <v>39352</v>
      </c>
      <c r="Y64" s="330">
        <v>579205</v>
      </c>
      <c r="Z64" s="330">
        <v>0</v>
      </c>
      <c r="AA64" s="330">
        <v>81093</v>
      </c>
      <c r="AB64" s="330">
        <v>6856476</v>
      </c>
      <c r="AC64" s="330">
        <v>105762</v>
      </c>
      <c r="AD64" s="330">
        <v>0</v>
      </c>
      <c r="AE64" s="330">
        <v>48326</v>
      </c>
      <c r="AF64" s="330">
        <v>0</v>
      </c>
      <c r="AG64" s="330">
        <v>486678</v>
      </c>
      <c r="AH64" s="330">
        <v>0</v>
      </c>
      <c r="AI64" s="330">
        <v>123245</v>
      </c>
      <c r="AJ64" s="330">
        <v>608639</v>
      </c>
      <c r="AK64" s="330">
        <v>0</v>
      </c>
      <c r="AL64" s="330">
        <v>59003</v>
      </c>
      <c r="AM64" s="330">
        <v>0</v>
      </c>
      <c r="AN64" s="330">
        <v>0</v>
      </c>
      <c r="AO64" s="330">
        <v>0</v>
      </c>
      <c r="AP64" s="330">
        <v>0</v>
      </c>
      <c r="AQ64" s="330">
        <v>0</v>
      </c>
      <c r="AR64" s="330">
        <v>0</v>
      </c>
      <c r="AS64" s="330">
        <v>0</v>
      </c>
      <c r="AT64" s="330">
        <v>0</v>
      </c>
      <c r="AU64" s="330">
        <v>0</v>
      </c>
      <c r="AV64" s="280">
        <v>459489</v>
      </c>
      <c r="AW64" s="280">
        <v>0</v>
      </c>
      <c r="AX64" s="280">
        <v>0</v>
      </c>
      <c r="AY64" s="330">
        <v>531953</v>
      </c>
      <c r="AZ64" s="330">
        <v>0</v>
      </c>
      <c r="BA64" s="280">
        <v>4505</v>
      </c>
      <c r="BB64" s="280">
        <v>232</v>
      </c>
      <c r="BC64" s="280">
        <v>0</v>
      </c>
      <c r="BD64" s="280">
        <v>-78619</v>
      </c>
      <c r="BE64" s="330">
        <v>85164</v>
      </c>
      <c r="BF64" s="280">
        <v>101908</v>
      </c>
      <c r="BG64" s="280">
        <v>0</v>
      </c>
      <c r="BH64" s="280">
        <v>573187</v>
      </c>
      <c r="BI64" s="280">
        <v>44098</v>
      </c>
      <c r="BJ64" s="280">
        <v>4830</v>
      </c>
      <c r="BK64" s="280">
        <v>0</v>
      </c>
      <c r="BL64" s="280">
        <v>20192</v>
      </c>
      <c r="BM64" s="280">
        <v>0</v>
      </c>
      <c r="BN64" s="280">
        <v>10313</v>
      </c>
      <c r="BO64" s="280">
        <v>4943</v>
      </c>
      <c r="BP64" s="280">
        <v>0</v>
      </c>
      <c r="BQ64" s="280">
        <v>5430</v>
      </c>
      <c r="BR64" s="280">
        <v>6834</v>
      </c>
      <c r="BS64" s="280">
        <v>0</v>
      </c>
      <c r="BT64" s="280">
        <v>0</v>
      </c>
      <c r="BU64" s="280">
        <v>0</v>
      </c>
      <c r="BV64" s="280">
        <v>54672</v>
      </c>
      <c r="BW64" s="280">
        <v>0</v>
      </c>
      <c r="BX64" s="280">
        <v>0</v>
      </c>
      <c r="BY64" s="280">
        <v>15576</v>
      </c>
      <c r="BZ64" s="280">
        <v>0</v>
      </c>
      <c r="CA64" s="280">
        <v>0</v>
      </c>
      <c r="CB64" s="280">
        <v>0</v>
      </c>
      <c r="CC64" s="280">
        <v>9083</v>
      </c>
      <c r="CD64" s="24" t="s">
        <v>247</v>
      </c>
      <c r="CE64" s="25">
        <v>17314569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30">
        <v>0</v>
      </c>
      <c r="Q65" s="330">
        <v>0</v>
      </c>
      <c r="R65" s="330">
        <v>0</v>
      </c>
      <c r="S65" s="280">
        <v>0</v>
      </c>
      <c r="T65" s="280">
        <v>0</v>
      </c>
      <c r="U65" s="332">
        <v>120</v>
      </c>
      <c r="V65" s="330">
        <v>0</v>
      </c>
      <c r="W65" s="330">
        <v>0</v>
      </c>
      <c r="X65" s="330">
        <v>0</v>
      </c>
      <c r="Y65" s="330">
        <v>4351</v>
      </c>
      <c r="Z65" s="330">
        <v>0</v>
      </c>
      <c r="AA65" s="330">
        <v>0</v>
      </c>
      <c r="AB65" s="281">
        <v>0</v>
      </c>
      <c r="AC65" s="330">
        <v>0</v>
      </c>
      <c r="AD65" s="330">
        <v>0</v>
      </c>
      <c r="AE65" s="330">
        <v>0</v>
      </c>
      <c r="AF65" s="330">
        <v>0</v>
      </c>
      <c r="AG65" s="330">
        <v>0</v>
      </c>
      <c r="AH65" s="330">
        <v>0</v>
      </c>
      <c r="AI65" s="330">
        <v>0</v>
      </c>
      <c r="AJ65" s="330">
        <v>173700</v>
      </c>
      <c r="AK65" s="330">
        <v>0</v>
      </c>
      <c r="AL65" s="330">
        <v>7793</v>
      </c>
      <c r="AM65" s="330">
        <v>0</v>
      </c>
      <c r="AN65" s="330">
        <v>0</v>
      </c>
      <c r="AO65" s="330">
        <v>0</v>
      </c>
      <c r="AP65" s="330">
        <v>0</v>
      </c>
      <c r="AQ65" s="330">
        <v>0</v>
      </c>
      <c r="AR65" s="330">
        <v>0</v>
      </c>
      <c r="AS65" s="330">
        <v>0</v>
      </c>
      <c r="AT65" s="330">
        <v>0</v>
      </c>
      <c r="AU65" s="330">
        <v>0</v>
      </c>
      <c r="AV65" s="280">
        <v>4224</v>
      </c>
      <c r="AW65" s="280">
        <v>0</v>
      </c>
      <c r="AX65" s="280">
        <v>0</v>
      </c>
      <c r="AY65" s="330">
        <v>420</v>
      </c>
      <c r="AZ65" s="330">
        <v>0</v>
      </c>
      <c r="BA65" s="280">
        <v>0</v>
      </c>
      <c r="BB65" s="280">
        <v>0</v>
      </c>
      <c r="BC65" s="280">
        <v>0</v>
      </c>
      <c r="BD65" s="280">
        <v>0</v>
      </c>
      <c r="BE65" s="330">
        <v>542942</v>
      </c>
      <c r="BF65" s="280">
        <v>0</v>
      </c>
      <c r="BG65" s="280">
        <v>0</v>
      </c>
      <c r="BH65" s="280">
        <v>93684</v>
      </c>
      <c r="BI65" s="280">
        <v>1783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960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119</v>
      </c>
      <c r="CD65" s="24" t="s">
        <v>247</v>
      </c>
      <c r="CE65" s="25">
        <v>830096</v>
      </c>
    </row>
    <row r="66" spans="1:83" x14ac:dyDescent="0.25">
      <c r="A66" s="31" t="s">
        <v>266</v>
      </c>
      <c r="B66" s="16"/>
      <c r="C66" s="273">
        <v>13041</v>
      </c>
      <c r="D66" s="273">
        <v>0</v>
      </c>
      <c r="E66" s="273">
        <v>1256560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330">
        <v>554353</v>
      </c>
      <c r="Q66" s="330">
        <v>-202</v>
      </c>
      <c r="R66" s="330">
        <v>1053252</v>
      </c>
      <c r="S66" s="280">
        <v>-4695</v>
      </c>
      <c r="T66" s="280">
        <v>0</v>
      </c>
      <c r="U66" s="332">
        <v>11802</v>
      </c>
      <c r="V66" s="330">
        <v>7069</v>
      </c>
      <c r="W66" s="330">
        <v>113002</v>
      </c>
      <c r="X66" s="330">
        <v>91568</v>
      </c>
      <c r="Y66" s="330">
        <v>1111572</v>
      </c>
      <c r="Z66" s="330">
        <v>0</v>
      </c>
      <c r="AA66" s="330">
        <v>36654</v>
      </c>
      <c r="AB66" s="330">
        <v>145390</v>
      </c>
      <c r="AC66" s="330">
        <v>802122</v>
      </c>
      <c r="AD66" s="330">
        <v>480548</v>
      </c>
      <c r="AE66" s="330">
        <v>7848</v>
      </c>
      <c r="AF66" s="330">
        <v>0</v>
      </c>
      <c r="AG66" s="330">
        <v>1540665</v>
      </c>
      <c r="AH66" s="330">
        <v>0</v>
      </c>
      <c r="AI66" s="330">
        <v>0</v>
      </c>
      <c r="AJ66" s="330">
        <v>1382310</v>
      </c>
      <c r="AK66" s="330">
        <v>0</v>
      </c>
      <c r="AL66" s="330">
        <v>3895</v>
      </c>
      <c r="AM66" s="330">
        <v>0</v>
      </c>
      <c r="AN66" s="330">
        <v>0</v>
      </c>
      <c r="AO66" s="330">
        <v>0</v>
      </c>
      <c r="AP66" s="330">
        <v>0</v>
      </c>
      <c r="AQ66" s="330">
        <v>0</v>
      </c>
      <c r="AR66" s="330">
        <v>0</v>
      </c>
      <c r="AS66" s="330">
        <v>0</v>
      </c>
      <c r="AT66" s="330">
        <v>0</v>
      </c>
      <c r="AU66" s="330">
        <v>0</v>
      </c>
      <c r="AV66" s="280">
        <v>304613</v>
      </c>
      <c r="AW66" s="280">
        <v>0</v>
      </c>
      <c r="AX66" s="280">
        <v>0</v>
      </c>
      <c r="AY66" s="330">
        <v>4691</v>
      </c>
      <c r="AZ66" s="330">
        <v>0</v>
      </c>
      <c r="BA66" s="280">
        <v>0</v>
      </c>
      <c r="BB66" s="280">
        <v>15255</v>
      </c>
      <c r="BC66" s="280">
        <v>0</v>
      </c>
      <c r="BD66" s="280">
        <v>1703</v>
      </c>
      <c r="BE66" s="330">
        <v>355048</v>
      </c>
      <c r="BF66" s="280">
        <v>149741</v>
      </c>
      <c r="BG66" s="280">
        <v>0</v>
      </c>
      <c r="BH66" s="280">
        <v>-165180</v>
      </c>
      <c r="BI66" s="280">
        <v>0</v>
      </c>
      <c r="BJ66" s="280">
        <v>923</v>
      </c>
      <c r="BK66" s="280">
        <v>0</v>
      </c>
      <c r="BL66" s="280">
        <v>440</v>
      </c>
      <c r="BM66" s="280">
        <v>0</v>
      </c>
      <c r="BN66" s="280">
        <v>118614</v>
      </c>
      <c r="BO66" s="280">
        <v>0</v>
      </c>
      <c r="BP66" s="280">
        <v>0</v>
      </c>
      <c r="BQ66" s="280">
        <v>594</v>
      </c>
      <c r="BR66" s="280">
        <v>39621</v>
      </c>
      <c r="BS66" s="280">
        <v>0</v>
      </c>
      <c r="BT66" s="280">
        <v>0</v>
      </c>
      <c r="BU66" s="280">
        <v>0</v>
      </c>
      <c r="BV66" s="280">
        <v>79533</v>
      </c>
      <c r="BW66" s="280">
        <v>0</v>
      </c>
      <c r="BX66" s="280">
        <v>0</v>
      </c>
      <c r="BY66" s="280">
        <v>93794</v>
      </c>
      <c r="BZ66" s="280">
        <v>0</v>
      </c>
      <c r="CA66" s="280">
        <v>0</v>
      </c>
      <c r="CB66" s="280">
        <v>0</v>
      </c>
      <c r="CC66" s="280">
        <v>202987</v>
      </c>
      <c r="CD66" s="24" t="s">
        <v>247</v>
      </c>
      <c r="CE66" s="25">
        <v>9809131</v>
      </c>
    </row>
    <row r="67" spans="1:83" x14ac:dyDescent="0.25">
      <c r="A67" s="31" t="s">
        <v>15</v>
      </c>
      <c r="B67" s="16"/>
      <c r="C67" s="25">
        <v>61550</v>
      </c>
      <c r="D67" s="25">
        <v>0</v>
      </c>
      <c r="E67" s="25">
        <v>373608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92187</v>
      </c>
      <c r="Q67" s="25">
        <v>25269</v>
      </c>
      <c r="R67" s="25">
        <v>2016</v>
      </c>
      <c r="S67" s="25">
        <v>11096</v>
      </c>
      <c r="T67" s="25">
        <v>3968</v>
      </c>
      <c r="U67" s="25">
        <v>54634</v>
      </c>
      <c r="V67" s="25">
        <v>3267</v>
      </c>
      <c r="W67" s="25">
        <v>19647</v>
      </c>
      <c r="X67" s="25">
        <v>9251</v>
      </c>
      <c r="Y67" s="25">
        <v>79288</v>
      </c>
      <c r="Z67" s="25">
        <v>0</v>
      </c>
      <c r="AA67" s="25">
        <v>8635</v>
      </c>
      <c r="AB67" s="25">
        <v>18544</v>
      </c>
      <c r="AC67" s="25">
        <v>6853</v>
      </c>
      <c r="AD67" s="25">
        <v>5644</v>
      </c>
      <c r="AE67" s="25">
        <v>6195</v>
      </c>
      <c r="AF67" s="25">
        <v>0</v>
      </c>
      <c r="AG67" s="25">
        <v>151531</v>
      </c>
      <c r="AH67" s="25">
        <v>0</v>
      </c>
      <c r="AI67" s="25">
        <v>40503</v>
      </c>
      <c r="AJ67" s="25">
        <v>664301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29385</v>
      </c>
      <c r="AW67" s="25">
        <v>0</v>
      </c>
      <c r="AX67" s="25">
        <v>0</v>
      </c>
      <c r="AY67" s="25">
        <v>54931</v>
      </c>
      <c r="AZ67" s="25">
        <v>0</v>
      </c>
      <c r="BA67" s="25">
        <v>0</v>
      </c>
      <c r="BB67" s="25">
        <v>0</v>
      </c>
      <c r="BC67" s="25">
        <v>0</v>
      </c>
      <c r="BD67" s="25">
        <v>17950</v>
      </c>
      <c r="BE67" s="25">
        <v>265975</v>
      </c>
      <c r="BF67" s="25">
        <v>21620</v>
      </c>
      <c r="BG67" s="25">
        <v>0</v>
      </c>
      <c r="BH67" s="25">
        <v>2376</v>
      </c>
      <c r="BI67" s="25">
        <v>0</v>
      </c>
      <c r="BJ67" s="25">
        <v>0</v>
      </c>
      <c r="BK67" s="25">
        <v>0</v>
      </c>
      <c r="BL67" s="25">
        <v>3522</v>
      </c>
      <c r="BM67" s="25">
        <v>0</v>
      </c>
      <c r="BN67" s="25">
        <v>48905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36790</v>
      </c>
      <c r="BW67" s="25">
        <v>0</v>
      </c>
      <c r="BX67" s="25">
        <v>0</v>
      </c>
      <c r="BY67" s="25">
        <v>31634</v>
      </c>
      <c r="BZ67" s="25">
        <v>0</v>
      </c>
      <c r="CA67" s="25">
        <v>0</v>
      </c>
      <c r="CB67" s="25">
        <v>0</v>
      </c>
      <c r="CC67" s="25">
        <v>3522</v>
      </c>
      <c r="CD67" s="24" t="s">
        <v>247</v>
      </c>
      <c r="CE67" s="25">
        <v>2154597</v>
      </c>
    </row>
    <row r="68" spans="1:83" x14ac:dyDescent="0.25">
      <c r="A68" s="31" t="s">
        <v>267</v>
      </c>
      <c r="B68" s="25"/>
      <c r="C68" s="273">
        <v>9755</v>
      </c>
      <c r="D68" s="273">
        <v>0</v>
      </c>
      <c r="E68" s="273">
        <v>57644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30">
        <v>-491</v>
      </c>
      <c r="Q68" s="330">
        <v>-531</v>
      </c>
      <c r="R68" s="330">
        <v>0</v>
      </c>
      <c r="S68" s="280">
        <v>0</v>
      </c>
      <c r="T68" s="280">
        <v>0</v>
      </c>
      <c r="U68" s="332">
        <v>83654</v>
      </c>
      <c r="V68" s="330">
        <v>0</v>
      </c>
      <c r="W68" s="330">
        <v>0</v>
      </c>
      <c r="X68" s="330">
        <v>0</v>
      </c>
      <c r="Y68" s="330">
        <v>-788</v>
      </c>
      <c r="Z68" s="330">
        <v>0</v>
      </c>
      <c r="AA68" s="330">
        <v>0</v>
      </c>
      <c r="AB68" s="330">
        <v>174567</v>
      </c>
      <c r="AC68" s="330">
        <v>59278</v>
      </c>
      <c r="AD68" s="330">
        <v>0</v>
      </c>
      <c r="AE68" s="330">
        <v>28939</v>
      </c>
      <c r="AF68" s="330">
        <v>0</v>
      </c>
      <c r="AG68" s="330">
        <v>-990</v>
      </c>
      <c r="AH68" s="330">
        <v>0</v>
      </c>
      <c r="AI68" s="330">
        <v>0</v>
      </c>
      <c r="AJ68" s="330">
        <v>608654</v>
      </c>
      <c r="AK68" s="330">
        <v>0</v>
      </c>
      <c r="AL68" s="330">
        <v>16254</v>
      </c>
      <c r="AM68" s="330">
        <v>0</v>
      </c>
      <c r="AN68" s="330">
        <v>0</v>
      </c>
      <c r="AO68" s="330">
        <v>0</v>
      </c>
      <c r="AP68" s="330">
        <v>0</v>
      </c>
      <c r="AQ68" s="330">
        <v>0</v>
      </c>
      <c r="AR68" s="330">
        <v>0</v>
      </c>
      <c r="AS68" s="330">
        <v>0</v>
      </c>
      <c r="AT68" s="330">
        <v>0</v>
      </c>
      <c r="AU68" s="330">
        <v>0</v>
      </c>
      <c r="AV68" s="280">
        <v>-67</v>
      </c>
      <c r="AW68" s="280">
        <v>0</v>
      </c>
      <c r="AX68" s="280">
        <v>0</v>
      </c>
      <c r="AY68" s="330">
        <v>1065</v>
      </c>
      <c r="AZ68" s="330">
        <v>0</v>
      </c>
      <c r="BA68" s="280">
        <v>0</v>
      </c>
      <c r="BB68" s="280">
        <v>0</v>
      </c>
      <c r="BC68" s="280">
        <v>0</v>
      </c>
      <c r="BD68" s="280">
        <v>0</v>
      </c>
      <c r="BE68" s="330">
        <v>37640</v>
      </c>
      <c r="BF68" s="280">
        <v>0</v>
      </c>
      <c r="BG68" s="280">
        <v>0</v>
      </c>
      <c r="BH68" s="280">
        <v>60459</v>
      </c>
      <c r="BI68" s="280">
        <v>0</v>
      </c>
      <c r="BJ68" s="280">
        <v>5</v>
      </c>
      <c r="BK68" s="280">
        <v>0</v>
      </c>
      <c r="BL68" s="280">
        <v>0</v>
      </c>
      <c r="BM68" s="280">
        <v>0</v>
      </c>
      <c r="BN68" s="280">
        <v>35872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8397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96</v>
      </c>
      <c r="CD68" s="24" t="s">
        <v>247</v>
      </c>
      <c r="CE68" s="25">
        <v>1179412</v>
      </c>
    </row>
    <row r="69" spans="1:83" x14ac:dyDescent="0.25">
      <c r="A69" s="31" t="s">
        <v>268</v>
      </c>
      <c r="B69" s="16"/>
      <c r="C69" s="25">
        <v>427098</v>
      </c>
      <c r="D69" s="25">
        <v>0</v>
      </c>
      <c r="E69" s="25">
        <v>2205316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1040121</v>
      </c>
      <c r="Q69" s="25">
        <v>127481</v>
      </c>
      <c r="R69" s="25">
        <v>15113</v>
      </c>
      <c r="S69" s="25">
        <v>8042</v>
      </c>
      <c r="T69" s="25">
        <v>0</v>
      </c>
      <c r="U69" s="25">
        <v>1959847</v>
      </c>
      <c r="V69" s="25">
        <v>2311</v>
      </c>
      <c r="W69" s="25">
        <v>403</v>
      </c>
      <c r="X69" s="25">
        <v>1915</v>
      </c>
      <c r="Y69" s="25">
        <v>18563</v>
      </c>
      <c r="Z69" s="25">
        <v>0</v>
      </c>
      <c r="AA69" s="25">
        <v>5780</v>
      </c>
      <c r="AB69" s="25">
        <v>55933</v>
      </c>
      <c r="AC69" s="25">
        <v>7472</v>
      </c>
      <c r="AD69" s="25">
        <v>0</v>
      </c>
      <c r="AE69" s="25">
        <v>149344</v>
      </c>
      <c r="AF69" s="25">
        <v>0</v>
      </c>
      <c r="AG69" s="25">
        <v>815989</v>
      </c>
      <c r="AH69" s="25">
        <v>0</v>
      </c>
      <c r="AI69" s="25">
        <v>133830</v>
      </c>
      <c r="AJ69" s="25">
        <v>231216</v>
      </c>
      <c r="AK69" s="25">
        <v>0</v>
      </c>
      <c r="AL69" s="25">
        <v>11649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13870</v>
      </c>
      <c r="AW69" s="25">
        <v>0</v>
      </c>
      <c r="AX69" s="25">
        <v>0</v>
      </c>
      <c r="AY69" s="25">
        <v>60092</v>
      </c>
      <c r="AZ69" s="25">
        <v>0</v>
      </c>
      <c r="BA69" s="25">
        <v>268721</v>
      </c>
      <c r="BB69" s="25">
        <v>0</v>
      </c>
      <c r="BC69" s="25">
        <v>0</v>
      </c>
      <c r="BD69" s="25">
        <v>67110</v>
      </c>
      <c r="BE69" s="25">
        <v>204895</v>
      </c>
      <c r="BF69" s="25">
        <v>12697</v>
      </c>
      <c r="BG69" s="25">
        <v>0</v>
      </c>
      <c r="BH69" s="25">
        <v>46129</v>
      </c>
      <c r="BI69" s="25">
        <v>4216</v>
      </c>
      <c r="BJ69" s="25">
        <v>61035</v>
      </c>
      <c r="BK69" s="25">
        <v>0</v>
      </c>
      <c r="BL69" s="25">
        <v>806</v>
      </c>
      <c r="BM69" s="25">
        <v>0</v>
      </c>
      <c r="BN69" s="25">
        <v>14988690</v>
      </c>
      <c r="BO69" s="25">
        <v>0</v>
      </c>
      <c r="BP69" s="25">
        <v>0</v>
      </c>
      <c r="BQ69" s="25">
        <v>4394</v>
      </c>
      <c r="BR69" s="25">
        <v>125715</v>
      </c>
      <c r="BS69" s="25">
        <v>0</v>
      </c>
      <c r="BT69" s="25">
        <v>0</v>
      </c>
      <c r="BU69" s="25">
        <v>0</v>
      </c>
      <c r="BV69" s="25">
        <v>17762</v>
      </c>
      <c r="BW69" s="25">
        <v>0</v>
      </c>
      <c r="BX69" s="25">
        <v>0</v>
      </c>
      <c r="BY69" s="25">
        <v>178262</v>
      </c>
      <c r="BZ69" s="25">
        <v>0</v>
      </c>
      <c r="CA69" s="25">
        <v>0</v>
      </c>
      <c r="CB69" s="25">
        <v>0</v>
      </c>
      <c r="CC69" s="25">
        <v>1396400</v>
      </c>
      <c r="CD69" s="25">
        <v>6241200</v>
      </c>
      <c r="CE69" s="25">
        <v>30909417</v>
      </c>
    </row>
    <row r="70" spans="1:83" x14ac:dyDescent="0.25">
      <c r="A70" s="26" t="s">
        <v>269</v>
      </c>
      <c r="B70" s="335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392517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392517</v>
      </c>
    </row>
    <row r="71" spans="1:83" x14ac:dyDescent="0.25">
      <c r="A71" s="26" t="s">
        <v>270</v>
      </c>
      <c r="B71" s="335"/>
      <c r="C71" s="282">
        <v>423156</v>
      </c>
      <c r="D71" s="282">
        <v>0</v>
      </c>
      <c r="E71" s="282">
        <v>2189382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812093</v>
      </c>
      <c r="Q71" s="282">
        <v>128328</v>
      </c>
      <c r="R71" s="282">
        <v>0</v>
      </c>
      <c r="S71" s="282">
        <v>0</v>
      </c>
      <c r="T71" s="282">
        <v>0</v>
      </c>
      <c r="U71" s="282">
        <v>219463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55169</v>
      </c>
      <c r="AF71" s="282">
        <v>0</v>
      </c>
      <c r="AG71" s="282">
        <v>784417</v>
      </c>
      <c r="AH71" s="282">
        <v>0</v>
      </c>
      <c r="AI71" s="282">
        <v>127004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57300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85242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4881554</v>
      </c>
    </row>
    <row r="72" spans="1:83" x14ac:dyDescent="0.25">
      <c r="A72" s="26" t="s">
        <v>271</v>
      </c>
      <c r="B72" s="335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0</v>
      </c>
    </row>
    <row r="73" spans="1:83" x14ac:dyDescent="0.25">
      <c r="A73" s="26" t="s">
        <v>272</v>
      </c>
      <c r="B73" s="335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1769435</v>
      </c>
      <c r="CE73" s="25">
        <v>1769435</v>
      </c>
    </row>
    <row r="74" spans="1:83" x14ac:dyDescent="0.25">
      <c r="A74" s="26" t="s">
        <v>273</v>
      </c>
      <c r="B74" s="335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268721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268721</v>
      </c>
    </row>
    <row r="75" spans="1:83" x14ac:dyDescent="0.25">
      <c r="A75" s="26" t="s">
        <v>274</v>
      </c>
      <c r="B75" s="335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59150</v>
      </c>
      <c r="BK75" s="282">
        <v>0</v>
      </c>
      <c r="BL75" s="282">
        <v>0</v>
      </c>
      <c r="BM75" s="282">
        <v>0</v>
      </c>
      <c r="BN75" s="282">
        <v>16624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177127</v>
      </c>
      <c r="CD75" s="282">
        <v>0</v>
      </c>
      <c r="CE75" s="25">
        <v>252901</v>
      </c>
    </row>
    <row r="76" spans="1:83" x14ac:dyDescent="0.25">
      <c r="A76" s="26" t="s">
        <v>275</v>
      </c>
      <c r="B76" s="336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1299672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1299672</v>
      </c>
    </row>
    <row r="77" spans="1:83" x14ac:dyDescent="0.25">
      <c r="A77" s="26" t="s">
        <v>276</v>
      </c>
      <c r="B77" s="335"/>
      <c r="C77" s="282">
        <v>3063</v>
      </c>
      <c r="D77" s="282">
        <v>0</v>
      </c>
      <c r="E77" s="282">
        <v>10094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51021</v>
      </c>
      <c r="Q77" s="282">
        <v>-847</v>
      </c>
      <c r="R77" s="282">
        <v>15078</v>
      </c>
      <c r="S77" s="282">
        <v>8042</v>
      </c>
      <c r="T77" s="282">
        <v>0</v>
      </c>
      <c r="U77" s="282">
        <v>19295</v>
      </c>
      <c r="V77" s="282">
        <v>-101</v>
      </c>
      <c r="W77" s="282">
        <v>0</v>
      </c>
      <c r="X77" s="282">
        <v>1655</v>
      </c>
      <c r="Y77" s="282">
        <v>5711</v>
      </c>
      <c r="Z77" s="282">
        <v>0</v>
      </c>
      <c r="AA77" s="282">
        <v>0</v>
      </c>
      <c r="AB77" s="282">
        <v>-97</v>
      </c>
      <c r="AC77" s="282">
        <v>7346</v>
      </c>
      <c r="AD77" s="282">
        <v>0</v>
      </c>
      <c r="AE77" s="282">
        <v>6839</v>
      </c>
      <c r="AF77" s="282">
        <v>0</v>
      </c>
      <c r="AG77" s="282">
        <v>13763</v>
      </c>
      <c r="AH77" s="282">
        <v>0</v>
      </c>
      <c r="AI77" s="282">
        <v>790</v>
      </c>
      <c r="AJ77" s="282">
        <v>78276</v>
      </c>
      <c r="AK77" s="282">
        <v>0</v>
      </c>
      <c r="AL77" s="282">
        <v>3881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7487</v>
      </c>
      <c r="AW77" s="282">
        <v>0</v>
      </c>
      <c r="AX77" s="282">
        <v>0</v>
      </c>
      <c r="AY77" s="282">
        <v>2369</v>
      </c>
      <c r="AZ77" s="282">
        <v>0</v>
      </c>
      <c r="BA77" s="282">
        <v>0</v>
      </c>
      <c r="BB77" s="282">
        <v>0</v>
      </c>
      <c r="BC77" s="282">
        <v>0</v>
      </c>
      <c r="BD77" s="282">
        <v>228</v>
      </c>
      <c r="BE77" s="282">
        <v>203351</v>
      </c>
      <c r="BF77" s="282">
        <v>1049</v>
      </c>
      <c r="BG77" s="282">
        <v>0</v>
      </c>
      <c r="BH77" s="282">
        <v>17361</v>
      </c>
      <c r="BI77" s="282">
        <v>145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3062</v>
      </c>
      <c r="BR77" s="282">
        <v>0</v>
      </c>
      <c r="BS77" s="282">
        <v>0</v>
      </c>
      <c r="BT77" s="282">
        <v>0</v>
      </c>
      <c r="BU77" s="282">
        <v>0</v>
      </c>
      <c r="BV77" s="282">
        <v>2664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6136</v>
      </c>
      <c r="CD77" s="282">
        <v>0</v>
      </c>
      <c r="CE77" s="25">
        <v>467661</v>
      </c>
    </row>
    <row r="78" spans="1:83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14841774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14841774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125402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125402</v>
      </c>
    </row>
    <row r="80" spans="1:83" x14ac:dyDescent="0.25">
      <c r="A80" s="26" t="s">
        <v>279</v>
      </c>
      <c r="B80" s="16"/>
      <c r="C80" s="282">
        <v>220</v>
      </c>
      <c r="D80" s="282">
        <v>0</v>
      </c>
      <c r="E80" s="282">
        <v>4109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4166</v>
      </c>
      <c r="V80" s="282">
        <v>155</v>
      </c>
      <c r="W80" s="282">
        <v>50</v>
      </c>
      <c r="X80" s="282">
        <v>0</v>
      </c>
      <c r="Y80" s="282">
        <v>6662</v>
      </c>
      <c r="Z80" s="282">
        <v>0</v>
      </c>
      <c r="AA80" s="282">
        <v>0</v>
      </c>
      <c r="AB80" s="282">
        <v>508</v>
      </c>
      <c r="AC80" s="282">
        <v>0</v>
      </c>
      <c r="AD80" s="282">
        <v>0</v>
      </c>
      <c r="AE80" s="282">
        <v>0</v>
      </c>
      <c r="AF80" s="282">
        <v>0</v>
      </c>
      <c r="AG80" s="282">
        <v>9168</v>
      </c>
      <c r="AH80" s="282">
        <v>0</v>
      </c>
      <c r="AI80" s="282">
        <v>0</v>
      </c>
      <c r="AJ80" s="282">
        <v>38423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2584</v>
      </c>
      <c r="AW80" s="282">
        <v>0</v>
      </c>
      <c r="AX80" s="282">
        <v>0</v>
      </c>
      <c r="AY80" s="282">
        <v>138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221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4182</v>
      </c>
      <c r="BZ80" s="282">
        <v>0</v>
      </c>
      <c r="CA80" s="282">
        <v>0</v>
      </c>
      <c r="CB80" s="282">
        <v>0</v>
      </c>
      <c r="CC80" s="282">
        <v>61963</v>
      </c>
      <c r="CD80" s="282">
        <v>0</v>
      </c>
      <c r="CE80" s="25">
        <v>132549</v>
      </c>
    </row>
    <row r="81" spans="1:84" x14ac:dyDescent="0.25">
      <c r="A81" s="26" t="s">
        <v>280</v>
      </c>
      <c r="B81" s="16"/>
      <c r="C81" s="282">
        <v>280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49181</v>
      </c>
      <c r="Q81" s="282">
        <v>0</v>
      </c>
      <c r="R81" s="282">
        <v>0</v>
      </c>
      <c r="S81" s="282">
        <v>0</v>
      </c>
      <c r="T81" s="282">
        <v>0</v>
      </c>
      <c r="U81" s="282">
        <v>11186</v>
      </c>
      <c r="V81" s="282">
        <v>0</v>
      </c>
      <c r="W81" s="282">
        <v>0</v>
      </c>
      <c r="X81" s="282">
        <v>0</v>
      </c>
      <c r="Y81" s="282">
        <v>6241</v>
      </c>
      <c r="Z81" s="282">
        <v>0</v>
      </c>
      <c r="AA81" s="282">
        <v>5780</v>
      </c>
      <c r="AB81" s="282">
        <v>8670</v>
      </c>
      <c r="AC81" s="282">
        <v>0</v>
      </c>
      <c r="AD81" s="282">
        <v>0</v>
      </c>
      <c r="AE81" s="282">
        <v>650</v>
      </c>
      <c r="AF81" s="282">
        <v>0</v>
      </c>
      <c r="AG81" s="282">
        <v>325</v>
      </c>
      <c r="AH81" s="282">
        <v>0</v>
      </c>
      <c r="AI81" s="282">
        <v>0</v>
      </c>
      <c r="AJ81" s="282">
        <v>43837</v>
      </c>
      <c r="AK81" s="282">
        <v>0</v>
      </c>
      <c r="AL81" s="282">
        <v>2229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1421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1094</v>
      </c>
      <c r="BF81" s="282">
        <v>0</v>
      </c>
      <c r="BG81" s="282">
        <v>0</v>
      </c>
      <c r="BH81" s="282">
        <v>10755</v>
      </c>
      <c r="BI81" s="282">
        <v>0</v>
      </c>
      <c r="BJ81" s="282">
        <v>736</v>
      </c>
      <c r="BK81" s="282">
        <v>0</v>
      </c>
      <c r="BL81" s="282">
        <v>0</v>
      </c>
      <c r="BM81" s="282">
        <v>0</v>
      </c>
      <c r="BN81" s="282">
        <v>10974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1067892</v>
      </c>
      <c r="CD81" s="282">
        <v>0</v>
      </c>
      <c r="CE81" s="25">
        <v>1221251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0</v>
      </c>
    </row>
    <row r="83" spans="1:84" x14ac:dyDescent="0.25">
      <c r="A83" s="26" t="s">
        <v>282</v>
      </c>
      <c r="B83" s="16"/>
      <c r="C83" s="273">
        <v>379</v>
      </c>
      <c r="D83" s="273">
        <v>0</v>
      </c>
      <c r="E83" s="330">
        <v>1731</v>
      </c>
      <c r="F83" s="330">
        <v>0</v>
      </c>
      <c r="G83" s="273">
        <v>0</v>
      </c>
      <c r="H83" s="273">
        <v>0</v>
      </c>
      <c r="I83" s="330">
        <v>0</v>
      </c>
      <c r="J83" s="330">
        <v>0</v>
      </c>
      <c r="K83" s="330">
        <v>0</v>
      </c>
      <c r="L83" s="330">
        <v>0</v>
      </c>
      <c r="M83" s="273">
        <v>0</v>
      </c>
      <c r="N83" s="273">
        <v>0</v>
      </c>
      <c r="O83" s="273">
        <v>0</v>
      </c>
      <c r="P83" s="330">
        <v>127826</v>
      </c>
      <c r="Q83" s="330">
        <v>0</v>
      </c>
      <c r="R83" s="332">
        <v>35</v>
      </c>
      <c r="S83" s="330">
        <v>0</v>
      </c>
      <c r="T83" s="273">
        <v>0</v>
      </c>
      <c r="U83" s="330">
        <v>13548</v>
      </c>
      <c r="V83" s="330">
        <v>2257</v>
      </c>
      <c r="W83" s="273">
        <v>353</v>
      </c>
      <c r="X83" s="330">
        <v>260</v>
      </c>
      <c r="Y83" s="330">
        <v>-51</v>
      </c>
      <c r="Z83" s="330">
        <v>0</v>
      </c>
      <c r="AA83" s="330">
        <v>0</v>
      </c>
      <c r="AB83" s="330">
        <v>46852</v>
      </c>
      <c r="AC83" s="330">
        <v>126</v>
      </c>
      <c r="AD83" s="330">
        <v>0</v>
      </c>
      <c r="AE83" s="330">
        <v>86686</v>
      </c>
      <c r="AF83" s="330">
        <v>0</v>
      </c>
      <c r="AG83" s="330">
        <v>8316</v>
      </c>
      <c r="AH83" s="330">
        <v>0</v>
      </c>
      <c r="AI83" s="330">
        <v>6036</v>
      </c>
      <c r="AJ83" s="330">
        <v>70680</v>
      </c>
      <c r="AK83" s="330">
        <v>0</v>
      </c>
      <c r="AL83" s="330">
        <v>5539</v>
      </c>
      <c r="AM83" s="330">
        <v>0</v>
      </c>
      <c r="AN83" s="330">
        <v>0</v>
      </c>
      <c r="AO83" s="273">
        <v>0</v>
      </c>
      <c r="AP83" s="330">
        <v>0</v>
      </c>
      <c r="AQ83" s="273">
        <v>0</v>
      </c>
      <c r="AR83" s="273">
        <v>0</v>
      </c>
      <c r="AS83" s="273">
        <v>0</v>
      </c>
      <c r="AT83" s="273">
        <v>0</v>
      </c>
      <c r="AU83" s="330">
        <v>0</v>
      </c>
      <c r="AV83" s="330">
        <v>2378</v>
      </c>
      <c r="AW83" s="330">
        <v>0</v>
      </c>
      <c r="AX83" s="330">
        <v>0</v>
      </c>
      <c r="AY83" s="330">
        <v>285</v>
      </c>
      <c r="AZ83" s="330">
        <v>0</v>
      </c>
      <c r="BA83" s="330">
        <v>0</v>
      </c>
      <c r="BB83" s="330">
        <v>0</v>
      </c>
      <c r="BC83" s="330">
        <v>0</v>
      </c>
      <c r="BD83" s="330">
        <v>66882</v>
      </c>
      <c r="BE83" s="330">
        <v>450</v>
      </c>
      <c r="BF83" s="330">
        <v>11648</v>
      </c>
      <c r="BG83" s="330">
        <v>0</v>
      </c>
      <c r="BH83" s="332">
        <v>18013</v>
      </c>
      <c r="BI83" s="330">
        <v>4071</v>
      </c>
      <c r="BJ83" s="330">
        <v>1149</v>
      </c>
      <c r="BK83" s="330">
        <v>0</v>
      </c>
      <c r="BL83" s="330">
        <v>806</v>
      </c>
      <c r="BM83" s="330">
        <v>0</v>
      </c>
      <c r="BN83" s="330">
        <v>119318</v>
      </c>
      <c r="BO83" s="330">
        <v>0</v>
      </c>
      <c r="BP83" s="330">
        <v>0</v>
      </c>
      <c r="BQ83" s="330">
        <v>1332</v>
      </c>
      <c r="BR83" s="330">
        <v>92</v>
      </c>
      <c r="BS83" s="330">
        <v>0</v>
      </c>
      <c r="BT83" s="330">
        <v>0</v>
      </c>
      <c r="BU83" s="330">
        <v>0</v>
      </c>
      <c r="BV83" s="330">
        <v>15098</v>
      </c>
      <c r="BW83" s="330">
        <v>0</v>
      </c>
      <c r="BX83" s="330">
        <v>0</v>
      </c>
      <c r="BY83" s="330">
        <v>88838</v>
      </c>
      <c r="BZ83" s="330">
        <v>0</v>
      </c>
      <c r="CA83" s="330">
        <v>0</v>
      </c>
      <c r="CB83" s="330">
        <v>0</v>
      </c>
      <c r="CC83" s="330">
        <v>83282</v>
      </c>
      <c r="CD83" s="282">
        <v>4471765</v>
      </c>
      <c r="CE83" s="25">
        <v>5255980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v>0</v>
      </c>
    </row>
    <row r="85" spans="1:84" x14ac:dyDescent="0.25">
      <c r="A85" s="31" t="s">
        <v>284</v>
      </c>
      <c r="B85" s="25"/>
      <c r="C85" s="25">
        <v>2488536</v>
      </c>
      <c r="D85" s="25">
        <v>0</v>
      </c>
      <c r="E85" s="25">
        <v>8712943</v>
      </c>
      <c r="F85" s="25">
        <v>0</v>
      </c>
      <c r="G85" s="25">
        <v>0</v>
      </c>
      <c r="H85" s="25">
        <v>0</v>
      </c>
      <c r="I85" s="25">
        <v>0</v>
      </c>
      <c r="J85" s="25">
        <v>5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7417690</v>
      </c>
      <c r="Q85" s="25">
        <v>823606</v>
      </c>
      <c r="R85" s="25">
        <v>1184987</v>
      </c>
      <c r="S85" s="25">
        <v>222297</v>
      </c>
      <c r="T85" s="25">
        <v>138467</v>
      </c>
      <c r="U85" s="25">
        <v>5246015</v>
      </c>
      <c r="V85" s="25">
        <v>220808</v>
      </c>
      <c r="W85" s="25">
        <v>310078</v>
      </c>
      <c r="X85" s="25">
        <v>391369</v>
      </c>
      <c r="Y85" s="25">
        <v>5231769</v>
      </c>
      <c r="Z85" s="25">
        <v>0</v>
      </c>
      <c r="AA85" s="25">
        <v>234322</v>
      </c>
      <c r="AB85" s="25">
        <v>8217573</v>
      </c>
      <c r="AC85" s="25">
        <v>981487</v>
      </c>
      <c r="AD85" s="25">
        <v>486192</v>
      </c>
      <c r="AE85" s="25">
        <v>834728</v>
      </c>
      <c r="AF85" s="25">
        <v>0</v>
      </c>
      <c r="AG85" s="25">
        <v>7386288</v>
      </c>
      <c r="AH85" s="25">
        <v>0</v>
      </c>
      <c r="AI85" s="25">
        <v>937922</v>
      </c>
      <c r="AJ85" s="25">
        <v>17165670</v>
      </c>
      <c r="AK85" s="25">
        <v>0</v>
      </c>
      <c r="AL85" s="25">
        <v>476794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3466226</v>
      </c>
      <c r="AW85" s="25">
        <v>0</v>
      </c>
      <c r="AX85" s="25">
        <v>0</v>
      </c>
      <c r="AY85" s="25">
        <v>1201786</v>
      </c>
      <c r="AZ85" s="25">
        <v>0</v>
      </c>
      <c r="BA85" s="25">
        <v>273226</v>
      </c>
      <c r="BB85" s="25">
        <v>155525</v>
      </c>
      <c r="BC85" s="25">
        <v>0</v>
      </c>
      <c r="BD85" s="25">
        <v>242282</v>
      </c>
      <c r="BE85" s="25">
        <v>1928188</v>
      </c>
      <c r="BF85" s="25">
        <v>1316767</v>
      </c>
      <c r="BG85" s="25">
        <v>0</v>
      </c>
      <c r="BH85" s="25">
        <v>2129916</v>
      </c>
      <c r="BI85" s="25">
        <v>312113</v>
      </c>
      <c r="BJ85" s="25">
        <v>423482</v>
      </c>
      <c r="BK85" s="25">
        <v>0</v>
      </c>
      <c r="BL85" s="25">
        <v>1184681</v>
      </c>
      <c r="BM85" s="25">
        <v>0</v>
      </c>
      <c r="BN85" s="25">
        <v>15278539</v>
      </c>
      <c r="BO85" s="25">
        <v>5043</v>
      </c>
      <c r="BP85" s="25">
        <v>0</v>
      </c>
      <c r="BQ85" s="25">
        <v>346834</v>
      </c>
      <c r="BR85" s="25">
        <v>172452</v>
      </c>
      <c r="BS85" s="25">
        <v>0</v>
      </c>
      <c r="BT85" s="25">
        <v>0</v>
      </c>
      <c r="BU85" s="25">
        <v>0</v>
      </c>
      <c r="BV85" s="25">
        <v>516555</v>
      </c>
      <c r="BW85" s="25">
        <v>0</v>
      </c>
      <c r="BX85" s="25">
        <v>0</v>
      </c>
      <c r="BY85" s="25">
        <v>1234589</v>
      </c>
      <c r="BZ85" s="25">
        <v>0</v>
      </c>
      <c r="CA85" s="25">
        <v>0</v>
      </c>
      <c r="CB85" s="25">
        <v>0</v>
      </c>
      <c r="CC85" s="25">
        <v>1789851</v>
      </c>
      <c r="CD85" s="25">
        <v>6241200</v>
      </c>
      <c r="CE85" s="25">
        <v>107328801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7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273">
        <v>5166513</v>
      </c>
      <c r="D87" s="273">
        <v>0</v>
      </c>
      <c r="E87" s="273">
        <v>16846229</v>
      </c>
      <c r="F87" s="273">
        <v>0</v>
      </c>
      <c r="G87" s="273">
        <v>0</v>
      </c>
      <c r="H87" s="273">
        <v>0</v>
      </c>
      <c r="I87" s="273">
        <v>0</v>
      </c>
      <c r="J87" s="273">
        <v>795719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11058919</v>
      </c>
      <c r="Q87" s="273">
        <v>1485598</v>
      </c>
      <c r="R87" s="273">
        <v>2594502</v>
      </c>
      <c r="S87" s="273">
        <v>9275960</v>
      </c>
      <c r="T87" s="273">
        <v>961247</v>
      </c>
      <c r="U87" s="273">
        <v>8889478</v>
      </c>
      <c r="V87" s="273">
        <v>637841</v>
      </c>
      <c r="W87" s="273">
        <v>399588</v>
      </c>
      <c r="X87" s="273">
        <v>3783499</v>
      </c>
      <c r="Y87" s="273">
        <v>1579099</v>
      </c>
      <c r="Z87" s="273">
        <v>0</v>
      </c>
      <c r="AA87" s="273">
        <v>33659</v>
      </c>
      <c r="AB87" s="273">
        <v>6178123</v>
      </c>
      <c r="AC87" s="273">
        <v>1356986</v>
      </c>
      <c r="AD87" s="273">
        <v>1860754</v>
      </c>
      <c r="AE87" s="273">
        <v>598099</v>
      </c>
      <c r="AF87" s="273">
        <v>0</v>
      </c>
      <c r="AG87" s="273">
        <v>1633933</v>
      </c>
      <c r="AH87" s="273">
        <v>0</v>
      </c>
      <c r="AI87" s="273">
        <v>4711</v>
      </c>
      <c r="AJ87" s="273">
        <v>83546</v>
      </c>
      <c r="AK87" s="273">
        <v>0</v>
      </c>
      <c r="AL87" s="273">
        <v>110219</v>
      </c>
      <c r="AM87" s="273">
        <v>0</v>
      </c>
      <c r="AN87" s="273">
        <v>0</v>
      </c>
      <c r="AO87" s="273">
        <v>3052758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527926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78914906</v>
      </c>
    </row>
    <row r="88" spans="1:84" x14ac:dyDescent="0.25">
      <c r="A88" s="21" t="s">
        <v>287</v>
      </c>
      <c r="B88" s="16"/>
      <c r="C88" s="273">
        <v>1500</v>
      </c>
      <c r="D88" s="273">
        <v>0</v>
      </c>
      <c r="E88" s="273">
        <v>4499443</v>
      </c>
      <c r="F88" s="273">
        <v>0</v>
      </c>
      <c r="G88" s="273">
        <v>0</v>
      </c>
      <c r="H88" s="273">
        <v>0</v>
      </c>
      <c r="I88" s="273">
        <v>0</v>
      </c>
      <c r="J88" s="273">
        <v>75816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28227211</v>
      </c>
      <c r="Q88" s="273">
        <v>3679126</v>
      </c>
      <c r="R88" s="273">
        <v>7392481</v>
      </c>
      <c r="S88" s="273">
        <v>13364399</v>
      </c>
      <c r="T88" s="273">
        <v>408063</v>
      </c>
      <c r="U88" s="273">
        <v>41113730</v>
      </c>
      <c r="V88" s="273">
        <v>1085578</v>
      </c>
      <c r="W88" s="273">
        <v>4595478</v>
      </c>
      <c r="X88" s="273">
        <v>17669215</v>
      </c>
      <c r="Y88" s="273">
        <v>23718522</v>
      </c>
      <c r="Z88" s="273">
        <v>0</v>
      </c>
      <c r="AA88" s="273">
        <v>797196</v>
      </c>
      <c r="AB88" s="273">
        <v>34622384</v>
      </c>
      <c r="AC88" s="273">
        <v>1587555</v>
      </c>
      <c r="AD88" s="273">
        <v>137844</v>
      </c>
      <c r="AE88" s="273">
        <v>2647603</v>
      </c>
      <c r="AF88" s="273">
        <v>0</v>
      </c>
      <c r="AG88" s="273">
        <v>21892006</v>
      </c>
      <c r="AH88" s="273">
        <v>0</v>
      </c>
      <c r="AI88" s="273">
        <v>1456134</v>
      </c>
      <c r="AJ88" s="273">
        <v>15265738</v>
      </c>
      <c r="AK88" s="273">
        <v>0</v>
      </c>
      <c r="AL88" s="273">
        <v>2273349</v>
      </c>
      <c r="AM88" s="273">
        <v>0</v>
      </c>
      <c r="AN88" s="273">
        <v>0</v>
      </c>
      <c r="AO88" s="273">
        <v>369076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7218998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234098445</v>
      </c>
    </row>
    <row r="89" spans="1:84" x14ac:dyDescent="0.25">
      <c r="A89" s="21" t="s">
        <v>288</v>
      </c>
      <c r="B89" s="16"/>
      <c r="C89" s="25">
        <v>5168013</v>
      </c>
      <c r="D89" s="25">
        <v>0</v>
      </c>
      <c r="E89" s="25">
        <v>21345672</v>
      </c>
      <c r="F89" s="25">
        <v>0</v>
      </c>
      <c r="G89" s="25">
        <v>0</v>
      </c>
      <c r="H89" s="25">
        <v>0</v>
      </c>
      <c r="I89" s="25">
        <v>0</v>
      </c>
      <c r="J89" s="25">
        <v>871535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39286130</v>
      </c>
      <c r="Q89" s="25">
        <v>5164724</v>
      </c>
      <c r="R89" s="25">
        <v>9986983</v>
      </c>
      <c r="S89" s="25">
        <v>22640359</v>
      </c>
      <c r="T89" s="25">
        <v>1369310</v>
      </c>
      <c r="U89" s="25">
        <v>50003208</v>
      </c>
      <c r="V89" s="25">
        <v>1723419</v>
      </c>
      <c r="W89" s="25">
        <v>4995066</v>
      </c>
      <c r="X89" s="25">
        <v>21452714</v>
      </c>
      <c r="Y89" s="25">
        <v>25297621</v>
      </c>
      <c r="Z89" s="25">
        <v>0</v>
      </c>
      <c r="AA89" s="25">
        <v>830855</v>
      </c>
      <c r="AB89" s="25">
        <v>40800507</v>
      </c>
      <c r="AC89" s="25">
        <v>2944541</v>
      </c>
      <c r="AD89" s="25">
        <v>1998598</v>
      </c>
      <c r="AE89" s="25">
        <v>3245702</v>
      </c>
      <c r="AF89" s="25">
        <v>0</v>
      </c>
      <c r="AG89" s="25">
        <v>23525939</v>
      </c>
      <c r="AH89" s="25">
        <v>0</v>
      </c>
      <c r="AI89" s="25">
        <v>1460845</v>
      </c>
      <c r="AJ89" s="25">
        <v>15349284</v>
      </c>
      <c r="AK89" s="25">
        <v>0</v>
      </c>
      <c r="AL89" s="25">
        <v>2383568</v>
      </c>
      <c r="AM89" s="25">
        <v>0</v>
      </c>
      <c r="AN89" s="25">
        <v>0</v>
      </c>
      <c r="AO89" s="25">
        <v>3421834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7746924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313013351</v>
      </c>
    </row>
    <row r="90" spans="1:84" x14ac:dyDescent="0.25">
      <c r="A90" s="31" t="s">
        <v>289</v>
      </c>
      <c r="B90" s="25"/>
      <c r="C90" s="273">
        <v>2901</v>
      </c>
      <c r="D90" s="273">
        <v>0</v>
      </c>
      <c r="E90" s="273">
        <v>17609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4345</v>
      </c>
      <c r="Q90" s="273">
        <v>1191</v>
      </c>
      <c r="R90" s="273">
        <v>95</v>
      </c>
      <c r="S90" s="273">
        <v>523</v>
      </c>
      <c r="T90" s="273">
        <v>187</v>
      </c>
      <c r="U90" s="273">
        <v>2575</v>
      </c>
      <c r="V90" s="273">
        <v>154</v>
      </c>
      <c r="W90" s="273">
        <v>926</v>
      </c>
      <c r="X90" s="273">
        <v>436</v>
      </c>
      <c r="Y90" s="273">
        <v>3737</v>
      </c>
      <c r="Z90" s="273">
        <v>0</v>
      </c>
      <c r="AA90" s="273">
        <v>407</v>
      </c>
      <c r="AB90" s="273">
        <v>874</v>
      </c>
      <c r="AC90" s="273">
        <v>323</v>
      </c>
      <c r="AD90" s="273">
        <v>266</v>
      </c>
      <c r="AE90" s="273">
        <v>292</v>
      </c>
      <c r="AF90" s="273">
        <v>0</v>
      </c>
      <c r="AG90" s="273">
        <v>7142</v>
      </c>
      <c r="AH90" s="273">
        <v>0</v>
      </c>
      <c r="AI90" s="273">
        <v>1909</v>
      </c>
      <c r="AJ90" s="273">
        <v>31310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1385</v>
      </c>
      <c r="AW90" s="273">
        <v>0</v>
      </c>
      <c r="AX90" s="273">
        <v>0</v>
      </c>
      <c r="AY90" s="273">
        <v>2589</v>
      </c>
      <c r="AZ90" s="273">
        <v>0</v>
      </c>
      <c r="BA90" s="273">
        <v>0</v>
      </c>
      <c r="BB90" s="273">
        <v>0</v>
      </c>
      <c r="BC90" s="273">
        <v>0</v>
      </c>
      <c r="BD90" s="273">
        <v>846</v>
      </c>
      <c r="BE90" s="273">
        <v>12536</v>
      </c>
      <c r="BF90" s="273">
        <v>1019</v>
      </c>
      <c r="BG90" s="273">
        <v>0</v>
      </c>
      <c r="BH90" s="273">
        <v>112</v>
      </c>
      <c r="BI90" s="273">
        <v>0</v>
      </c>
      <c r="BJ90" s="273">
        <v>0</v>
      </c>
      <c r="BK90" s="273">
        <v>0</v>
      </c>
      <c r="BL90" s="273">
        <v>166</v>
      </c>
      <c r="BM90" s="273">
        <v>0</v>
      </c>
      <c r="BN90" s="273">
        <v>2305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1734</v>
      </c>
      <c r="BW90" s="273">
        <v>0</v>
      </c>
      <c r="BX90" s="273">
        <v>0</v>
      </c>
      <c r="BY90" s="273">
        <v>1491</v>
      </c>
      <c r="BZ90" s="273">
        <v>0</v>
      </c>
      <c r="CA90" s="273">
        <v>0</v>
      </c>
      <c r="CB90" s="273">
        <v>0</v>
      </c>
      <c r="CC90" s="273">
        <v>166</v>
      </c>
      <c r="CD90" s="224" t="s">
        <v>247</v>
      </c>
      <c r="CE90" s="25">
        <v>101551</v>
      </c>
      <c r="CF90" s="25">
        <v>0</v>
      </c>
    </row>
    <row r="91" spans="1:84" x14ac:dyDescent="0.25">
      <c r="A91" s="21" t="s">
        <v>290</v>
      </c>
      <c r="B91" s="16"/>
      <c r="C91" s="273">
        <v>2863</v>
      </c>
      <c r="D91" s="273">
        <v>0</v>
      </c>
      <c r="E91" s="273">
        <v>19973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2125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24961</v>
      </c>
      <c r="CF91" s="25">
        <v>0</v>
      </c>
    </row>
    <row r="92" spans="1:84" x14ac:dyDescent="0.25">
      <c r="A92" s="21" t="s">
        <v>291</v>
      </c>
      <c r="B92" s="16"/>
      <c r="C92" s="273">
        <v>2232</v>
      </c>
      <c r="D92" s="273">
        <v>0</v>
      </c>
      <c r="E92" s="273">
        <v>8772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3348</v>
      </c>
      <c r="Q92" s="273">
        <v>526</v>
      </c>
      <c r="R92" s="273">
        <v>0</v>
      </c>
      <c r="S92" s="273">
        <v>422</v>
      </c>
      <c r="T92" s="273">
        <v>0</v>
      </c>
      <c r="U92" s="273">
        <v>861</v>
      </c>
      <c r="V92" s="273">
        <v>150</v>
      </c>
      <c r="W92" s="273">
        <v>168</v>
      </c>
      <c r="X92" s="273">
        <v>0</v>
      </c>
      <c r="Y92" s="273">
        <v>1567</v>
      </c>
      <c r="Z92" s="273">
        <v>0</v>
      </c>
      <c r="AA92" s="273">
        <v>0</v>
      </c>
      <c r="AB92" s="273">
        <v>324</v>
      </c>
      <c r="AC92" s="273">
        <v>468</v>
      </c>
      <c r="AD92" s="273">
        <v>0</v>
      </c>
      <c r="AE92" s="273">
        <v>520</v>
      </c>
      <c r="AF92" s="273">
        <v>0</v>
      </c>
      <c r="AG92" s="273">
        <v>4094</v>
      </c>
      <c r="AH92" s="273">
        <v>0</v>
      </c>
      <c r="AI92" s="273">
        <v>1197</v>
      </c>
      <c r="AJ92" s="273">
        <v>9952</v>
      </c>
      <c r="AK92" s="273">
        <v>0</v>
      </c>
      <c r="AL92" s="273">
        <v>1423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1341</v>
      </c>
      <c r="AW92" s="273">
        <v>0</v>
      </c>
      <c r="AX92" s="264" t="s">
        <v>247</v>
      </c>
      <c r="AY92" s="264" t="s">
        <v>247</v>
      </c>
      <c r="AZ92" s="24"/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/>
      <c r="BG92" s="24"/>
      <c r="BH92" s="273">
        <v>0</v>
      </c>
      <c r="BI92" s="273">
        <v>0</v>
      </c>
      <c r="BJ92" s="24" t="s">
        <v>247</v>
      </c>
      <c r="BK92" s="273">
        <v>520</v>
      </c>
      <c r="BL92" s="273">
        <v>891</v>
      </c>
      <c r="BM92" s="273">
        <v>145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/>
      <c r="BS92" s="273">
        <v>0</v>
      </c>
      <c r="BT92" s="273">
        <v>0</v>
      </c>
      <c r="BU92" s="273">
        <v>0</v>
      </c>
      <c r="BV92" s="273">
        <v>147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39068</v>
      </c>
      <c r="CF92" s="16"/>
    </row>
    <row r="93" spans="1:84" x14ac:dyDescent="0.25">
      <c r="A93" s="21" t="s">
        <v>292</v>
      </c>
      <c r="B93" s="16"/>
      <c r="C93" s="273">
        <v>73917</v>
      </c>
      <c r="D93" s="273">
        <v>0</v>
      </c>
      <c r="E93" s="273">
        <v>184500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37563</v>
      </c>
      <c r="Q93" s="273">
        <v>18489</v>
      </c>
      <c r="R93" s="273">
        <v>0</v>
      </c>
      <c r="S93" s="273">
        <v>468</v>
      </c>
      <c r="T93" s="273">
        <v>0</v>
      </c>
      <c r="U93" s="273">
        <v>195</v>
      </c>
      <c r="V93" s="273">
        <v>1287</v>
      </c>
      <c r="W93" s="273">
        <v>3784</v>
      </c>
      <c r="X93" s="273">
        <v>4876</v>
      </c>
      <c r="Y93" s="273">
        <v>38343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117487</v>
      </c>
      <c r="AH93" s="273">
        <v>0</v>
      </c>
      <c r="AI93" s="273">
        <v>27773</v>
      </c>
      <c r="AJ93" s="273">
        <v>11702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10023.540000000001</v>
      </c>
      <c r="AW93" s="273">
        <v>0</v>
      </c>
      <c r="AX93" s="264" t="s">
        <v>247</v>
      </c>
      <c r="AY93" s="264" t="s">
        <v>247</v>
      </c>
      <c r="AZ93" s="24"/>
      <c r="BA93" s="24"/>
      <c r="BB93" s="273">
        <v>0</v>
      </c>
      <c r="BC93" s="273">
        <v>0</v>
      </c>
      <c r="BD93" s="24" t="s">
        <v>247</v>
      </c>
      <c r="BE93" s="24" t="s">
        <v>247</v>
      </c>
      <c r="BF93" s="24"/>
      <c r="BG93" s="24"/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/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530407.54</v>
      </c>
      <c r="CF93" s="25">
        <v>0</v>
      </c>
    </row>
    <row r="94" spans="1:84" x14ac:dyDescent="0.25">
      <c r="A94" s="21" t="s">
        <v>293</v>
      </c>
      <c r="B94" s="16"/>
      <c r="C94" s="277">
        <v>12.18</v>
      </c>
      <c r="D94" s="277">
        <v>0</v>
      </c>
      <c r="E94" s="277">
        <v>32.65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333">
        <v>12.59</v>
      </c>
      <c r="Q94" s="333">
        <v>3.19</v>
      </c>
      <c r="R94" s="333">
        <v>0</v>
      </c>
      <c r="S94" s="278">
        <v>0</v>
      </c>
      <c r="T94" s="278">
        <v>0</v>
      </c>
      <c r="U94" s="334">
        <v>0</v>
      </c>
      <c r="V94" s="333">
        <v>0</v>
      </c>
      <c r="W94" s="333">
        <v>0</v>
      </c>
      <c r="X94" s="333">
        <v>0</v>
      </c>
      <c r="Y94" s="333">
        <v>0</v>
      </c>
      <c r="Z94" s="333">
        <v>0</v>
      </c>
      <c r="AA94" s="333">
        <v>0</v>
      </c>
      <c r="AB94" s="278">
        <v>0</v>
      </c>
      <c r="AC94" s="333">
        <v>0</v>
      </c>
      <c r="AD94" s="333">
        <v>0</v>
      </c>
      <c r="AE94" s="333">
        <v>0</v>
      </c>
      <c r="AF94" s="333">
        <v>0</v>
      </c>
      <c r="AG94" s="333">
        <v>21.63</v>
      </c>
      <c r="AH94" s="333">
        <v>0</v>
      </c>
      <c r="AI94" s="333">
        <v>4.82</v>
      </c>
      <c r="AJ94" s="333">
        <v>0</v>
      </c>
      <c r="AK94" s="333">
        <v>0</v>
      </c>
      <c r="AL94" s="333">
        <v>0</v>
      </c>
      <c r="AM94" s="333">
        <v>0</v>
      </c>
      <c r="AN94" s="333">
        <v>0</v>
      </c>
      <c r="AO94" s="333">
        <v>0</v>
      </c>
      <c r="AP94" s="333">
        <v>0</v>
      </c>
      <c r="AQ94" s="333">
        <v>0</v>
      </c>
      <c r="AR94" s="333">
        <v>0</v>
      </c>
      <c r="AS94" s="333">
        <v>0</v>
      </c>
      <c r="AT94" s="333">
        <v>0</v>
      </c>
      <c r="AU94" s="333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87.06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1059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98944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338" t="s">
        <v>1060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338" t="s">
        <v>1061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1062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1063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39" t="s">
        <v>1064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1274</v>
      </c>
      <c r="D127" s="295">
        <v>6338</v>
      </c>
      <c r="E127" s="16"/>
    </row>
    <row r="128" spans="1:5" x14ac:dyDescent="0.25">
      <c r="A128" s="16" t="s">
        <v>334</v>
      </c>
      <c r="B128" s="35" t="s">
        <v>299</v>
      </c>
      <c r="C128" s="292">
        <v>1</v>
      </c>
      <c r="D128" s="295">
        <v>6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223</v>
      </c>
      <c r="D130" s="295">
        <v>289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7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14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4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25</v>
      </c>
    </row>
    <row r="144" spans="1:5" x14ac:dyDescent="0.25">
      <c r="A144" s="16" t="s">
        <v>348</v>
      </c>
      <c r="B144" s="35" t="s">
        <v>299</v>
      </c>
      <c r="C144" s="292">
        <v>38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6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666</v>
      </c>
      <c r="C154" s="295">
        <v>361</v>
      </c>
      <c r="D154" s="295">
        <v>247</v>
      </c>
      <c r="E154" s="25">
        <v>1274</v>
      </c>
    </row>
    <row r="155" spans="1:6" x14ac:dyDescent="0.25">
      <c r="A155" s="16" t="s">
        <v>241</v>
      </c>
      <c r="B155" s="295">
        <v>3323</v>
      </c>
      <c r="C155" s="295">
        <v>1787</v>
      </c>
      <c r="D155" s="295">
        <v>1228</v>
      </c>
      <c r="E155" s="25">
        <v>6338</v>
      </c>
    </row>
    <row r="156" spans="1:6" x14ac:dyDescent="0.25">
      <c r="A156" s="16" t="s">
        <v>355</v>
      </c>
      <c r="B156" s="295">
        <v>28064</v>
      </c>
      <c r="C156" s="295">
        <v>25544</v>
      </c>
      <c r="D156" s="295">
        <v>22441</v>
      </c>
      <c r="E156" s="25">
        <v>76049</v>
      </c>
    </row>
    <row r="157" spans="1:6" x14ac:dyDescent="0.25">
      <c r="A157" s="16" t="s">
        <v>286</v>
      </c>
      <c r="B157" s="295">
        <v>41351062</v>
      </c>
      <c r="C157" s="295">
        <v>22274144</v>
      </c>
      <c r="D157" s="295">
        <v>15289700</v>
      </c>
      <c r="E157" s="25">
        <v>78914906</v>
      </c>
      <c r="F157" s="14"/>
    </row>
    <row r="158" spans="1:6" x14ac:dyDescent="0.25">
      <c r="A158" s="16" t="s">
        <v>287</v>
      </c>
      <c r="B158" s="295">
        <v>86389408</v>
      </c>
      <c r="C158" s="295">
        <v>78630510</v>
      </c>
      <c r="D158" s="295">
        <v>69078527</v>
      </c>
      <c r="E158" s="25">
        <v>234098445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95">
        <v>1</v>
      </c>
      <c r="C160" s="295">
        <v>0</v>
      </c>
      <c r="D160" s="295">
        <v>0</v>
      </c>
      <c r="E160" s="25">
        <v>1</v>
      </c>
    </row>
    <row r="161" spans="1:5" x14ac:dyDescent="0.25">
      <c r="A161" s="16" t="s">
        <v>241</v>
      </c>
      <c r="B161" s="295">
        <v>6</v>
      </c>
      <c r="C161" s="295">
        <v>0</v>
      </c>
      <c r="D161" s="295">
        <v>0</v>
      </c>
      <c r="E161" s="25">
        <v>6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13782</v>
      </c>
      <c r="C163" s="295">
        <v>0</v>
      </c>
      <c r="D163" s="295">
        <v>0</v>
      </c>
      <c r="E163" s="25">
        <v>13782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2149999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129509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386501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5754166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984621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53117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9457913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779397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400015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1179412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1754537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14898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1769435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131613.97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1089637.1499999999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1221251.1199999999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4371676.3899999997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100088.16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4471764.55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5">
        <v>5072349</v>
      </c>
      <c r="C211" s="292">
        <v>0</v>
      </c>
      <c r="D211" s="295">
        <v>0</v>
      </c>
      <c r="E211" s="25">
        <v>5072349</v>
      </c>
    </row>
    <row r="212" spans="1:5" x14ac:dyDescent="0.25">
      <c r="A212" s="16" t="s">
        <v>390</v>
      </c>
      <c r="B212" s="295">
        <v>1430910</v>
      </c>
      <c r="C212" s="292">
        <v>0</v>
      </c>
      <c r="D212" s="295">
        <v>0</v>
      </c>
      <c r="E212" s="25">
        <v>1430910</v>
      </c>
    </row>
    <row r="213" spans="1:5" x14ac:dyDescent="0.25">
      <c r="A213" s="16" t="s">
        <v>391</v>
      </c>
      <c r="B213" s="295">
        <v>24903609</v>
      </c>
      <c r="C213" s="292">
        <v>252889</v>
      </c>
      <c r="D213" s="295">
        <v>0</v>
      </c>
      <c r="E213" s="25">
        <v>25156498</v>
      </c>
    </row>
    <row r="214" spans="1:5" x14ac:dyDescent="0.25">
      <c r="A214" s="16" t="s">
        <v>393</v>
      </c>
      <c r="B214" s="295">
        <v>2858222</v>
      </c>
      <c r="C214" s="292">
        <v>30711</v>
      </c>
      <c r="D214" s="295">
        <v>0</v>
      </c>
      <c r="E214" s="25">
        <v>2888933</v>
      </c>
    </row>
    <row r="215" spans="1:5" x14ac:dyDescent="0.25">
      <c r="A215" s="16" t="s">
        <v>394</v>
      </c>
      <c r="B215" s="295">
        <v>0</v>
      </c>
      <c r="C215" s="292">
        <v>0</v>
      </c>
      <c r="D215" s="295">
        <v>0</v>
      </c>
      <c r="E215" s="25">
        <v>0</v>
      </c>
    </row>
    <row r="216" spans="1:5" x14ac:dyDescent="0.25">
      <c r="A216" s="16" t="s">
        <v>395</v>
      </c>
      <c r="B216" s="295">
        <v>27629337</v>
      </c>
      <c r="C216" s="292">
        <v>280473</v>
      </c>
      <c r="D216" s="295">
        <v>0</v>
      </c>
      <c r="E216" s="25">
        <v>27909810</v>
      </c>
    </row>
    <row r="217" spans="1:5" x14ac:dyDescent="0.25">
      <c r="A217" s="16" t="s">
        <v>396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1065</v>
      </c>
      <c r="B218" s="295">
        <v>2658937</v>
      </c>
      <c r="C218" s="292">
        <v>628337</v>
      </c>
      <c r="D218" s="295">
        <v>0</v>
      </c>
      <c r="E218" s="25">
        <v>3287274</v>
      </c>
    </row>
    <row r="219" spans="1:5" x14ac:dyDescent="0.25">
      <c r="A219" s="16" t="s">
        <v>398</v>
      </c>
      <c r="B219" s="295">
        <v>65582</v>
      </c>
      <c r="C219" s="292">
        <v>465444</v>
      </c>
      <c r="D219" s="295">
        <v>500908</v>
      </c>
      <c r="E219" s="25">
        <v>30118</v>
      </c>
    </row>
    <row r="220" spans="1:5" x14ac:dyDescent="0.25">
      <c r="A220" s="16" t="s">
        <v>229</v>
      </c>
      <c r="B220" s="25">
        <v>64618946</v>
      </c>
      <c r="C220" s="225">
        <v>1657854</v>
      </c>
      <c r="D220" s="25">
        <v>500908</v>
      </c>
      <c r="E220" s="25">
        <v>65775892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5">
        <v>1083194</v>
      </c>
      <c r="C225" s="292">
        <v>16761</v>
      </c>
      <c r="D225" s="295">
        <v>0</v>
      </c>
      <c r="E225" s="25">
        <v>1099955</v>
      </c>
    </row>
    <row r="226" spans="1:6" x14ac:dyDescent="0.25">
      <c r="A226" s="16" t="s">
        <v>391</v>
      </c>
      <c r="B226" s="295">
        <v>17003852</v>
      </c>
      <c r="C226" s="292">
        <v>611527</v>
      </c>
      <c r="D226" s="295">
        <v>0</v>
      </c>
      <c r="E226" s="25">
        <v>17615379</v>
      </c>
    </row>
    <row r="227" spans="1:6" x14ac:dyDescent="0.25">
      <c r="A227" s="16" t="s">
        <v>393</v>
      </c>
      <c r="B227" s="295">
        <v>2603288</v>
      </c>
      <c r="C227" s="292">
        <v>25700</v>
      </c>
      <c r="D227" s="295">
        <v>0</v>
      </c>
      <c r="E227" s="25">
        <v>2628988</v>
      </c>
    </row>
    <row r="228" spans="1:6" x14ac:dyDescent="0.25">
      <c r="A228" s="16" t="s">
        <v>394</v>
      </c>
      <c r="B228" s="295">
        <v>0</v>
      </c>
      <c r="C228" s="292">
        <v>0</v>
      </c>
      <c r="D228" s="295">
        <v>0</v>
      </c>
      <c r="E228" s="25">
        <v>0</v>
      </c>
    </row>
    <row r="229" spans="1:6" x14ac:dyDescent="0.25">
      <c r="A229" s="16" t="s">
        <v>395</v>
      </c>
      <c r="B229" s="295">
        <v>24365741</v>
      </c>
      <c r="C229" s="292">
        <v>1405410</v>
      </c>
      <c r="D229" s="295">
        <v>0</v>
      </c>
      <c r="E229" s="25">
        <v>25771151</v>
      </c>
    </row>
    <row r="230" spans="1:6" x14ac:dyDescent="0.25">
      <c r="A230" s="16" t="s">
        <v>396</v>
      </c>
      <c r="B230" s="295">
        <v>0</v>
      </c>
      <c r="C230" s="292">
        <v>0</v>
      </c>
      <c r="D230" s="295">
        <v>0</v>
      </c>
      <c r="E230" s="25">
        <v>0</v>
      </c>
    </row>
    <row r="231" spans="1:6" x14ac:dyDescent="0.25">
      <c r="A231" s="16" t="s">
        <v>397</v>
      </c>
      <c r="B231" s="295">
        <v>0</v>
      </c>
      <c r="C231" s="292">
        <v>0</v>
      </c>
      <c r="D231" s="295">
        <v>0</v>
      </c>
      <c r="E231" s="25">
        <v>0</v>
      </c>
    </row>
    <row r="232" spans="1:6" x14ac:dyDescent="0.25">
      <c r="A232" s="16" t="s">
        <v>398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45056075</v>
      </c>
      <c r="C233" s="225">
        <v>2059398</v>
      </c>
      <c r="D233" s="25">
        <v>0</v>
      </c>
      <c r="E233" s="25">
        <v>47115473</v>
      </c>
    </row>
    <row r="234" spans="1:6" x14ac:dyDescent="0.25">
      <c r="A234" s="16"/>
      <c r="B234" s="16"/>
      <c r="C234" s="22"/>
      <c r="D234" s="16"/>
      <c r="E234" s="16"/>
      <c r="F234" s="11">
        <v>18660419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40" t="s">
        <v>401</v>
      </c>
      <c r="C236" s="340"/>
      <c r="D236" s="30"/>
      <c r="E236" s="30"/>
    </row>
    <row r="237" spans="1:6" x14ac:dyDescent="0.25">
      <c r="A237" s="43" t="s">
        <v>401</v>
      </c>
      <c r="B237" s="30"/>
      <c r="C237" s="292">
        <v>10777901</v>
      </c>
      <c r="D237" s="32">
        <v>10777901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>
        <v>82327975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92">
        <v>70357024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0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0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>
        <v>16769342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11261274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v>180715615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2">
        <v>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0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4005389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v>4005389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v>195498905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7667005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92963459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71627620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19878721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2982615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245610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431</v>
      </c>
      <c r="B276" s="16"/>
      <c r="C276" s="22"/>
      <c r="D276" s="25">
        <v>52109790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433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v>0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5072349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1430910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25156498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>
        <v>2888933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27909810</v>
      </c>
      <c r="D288" s="16"/>
      <c r="E288" s="16"/>
    </row>
    <row r="289" spans="1:5" x14ac:dyDescent="0.25">
      <c r="A289" s="16" t="s">
        <v>1065</v>
      </c>
      <c r="B289" s="35" t="s">
        <v>299</v>
      </c>
      <c r="C289" s="292">
        <v>3287273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30117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v>65775890</v>
      </c>
      <c r="E291" s="16"/>
    </row>
    <row r="292" spans="1:5" x14ac:dyDescent="0.25">
      <c r="A292" s="16" t="s">
        <v>440</v>
      </c>
      <c r="B292" s="35" t="s">
        <v>299</v>
      </c>
      <c r="C292" s="292">
        <v>47223806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v>18552084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444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445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819512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v>819512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449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450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451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452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v>71481386</v>
      </c>
      <c r="E308" s="16"/>
    </row>
    <row r="309" spans="1:6" x14ac:dyDescent="0.25">
      <c r="A309" s="16"/>
      <c r="B309" s="16"/>
      <c r="C309" s="22"/>
      <c r="D309" s="16"/>
      <c r="E309" s="16"/>
      <c r="F309" s="11">
        <v>71481386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457</v>
      </c>
      <c r="B315" s="35" t="s">
        <v>299</v>
      </c>
      <c r="C315" s="292">
        <v>5773848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92">
        <v>3433621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460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461</v>
      </c>
      <c r="B319" s="35" t="s">
        <v>299</v>
      </c>
      <c r="C319" s="292">
        <v>2034154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2089603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675576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v>14006802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469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470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474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475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3324521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3324521</v>
      </c>
      <c r="E339" s="16"/>
    </row>
    <row r="340" spans="1:5" x14ac:dyDescent="0.25">
      <c r="A340" s="16" t="s">
        <v>481</v>
      </c>
      <c r="B340" s="16"/>
      <c r="C340" s="22"/>
      <c r="D340" s="25">
        <v>675576</v>
      </c>
      <c r="E340" s="16"/>
    </row>
    <row r="341" spans="1:5" x14ac:dyDescent="0.25">
      <c r="A341" s="16" t="s">
        <v>482</v>
      </c>
      <c r="B341" s="16"/>
      <c r="C341" s="22"/>
      <c r="D341" s="25">
        <v>2648945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54825639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485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486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487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489</v>
      </c>
      <c r="B350" s="16"/>
      <c r="C350" s="22"/>
      <c r="D350" s="25">
        <v>71481386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v>71481386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3">
        <v>78914906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3">
        <v>234098445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v>313013351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10777901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v>180715615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4005389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v>195498905</v>
      </c>
      <c r="E366" s="16"/>
    </row>
    <row r="367" spans="1:5" x14ac:dyDescent="0.25">
      <c r="A367" s="16" t="s">
        <v>500</v>
      </c>
      <c r="B367" s="16"/>
      <c r="C367" s="22"/>
      <c r="D367" s="25">
        <v>117514446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132175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>
        <v>6569</v>
      </c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347269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118573</v>
      </c>
      <c r="D380" s="25">
        <v>0</v>
      </c>
      <c r="E380" s="204"/>
      <c r="F380" s="47"/>
    </row>
    <row r="381" spans="1:6" x14ac:dyDescent="0.25">
      <c r="A381" s="48" t="s">
        <v>514</v>
      </c>
      <c r="B381" s="35"/>
      <c r="C381" s="35"/>
      <c r="D381" s="25">
        <v>604586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v>604586</v>
      </c>
      <c r="E383" s="16"/>
    </row>
    <row r="384" spans="1:6" x14ac:dyDescent="0.25">
      <c r="A384" s="16" t="s">
        <v>517</v>
      </c>
      <c r="B384" s="16"/>
      <c r="C384" s="22"/>
      <c r="D384" s="25">
        <v>118119032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33676419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9457913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1997247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17314569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>
        <v>830096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9809131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2154597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1179412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2">
        <v>1769435</v>
      </c>
      <c r="D397" s="16"/>
      <c r="E397" s="16"/>
    </row>
    <row r="398" spans="1:5" x14ac:dyDescent="0.25">
      <c r="A398" s="16" t="s">
        <v>525</v>
      </c>
      <c r="B398" s="35" t="s">
        <v>299</v>
      </c>
      <c r="C398" s="292">
        <v>1221251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92">
        <v>4471765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392517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4881554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268721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252901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1299672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467661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14841774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125402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132549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784215</v>
      </c>
      <c r="D414" s="25">
        <v>0</v>
      </c>
      <c r="E414" s="204"/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v>23446966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v>107328801</v>
      </c>
      <c r="E416" s="25"/>
    </row>
    <row r="417" spans="1:13" x14ac:dyDescent="0.25">
      <c r="A417" s="25" t="s">
        <v>531</v>
      </c>
      <c r="B417" s="16"/>
      <c r="C417" s="22"/>
      <c r="D417" s="25">
        <v>10790231</v>
      </c>
      <c r="E417" s="25"/>
    </row>
    <row r="418" spans="1:13" x14ac:dyDescent="0.25">
      <c r="A418" s="25" t="s">
        <v>532</v>
      </c>
      <c r="B418" s="16"/>
      <c r="C418" s="294">
        <v>-31745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v>-31745</v>
      </c>
      <c r="E420" s="25"/>
      <c r="F420" s="11">
        <v>-4503510</v>
      </c>
    </row>
    <row r="421" spans="1:13" x14ac:dyDescent="0.25">
      <c r="A421" s="25" t="s">
        <v>535</v>
      </c>
      <c r="B421" s="16"/>
      <c r="C421" s="22"/>
      <c r="D421" s="25">
        <v>10758486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>
        <v>-258650</v>
      </c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v>10499836</v>
      </c>
      <c r="E424" s="16"/>
    </row>
    <row r="426" spans="1:13" ht="29.1" customHeight="1" x14ac:dyDescent="0.25">
      <c r="A426" s="342" t="s">
        <v>539</v>
      </c>
      <c r="B426" s="342"/>
      <c r="C426" s="342"/>
      <c r="D426" s="342"/>
      <c r="E426" s="342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89015</v>
      </c>
      <c r="E612" s="219">
        <f>SUM(C624:D647)+SUM(C668:D713)</f>
        <v>89263317.96525304</v>
      </c>
      <c r="F612" s="219">
        <f>CE64-(AX64+BD64+BE64+BG64+BJ64+BN64+BP64+BQ64+CB64+CC64+CD64)</f>
        <v>17278368</v>
      </c>
      <c r="G612" s="217">
        <f>CE91-(AX91+AY91+BD91+BE91+BG91+BJ91+BN91+BP91+BQ91+CB91+CC91+CD91)</f>
        <v>24961</v>
      </c>
      <c r="H612" s="222">
        <f>CE60-(AX60+AY60+AZ60+BD60+BE60+BG60+BJ60+BN60+BO60+BP60+BQ60+BR60+CB60+CC60+CD60)</f>
        <v>312.27</v>
      </c>
      <c r="I612" s="217">
        <f>CE92-(AX92+AY92+AZ92+BD92+BE92+BF92+BG92+BJ92+BN92+BO92+BP92+BQ92+BR92+CB92+CC92+CD92)</f>
        <v>39068</v>
      </c>
      <c r="J612" s="217">
        <f>CE93-(AX93+AY93+AZ93+BA93+BD93+BE93+BF93+BG93+BJ93+BN93+BO93+BP93+BQ93+BR93+CB93+CC93+CD93)</f>
        <v>530407.54</v>
      </c>
      <c r="K612" s="217">
        <f>CE89-(AW89+AX89+AY89+AZ89+BA89+BB89+BC89+BD89+BE89+BF89+BG89+BH89+BI89+BJ89+BK89+BL89+BM89+BN89+BO89+BP89+BQ89+BR89+BS89+BT89+BU89+BV89+BW89+BX89+CB89+CC89+CD89)</f>
        <v>313013351</v>
      </c>
      <c r="L612" s="223">
        <f>CE94-(AW94+AX94+AY94+AZ94+BA94+BB94+BC94+BD94+BE94+BF94+BG94+BH94+BI94+BJ94+BK94+BL94+BM94+BN94+BO94+BP94+BQ94+BR94+BS94+BT94+BU94+BV94+BW94+BX94+BY94+BZ94+CA94+CB94+CC94+CD94)</f>
        <v>87.06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1928188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6241200</v>
      </c>
      <c r="D615" s="217">
        <f>SUM(C614:C615)</f>
        <v>8169388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423482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15278539</v>
      </c>
      <c r="D619" s="217">
        <f>(D615/D612)*BN90</f>
        <v>211542.31691287985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1789851</v>
      </c>
      <c r="D620" s="217">
        <f>(D615/D612)*CC90</f>
        <v>15234.717834072908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346834</v>
      </c>
      <c r="D623" s="217">
        <f>(D615/D612)*BQ90</f>
        <v>0</v>
      </c>
      <c r="E623" s="219">
        <f>SUM(C616:D623)</f>
        <v>18065483.034746956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242282</v>
      </c>
      <c r="D624" s="217">
        <f>(D615/D612)*BD90</f>
        <v>77641.995708588438</v>
      </c>
      <c r="E624" s="219">
        <f>(E623/E612)*SUM(C624:D624)</f>
        <v>64747.554187171751</v>
      </c>
      <c r="F624" s="219">
        <f>SUM(C624:E624)</f>
        <v>384671.5498957602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1201786</v>
      </c>
      <c r="D625" s="217">
        <f>(D615/D612)*AY90</f>
        <v>237606.53296635399</v>
      </c>
      <c r="E625" s="219">
        <f>(E623/E612)*SUM(C625:D625)</f>
        <v>291310.27142378082</v>
      </c>
      <c r="F625" s="219">
        <f>(F624/F612)*AY64</f>
        <v>11842.969485410851</v>
      </c>
      <c r="G625" s="217">
        <f>SUM(C625:F625)</f>
        <v>1742545.7738755457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172452</v>
      </c>
      <c r="D626" s="217">
        <f>(D615/D612)*BR90</f>
        <v>0</v>
      </c>
      <c r="E626" s="219">
        <f>(E623/E612)*SUM(C626:D626)</f>
        <v>34901.55588346946</v>
      </c>
      <c r="F626" s="219">
        <f>(F624/F612)*BR64</f>
        <v>152.14662472680436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5043</v>
      </c>
      <c r="D627" s="217">
        <f>(D615/D612)*BO90</f>
        <v>0</v>
      </c>
      <c r="E627" s="219">
        <f>(E623/E612)*SUM(C627:D627)</f>
        <v>1020.623398512841</v>
      </c>
      <c r="F627" s="219">
        <f>(F624/F612)*BO64</f>
        <v>110.04693679025372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213679.37284349935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1316767</v>
      </c>
      <c r="D629" s="217">
        <f>(D615/D612)*BF90</f>
        <v>93519.141403134301</v>
      </c>
      <c r="E629" s="219">
        <f>(E623/E612)*SUM(C629:D629)</f>
        <v>285419.59835701529</v>
      </c>
      <c r="F629" s="219">
        <f>(F624/F612)*BF64</f>
        <v>2268.7969319079862</v>
      </c>
      <c r="G629" s="217">
        <f>(G625/G612)*BF91</f>
        <v>0</v>
      </c>
      <c r="H629" s="219">
        <f>(H628/H612)*BF60</f>
        <v>12850.733730428534</v>
      </c>
      <c r="I629" s="217">
        <f>SUM(C629:H629)</f>
        <v>1710825.2704224861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273226</v>
      </c>
      <c r="D630" s="217">
        <f>(D615/D612)*BA90</f>
        <v>0</v>
      </c>
      <c r="E630" s="219">
        <f>(E623/E612)*SUM(C630:D630)</f>
        <v>55296.618814608271</v>
      </c>
      <c r="F630" s="219">
        <f>(F624/F612)*BA64</f>
        <v>100.29566057861481</v>
      </c>
      <c r="G630" s="217">
        <f>(G625/G612)*BA91</f>
        <v>0</v>
      </c>
      <c r="H630" s="219">
        <f>(H628/H612)*BA60</f>
        <v>0</v>
      </c>
      <c r="I630" s="217">
        <f>(I629/I612)*BA92</f>
        <v>0</v>
      </c>
      <c r="J630" s="217">
        <f>SUM(C630:I630)</f>
        <v>328622.91447518684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155525</v>
      </c>
      <c r="D632" s="217">
        <f>(D615/D612)*BB90</f>
        <v>0</v>
      </c>
      <c r="E632" s="219">
        <f>(E623/E612)*SUM(C632:D632)</f>
        <v>31475.798939859134</v>
      </c>
      <c r="F632" s="219">
        <f>(F624/F612)*BB64</f>
        <v>5.1650595458909292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312113</v>
      </c>
      <c r="D634" s="217">
        <f>(D615/D612)*BI90</f>
        <v>0</v>
      </c>
      <c r="E634" s="219">
        <f>(E623/E612)*SUM(C634:D634)</f>
        <v>63166.732258583856</v>
      </c>
      <c r="F634" s="219">
        <f>(F624/F612)*BI64</f>
        <v>981.76205109783712</v>
      </c>
      <c r="G634" s="217">
        <f>(G625/G612)*BI91</f>
        <v>0</v>
      </c>
      <c r="H634" s="219">
        <f>(H628/H612)*BI60</f>
        <v>1491.7252147142815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>
        <f>(I629/I612)*BK92</f>
        <v>22771.299800852175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2129916</v>
      </c>
      <c r="D636" s="217">
        <f>(D615/D612)*BH90</f>
        <v>10278.845767567263</v>
      </c>
      <c r="E636" s="219">
        <f>(E623/E612)*SUM(C636:D636)</f>
        <v>433141.56989231816</v>
      </c>
      <c r="F636" s="219">
        <f>(F624/F612)*BH64</f>
        <v>12760.969766942173</v>
      </c>
      <c r="G636" s="217">
        <f>(G625/G612)*BH91</f>
        <v>0</v>
      </c>
      <c r="H636" s="219">
        <f>(H628/H612)*BH60</f>
        <v>10353.120412214255</v>
      </c>
      <c r="I636" s="217">
        <f>(I629/I612)*BH92</f>
        <v>0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1184681</v>
      </c>
      <c r="D637" s="217">
        <f>(D615/D612)*BL90</f>
        <v>15234.717834072908</v>
      </c>
      <c r="E637" s="219">
        <f>(E623/E612)*SUM(C637:D637)</f>
        <v>242843.95357223612</v>
      </c>
      <c r="F637" s="219">
        <f>(F624/F612)*BL64</f>
        <v>449.53828599409331</v>
      </c>
      <c r="G637" s="217">
        <f>(G625/G612)*BL91</f>
        <v>0</v>
      </c>
      <c r="H637" s="219">
        <f>(H628/H612)*BL60</f>
        <v>13760.82296692853</v>
      </c>
      <c r="I637" s="217">
        <f>(I629/I612)*BL92</f>
        <v>39017.746389537089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6349.6893675453175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516555</v>
      </c>
      <c r="D642" s="217">
        <f>(D615/D612)*BV90</f>
        <v>159138.55858001459</v>
      </c>
      <c r="E642" s="219">
        <f>(E623/E612)*SUM(C642:D642)</f>
        <v>136749.68394034702</v>
      </c>
      <c r="F642" s="219">
        <f>(F624/F612)*BV64</f>
        <v>1217.1729978144349</v>
      </c>
      <c r="G642" s="217">
        <f>(G625/G612)*BV91</f>
        <v>0</v>
      </c>
      <c r="H642" s="219">
        <f>(H628/H612)*BV60</f>
        <v>3510.3441979285612</v>
      </c>
      <c r="I642" s="217">
        <f>(I629/I612)*BV92</f>
        <v>6437.2712898562877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5509926.4885859713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1234589</v>
      </c>
      <c r="D645" s="217">
        <f>(D615/D612)*BY90</f>
        <v>136837.13428073921</v>
      </c>
      <c r="E645" s="219">
        <f>(E623/E612)*SUM(C645:D645)</f>
        <v>277554.94784432597</v>
      </c>
      <c r="F645" s="219">
        <f>(F624/F612)*BY64</f>
        <v>346.77141158102205</v>
      </c>
      <c r="G645" s="217">
        <f>(G625/G612)*BY91</f>
        <v>0</v>
      </c>
      <c r="H645" s="219">
        <f>(H628/H612)*BY60</f>
        <v>3195.5764920714191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1652523.4300287175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34753029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2488536</v>
      </c>
      <c r="D668" s="217">
        <f>(D615/D612)*C90</f>
        <v>266240.46046171995</v>
      </c>
      <c r="E668" s="219">
        <f>(E623/E612)*SUM(C668:D668)</f>
        <v>557523.16343835334</v>
      </c>
      <c r="F668" s="219">
        <f>(F624/F612)*C64</f>
        <v>2868.7007876130597</v>
      </c>
      <c r="G668" s="217">
        <f>(G625/G612)*C91</f>
        <v>199868.13631688181</v>
      </c>
      <c r="H668" s="219">
        <f>(H628/H612)*C60</f>
        <v>8334.5014289999763</v>
      </c>
      <c r="I668" s="217">
        <f>(I629/I612)*C92</f>
        <v>97741.425299042414</v>
      </c>
      <c r="J668" s="217">
        <f>(J630/J612)*C93</f>
        <v>45796.520858776603</v>
      </c>
      <c r="K668" s="217">
        <f>(K644/K612)*C89</f>
        <v>90971.748109417385</v>
      </c>
      <c r="L668" s="217">
        <f>(L647/L612)*C94</f>
        <v>231193.83617906936</v>
      </c>
      <c r="M668" s="202">
        <f t="shared" ref="M668:M713" si="0">ROUND(SUM(D668:L668),0)</f>
        <v>1500538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0"/>
        <v>0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8712943</v>
      </c>
      <c r="D670" s="217">
        <f>(D615/D612)*E90</f>
        <v>1616073.1707240352</v>
      </c>
      <c r="E670" s="219">
        <f>(E623/E612)*SUM(C670:D670)</f>
        <v>2090429.4244414943</v>
      </c>
      <c r="F670" s="219">
        <f>(F624/F612)*E64</f>
        <v>7684.8071295285818</v>
      </c>
      <c r="G670" s="217">
        <f>(G625/G612)*E91</f>
        <v>1394329.824190388</v>
      </c>
      <c r="H670" s="219">
        <f>(H628/H612)*E60</f>
        <v>22341.66433964279</v>
      </c>
      <c r="I670" s="217">
        <f>(I629/I612)*E92</f>
        <v>384134.31125591398</v>
      </c>
      <c r="J670" s="217">
        <f>(J630/J612)*E93</f>
        <v>114310.07885120179</v>
      </c>
      <c r="K670" s="217">
        <f>(K644/K612)*E89</f>
        <v>375744.6230127989</v>
      </c>
      <c r="L670" s="217">
        <f>(L647/L612)*E94</f>
        <v>619743.73983962357</v>
      </c>
      <c r="M670" s="202">
        <f t="shared" si="0"/>
        <v>6624792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0"/>
        <v>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5</v>
      </c>
      <c r="D675" s="217">
        <f>(D615/D612)*J90</f>
        <v>0</v>
      </c>
      <c r="E675" s="219">
        <f>(E623/E612)*SUM(C675:D675)</f>
        <v>1.0119208789538381</v>
      </c>
      <c r="F675" s="219">
        <f>(F624/F612)*J64</f>
        <v>0.11131593848902865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15341.498268007663</v>
      </c>
      <c r="L675" s="217">
        <f>(L647/L612)*J94</f>
        <v>0</v>
      </c>
      <c r="M675" s="202">
        <f t="shared" si="0"/>
        <v>15343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0"/>
        <v>0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0"/>
        <v>0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7417690</v>
      </c>
      <c r="D681" s="217">
        <f>(D615/D612)*P90</f>
        <v>398764.15053642646</v>
      </c>
      <c r="E681" s="219">
        <f>(E623/E612)*SUM(C681:D681)</f>
        <v>1581926.6308626393</v>
      </c>
      <c r="F681" s="219">
        <f>(F624/F612)*P64</f>
        <v>95713.339970713947</v>
      </c>
      <c r="G681" s="217">
        <f>(G625/G612)*P91</f>
        <v>0</v>
      </c>
      <c r="H681" s="219">
        <f>(H628/H612)*P60</f>
        <v>8615.0552537856893</v>
      </c>
      <c r="I681" s="217">
        <f>(I629/I612)*P92</f>
        <v>146612.13794856361</v>
      </c>
      <c r="J681" s="217">
        <f>(J630/J612)*P93</f>
        <v>23272.788573917034</v>
      </c>
      <c r="K681" s="217">
        <f>(K644/K612)*P89</f>
        <v>691547.78104347375</v>
      </c>
      <c r="L681" s="217">
        <f>(L647/L612)*P94</f>
        <v>238976.22311120553</v>
      </c>
      <c r="M681" s="202">
        <f t="shared" si="0"/>
        <v>3185428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823606</v>
      </c>
      <c r="D682" s="217">
        <f>(D615/D612)*Q90</f>
        <v>109304.51168904117</v>
      </c>
      <c r="E682" s="219">
        <f>(E623/E612)*SUM(C682:D682)</f>
        <v>188806.32499472986</v>
      </c>
      <c r="F682" s="219">
        <f>(F624/F612)*Q64</f>
        <v>730.4997147404016</v>
      </c>
      <c r="G682" s="217">
        <f>(G625/G612)*Q91</f>
        <v>0</v>
      </c>
      <c r="H682" s="219">
        <f>(H628/H612)*Q60</f>
        <v>2182.8456123571364</v>
      </c>
      <c r="I682" s="217">
        <f>(I629/I612)*Q92</f>
        <v>23034.045567785084</v>
      </c>
      <c r="J682" s="217">
        <f>(J630/J612)*Q93</f>
        <v>11455.170991218807</v>
      </c>
      <c r="K682" s="217">
        <f>(K644/K612)*Q89</f>
        <v>90913.85234183092</v>
      </c>
      <c r="L682" s="217">
        <f>(L647/L612)*Q94</f>
        <v>60550.766618327689</v>
      </c>
      <c r="M682" s="202">
        <f t="shared" si="0"/>
        <v>486978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1184987</v>
      </c>
      <c r="D683" s="217">
        <f>(D615/D612)*R90</f>
        <v>8718.6638207043761</v>
      </c>
      <c r="E683" s="219">
        <f>(E623/E612)*SUM(C683:D683)</f>
        <v>241587.13690912441</v>
      </c>
      <c r="F683" s="219">
        <f>(F624/F612)*R64</f>
        <v>2551.4948892947236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175799.34528977261</v>
      </c>
      <c r="L683" s="217">
        <f>(L647/L612)*R94</f>
        <v>0</v>
      </c>
      <c r="M683" s="202">
        <f t="shared" si="0"/>
        <v>428657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222297</v>
      </c>
      <c r="D684" s="217">
        <f>(D615/D612)*S90</f>
        <v>47998.538718193558</v>
      </c>
      <c r="E684" s="219">
        <f>(E623/E612)*SUM(C684:D684)</f>
        <v>54703.539823403116</v>
      </c>
      <c r="F684" s="219">
        <f>(F624/F612)*S64</f>
        <v>2289.9469602209019</v>
      </c>
      <c r="G684" s="217">
        <f>(G625/G612)*S91</f>
        <v>0</v>
      </c>
      <c r="H684" s="219">
        <f>(H628/H612)*S60</f>
        <v>1300.1274807142818</v>
      </c>
      <c r="I684" s="217">
        <f>(I629/I612)*S92</f>
        <v>18479.785607614649</v>
      </c>
      <c r="J684" s="217">
        <f>(J630/J612)*S93</f>
        <v>289.95727318353624</v>
      </c>
      <c r="K684" s="217">
        <f>(K644/K612)*S89</f>
        <v>398534.80168389302</v>
      </c>
      <c r="L684" s="217">
        <f>(L647/L612)*S94</f>
        <v>0</v>
      </c>
      <c r="M684" s="202">
        <f t="shared" si="0"/>
        <v>523597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138467</v>
      </c>
      <c r="D685" s="217">
        <f>(D615/D612)*T90</f>
        <v>17162.00141549177</v>
      </c>
      <c r="E685" s="219">
        <f>(E623/E612)*SUM(C685:D685)</f>
        <v>31496.84718061451</v>
      </c>
      <c r="F685" s="219">
        <f>(F624/F612)*T64</f>
        <v>2994.376482167173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24103.756009070861</v>
      </c>
      <c r="L685" s="217">
        <f>(L647/L612)*T94</f>
        <v>0</v>
      </c>
      <c r="M685" s="202">
        <f t="shared" si="0"/>
        <v>75757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5246015</v>
      </c>
      <c r="D686" s="217">
        <f>(D615/D612)*U90</f>
        <v>236321.67724540806</v>
      </c>
      <c r="E686" s="219">
        <f>(E623/E612)*SUM(C686:D686)</f>
        <v>1109538.1898318075</v>
      </c>
      <c r="F686" s="219">
        <f>(F624/F612)*U64</f>
        <v>29048.205833339794</v>
      </c>
      <c r="G686" s="217">
        <f>(G625/G612)*U91</f>
        <v>0</v>
      </c>
      <c r="H686" s="219">
        <f>(H628/H612)*U60</f>
        <v>14629.855546142813</v>
      </c>
      <c r="I686" s="217">
        <f>(I629/I612)*U92</f>
        <v>37704.017554872546</v>
      </c>
      <c r="J686" s="217">
        <f>(J630/J612)*U93</f>
        <v>120.81553049314012</v>
      </c>
      <c r="K686" s="217">
        <f>(K644/K612)*U89</f>
        <v>880198.87775800959</v>
      </c>
      <c r="L686" s="217">
        <f>(L647/L612)*U94</f>
        <v>0</v>
      </c>
      <c r="M686" s="202">
        <f t="shared" si="0"/>
        <v>2307562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220808</v>
      </c>
      <c r="D687" s="217">
        <f>(D615/D612)*V90</f>
        <v>14133.412930404987</v>
      </c>
      <c r="E687" s="219">
        <f>(E623/E612)*SUM(C687:D687)</f>
        <v>47548.424215038409</v>
      </c>
      <c r="F687" s="219">
        <f>(F624/F612)*V64</f>
        <v>171.40428208540632</v>
      </c>
      <c r="G687" s="217">
        <f>(G625/G612)*V91</f>
        <v>0</v>
      </c>
      <c r="H687" s="219">
        <f>(H628/H612)*V60</f>
        <v>869.03257921428315</v>
      </c>
      <c r="I687" s="217">
        <f>(I629/I612)*V92</f>
        <v>6568.644173322743</v>
      </c>
      <c r="J687" s="217">
        <f>(J630/J612)*V93</f>
        <v>797.38250125472473</v>
      </c>
      <c r="K687" s="217">
        <f>(K644/K612)*V89</f>
        <v>30337.082966893468</v>
      </c>
      <c r="L687" s="217">
        <f>(L647/L612)*V94</f>
        <v>0</v>
      </c>
      <c r="M687" s="202">
        <f t="shared" si="0"/>
        <v>100425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310078</v>
      </c>
      <c r="D688" s="217">
        <f>(D615/D612)*W90</f>
        <v>84984.02839970791</v>
      </c>
      <c r="E688" s="219">
        <f>(E623/E612)*SUM(C688:D688)</f>
        <v>79954.303003903711</v>
      </c>
      <c r="F688" s="219">
        <f>(F624/F612)*W64</f>
        <v>56.726602254009002</v>
      </c>
      <c r="G688" s="217">
        <f>(G625/G612)*W91</f>
        <v>0</v>
      </c>
      <c r="H688" s="219">
        <f>(H628/H612)*W60</f>
        <v>978.51699864285422</v>
      </c>
      <c r="I688" s="217">
        <f>(I629/I612)*W92</f>
        <v>7356.8814741214719</v>
      </c>
      <c r="J688" s="217">
        <f>(J630/J612)*W93</f>
        <v>2344.4408583899599</v>
      </c>
      <c r="K688" s="217">
        <f>(K644/K612)*W89</f>
        <v>87927.388329308596</v>
      </c>
      <c r="L688" s="217">
        <f>(L647/L612)*W94</f>
        <v>0</v>
      </c>
      <c r="M688" s="202">
        <f t="shared" si="0"/>
        <v>263602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391369</v>
      </c>
      <c r="D689" s="217">
        <f>(D615/D612)*X90</f>
        <v>40014.078166601132</v>
      </c>
      <c r="E689" s="219">
        <f>(E623/E612)*SUM(C689:D689)</f>
        <v>87305.108724831851</v>
      </c>
      <c r="F689" s="219">
        <f>(F624/F612)*X64</f>
        <v>876.10096228405109</v>
      </c>
      <c r="G689" s="217">
        <f>(G625/G612)*X91</f>
        <v>0</v>
      </c>
      <c r="H689" s="219">
        <f>(H628/H612)*X60</f>
        <v>1382.2407952857102</v>
      </c>
      <c r="I689" s="217">
        <f>(I629/I612)*X92</f>
        <v>0</v>
      </c>
      <c r="J689" s="217">
        <f>(J630/J612)*X93</f>
        <v>3021.0078291515447</v>
      </c>
      <c r="K689" s="217">
        <f>(K644/K612)*X89</f>
        <v>377628.86708515865</v>
      </c>
      <c r="L689" s="217">
        <f>(L647/L612)*X94</f>
        <v>0</v>
      </c>
      <c r="M689" s="202">
        <f t="shared" si="0"/>
        <v>510227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5231769</v>
      </c>
      <c r="D690" s="217">
        <f>(D615/D612)*Y90</f>
        <v>342964.70208391844</v>
      </c>
      <c r="E690" s="219">
        <f>(E623/E612)*SUM(C690:D690)</f>
        <v>1128237.8855492685</v>
      </c>
      <c r="F690" s="219">
        <f>(F624/F612)*Y64</f>
        <v>12894.949630507568</v>
      </c>
      <c r="G690" s="217">
        <f>(G625/G612)*Y91</f>
        <v>0</v>
      </c>
      <c r="H690" s="219">
        <f>(H628/H612)*Y60</f>
        <v>13719.766309642817</v>
      </c>
      <c r="I690" s="217">
        <f>(I629/I612)*Y92</f>
        <v>68620.436130644914</v>
      </c>
      <c r="J690" s="217">
        <f>(J630/J612)*Y93</f>
        <v>23756.050695889597</v>
      </c>
      <c r="K690" s="217">
        <f>(K644/K612)*Y89</f>
        <v>445310.18118172453</v>
      </c>
      <c r="L690" s="217">
        <f>(L647/L612)*Y94</f>
        <v>0</v>
      </c>
      <c r="M690" s="202">
        <f t="shared" si="0"/>
        <v>2035504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0"/>
        <v>0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234322</v>
      </c>
      <c r="D692" s="217">
        <f>(D615/D612)*AA90</f>
        <v>37352.591316070328</v>
      </c>
      <c r="E692" s="219">
        <f>(E623/E612)*SUM(C692:D692)</f>
        <v>54982.63824679653</v>
      </c>
      <c r="F692" s="219">
        <f>(F624/F612)*AA64</f>
        <v>1805.3886799781601</v>
      </c>
      <c r="G692" s="217">
        <f>(G625/G612)*AA91</f>
        <v>0</v>
      </c>
      <c r="H692" s="219">
        <f>(H628/H612)*AA60</f>
        <v>328.45325828571333</v>
      </c>
      <c r="I692" s="217">
        <f>(I629/I612)*AA92</f>
        <v>0</v>
      </c>
      <c r="J692" s="217">
        <f>(J630/J612)*AA93</f>
        <v>0</v>
      </c>
      <c r="K692" s="217">
        <f>(K644/K612)*AA89</f>
        <v>14625.414405004396</v>
      </c>
      <c r="L692" s="217">
        <f>(L647/L612)*AA94</f>
        <v>0</v>
      </c>
      <c r="M692" s="202">
        <f t="shared" si="0"/>
        <v>109094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8217573</v>
      </c>
      <c r="D693" s="217">
        <f>(D615/D612)*AB90</f>
        <v>80211.707150480259</v>
      </c>
      <c r="E693" s="219">
        <f>(E623/E612)*SUM(C693:D693)</f>
        <v>1679340.318845886</v>
      </c>
      <c r="F693" s="219">
        <f>(F624/F612)*AB64</f>
        <v>152647.01213350025</v>
      </c>
      <c r="G693" s="217">
        <f>(G625/G612)*AB91</f>
        <v>0</v>
      </c>
      <c r="H693" s="219">
        <f>(H628/H612)*AB60</f>
        <v>5255.2521325714133</v>
      </c>
      <c r="I693" s="217">
        <f>(I629/I612)*AB92</f>
        <v>14188.271414377125</v>
      </c>
      <c r="J693" s="217">
        <f>(J630/J612)*AB93</f>
        <v>0</v>
      </c>
      <c r="K693" s="217">
        <f>(K644/K612)*AB89</f>
        <v>718205.12942605233</v>
      </c>
      <c r="L693" s="217">
        <f>(L647/L612)*AB94</f>
        <v>0</v>
      </c>
      <c r="M693" s="202">
        <f t="shared" si="0"/>
        <v>2649848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981487</v>
      </c>
      <c r="D694" s="217">
        <f>(D615/D612)*AC90</f>
        <v>29643.456990394876</v>
      </c>
      <c r="E694" s="219">
        <f>(E623/E612)*SUM(C694:D694)</f>
        <v>204636.80415494327</v>
      </c>
      <c r="F694" s="219">
        <f>(F624/F612)*AC64</f>
        <v>2354.5992572953296</v>
      </c>
      <c r="G694" s="217">
        <f>(G625/G612)*AC91</f>
        <v>0</v>
      </c>
      <c r="H694" s="219">
        <f>(H628/H612)*AC60</f>
        <v>0</v>
      </c>
      <c r="I694" s="217">
        <f>(I629/I612)*AC92</f>
        <v>20494.169820766958</v>
      </c>
      <c r="J694" s="217">
        <f>(J630/J612)*AC93</f>
        <v>0</v>
      </c>
      <c r="K694" s="217">
        <f>(K644/K612)*AC89</f>
        <v>51832.308113360392</v>
      </c>
      <c r="L694" s="217">
        <f>(L647/L612)*AC94</f>
        <v>0</v>
      </c>
      <c r="M694" s="202">
        <f t="shared" si="0"/>
        <v>308961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486192</v>
      </c>
      <c r="D695" s="217">
        <f>(D615/D612)*AD90</f>
        <v>24412.258697972251</v>
      </c>
      <c r="E695" s="219">
        <f>(E623/E612)*SUM(C695:D695)</f>
        <v>103338.22205184499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35181.017119729651</v>
      </c>
      <c r="L695" s="217">
        <f>(L647/L612)*AD94</f>
        <v>0</v>
      </c>
      <c r="M695" s="202">
        <f t="shared" si="0"/>
        <v>162931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834728</v>
      </c>
      <c r="D696" s="217">
        <f>(D615/D612)*AE90</f>
        <v>26798.41932258608</v>
      </c>
      <c r="E696" s="219">
        <f>(E623/E612)*SUM(C696:D696)</f>
        <v>174359.31429657282</v>
      </c>
      <c r="F696" s="219">
        <f>(F624/F612)*AE64</f>
        <v>1075.8908086841598</v>
      </c>
      <c r="G696" s="217">
        <f>(G625/G612)*AE91</f>
        <v>0</v>
      </c>
      <c r="H696" s="219">
        <f>(H628/H612)*AE60</f>
        <v>4406.7478819999878</v>
      </c>
      <c r="I696" s="217">
        <f>(I629/I612)*AE92</f>
        <v>22771.299800852175</v>
      </c>
      <c r="J696" s="217">
        <f>(J630/J612)*AE93</f>
        <v>0</v>
      </c>
      <c r="K696" s="217">
        <f>(K644/K612)*AE89</f>
        <v>57133.599466996748</v>
      </c>
      <c r="L696" s="217">
        <f>(L647/L612)*AE94</f>
        <v>0</v>
      </c>
      <c r="M696" s="202">
        <f t="shared" si="0"/>
        <v>286545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7386288</v>
      </c>
      <c r="D698" s="217">
        <f>(D615/D612)*AG90</f>
        <v>655459.96849969099</v>
      </c>
      <c r="E698" s="219">
        <f>(E623/E612)*SUM(C698:D698)</f>
        <v>1627522.5345218899</v>
      </c>
      <c r="F698" s="219">
        <f>(F624/F612)*AG64</f>
        <v>10835.003662392697</v>
      </c>
      <c r="G698" s="217">
        <f>(G625/G612)*AG91</f>
        <v>0</v>
      </c>
      <c r="H698" s="219">
        <f>(H628/H612)*AG60</f>
        <v>14800.924951499956</v>
      </c>
      <c r="I698" s="217">
        <f>(I629/I612)*AG92</f>
        <v>179280.1949705554</v>
      </c>
      <c r="J698" s="217">
        <f>(J630/J612)*AG93</f>
        <v>72791.047338705393</v>
      </c>
      <c r="K698" s="217">
        <f>(K644/K612)*AG89</f>
        <v>414123.53195425763</v>
      </c>
      <c r="L698" s="217">
        <f>(L647/L612)*AG94</f>
        <v>410568.364249037</v>
      </c>
      <c r="M698" s="202">
        <f t="shared" si="0"/>
        <v>3385382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937922</v>
      </c>
      <c r="D700" s="217">
        <f>(D615/D612)*AI90</f>
        <v>175199.25509183845</v>
      </c>
      <c r="E700" s="219">
        <f>(E623/E612)*SUM(C700:D700)</f>
        <v>225278.12776694653</v>
      </c>
      <c r="F700" s="219">
        <f>(F624/F612)*AI64</f>
        <v>2743.8265678160674</v>
      </c>
      <c r="G700" s="217">
        <f>(G625/G612)*AI91</f>
        <v>148347.81336827588</v>
      </c>
      <c r="H700" s="219">
        <f>(H628/H612)*AI60</f>
        <v>3298.2181352857046</v>
      </c>
      <c r="I700" s="217">
        <f>(I629/I612)*AI92</f>
        <v>52417.780503115486</v>
      </c>
      <c r="J700" s="217">
        <f>(J630/J612)*AI93</f>
        <v>17207.22937633836</v>
      </c>
      <c r="K700" s="217">
        <f>(K644/K612)*AI89</f>
        <v>25715.032715068992</v>
      </c>
      <c r="L700" s="217">
        <f>(L647/L612)*AI94</f>
        <v>91490.500031454387</v>
      </c>
      <c r="M700" s="202">
        <f t="shared" si="0"/>
        <v>741698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17165670</v>
      </c>
      <c r="D701" s="217">
        <f>(D615/D612)*AJ90</f>
        <v>2873488.044486884</v>
      </c>
      <c r="E701" s="219">
        <f>(E623/E612)*SUM(C701:D701)</f>
        <v>4055608.4843744086</v>
      </c>
      <c r="F701" s="219">
        <f>(F624/F612)*AJ64</f>
        <v>13550.244297204781</v>
      </c>
      <c r="G701" s="217">
        <f>(G625/G612)*AJ91</f>
        <v>0</v>
      </c>
      <c r="H701" s="219">
        <f>(H628/H612)*AJ60</f>
        <v>55364.902349785552</v>
      </c>
      <c r="I701" s="217">
        <f>(I629/I612)*AJ92</f>
        <v>435807.64541938622</v>
      </c>
      <c r="J701" s="217">
        <f>(J630/J612)*AJ93</f>
        <v>7250.17096323449</v>
      </c>
      <c r="K701" s="217">
        <f>(K644/K612)*AJ89</f>
        <v>270191.11556180503</v>
      </c>
      <c r="L701" s="217">
        <f>(L647/L612)*AJ94</f>
        <v>0</v>
      </c>
      <c r="M701" s="202">
        <f t="shared" si="0"/>
        <v>7711261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0"/>
        <v>0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476794</v>
      </c>
      <c r="D703" s="217">
        <f>(D615/D612)*AL90</f>
        <v>0</v>
      </c>
      <c r="E703" s="219">
        <f>(E623/E612)*SUM(C703:D703)</f>
        <v>96495.560711983257</v>
      </c>
      <c r="F703" s="219">
        <f>(F624/F612)*AL64</f>
        <v>1313.5948637336314</v>
      </c>
      <c r="G703" s="217">
        <f>(G625/G612)*AL91</f>
        <v>0</v>
      </c>
      <c r="H703" s="219">
        <f>(H628/H612)*AL60</f>
        <v>1827.0212492142803</v>
      </c>
      <c r="I703" s="217">
        <f>(I629/I612)*AL92</f>
        <v>62314.537724255082</v>
      </c>
      <c r="J703" s="217">
        <f>(J630/J612)*AL93</f>
        <v>0</v>
      </c>
      <c r="K703" s="217">
        <f>(K644/K612)*AL89</f>
        <v>41957.585574507611</v>
      </c>
      <c r="L703" s="217">
        <f>(L647/L612)*AL94</f>
        <v>0</v>
      </c>
      <c r="M703" s="202">
        <f t="shared" si="0"/>
        <v>203908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60234.024318483745</v>
      </c>
      <c r="L706" s="217">
        <f>(L647/L612)*AO94</f>
        <v>0</v>
      </c>
      <c r="M706" s="202">
        <f t="shared" si="0"/>
        <v>60234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0"/>
        <v>0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3466226</v>
      </c>
      <c r="D713" s="217">
        <f>(D615/D612)*AV90</f>
        <v>127108.9409650059</v>
      </c>
      <c r="E713" s="219">
        <f>(E623/E612)*SUM(C713:D713)</f>
        <v>727234.13036736939</v>
      </c>
      <c r="F713" s="219">
        <f>(F624/F612)*AV64</f>
        <v>10229.689852077057</v>
      </c>
      <c r="G713" s="217">
        <f>(G625/G612)*AV91</f>
        <v>0</v>
      </c>
      <c r="H713" s="219">
        <f>(H628/H612)*AV60</f>
        <v>8881.9235261428312</v>
      </c>
      <c r="I713" s="217">
        <f>(I629/I612)*AV92</f>
        <v>58723.678909505317</v>
      </c>
      <c r="J713" s="217">
        <f>(J630/J612)*AV93</f>
        <v>6210.2528334318449</v>
      </c>
      <c r="K713" s="217">
        <f>(K644/K612)*AV89</f>
        <v>136367.92685134505</v>
      </c>
      <c r="L713" s="217">
        <f>(L647/L612)*AV94</f>
        <v>0</v>
      </c>
      <c r="M713" s="202">
        <f t="shared" si="0"/>
        <v>1074757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107328801</v>
      </c>
      <c r="D715" s="202">
        <f>SUM(D616:D647)+SUM(D668:D713)</f>
        <v>8169388</v>
      </c>
      <c r="E715" s="202">
        <f>SUM(E624:E647)+SUM(E668:E713)</f>
        <v>18065483.034746956</v>
      </c>
      <c r="F715" s="202">
        <f>SUM(F625:F648)+SUM(F668:F713)</f>
        <v>384671.54989576014</v>
      </c>
      <c r="G715" s="202">
        <f>SUM(G626:G647)+SUM(G668:G713)</f>
        <v>1742545.7738755457</v>
      </c>
      <c r="H715" s="202">
        <f>SUM(H629:H647)+SUM(H668:H713)</f>
        <v>213679.37284349938</v>
      </c>
      <c r="I715" s="202">
        <f>SUM(I630:I647)+SUM(I668:I713)</f>
        <v>1710825.2704224861</v>
      </c>
      <c r="J715" s="202">
        <f>SUM(J631:J647)+SUM(J668:J713)</f>
        <v>328622.91447518679</v>
      </c>
      <c r="K715" s="202">
        <f>SUM(K668:K713)</f>
        <v>5509926.4885859732</v>
      </c>
      <c r="L715" s="202">
        <f>SUM(L668:L713)</f>
        <v>1652523.4300287175</v>
      </c>
      <c r="M715" s="202">
        <f>SUM(M668:M713)</f>
        <v>34753029</v>
      </c>
      <c r="N715" s="211" t="s">
        <v>694</v>
      </c>
    </row>
    <row r="716" spans="1:14" s="202" customFormat="1" ht="12.6" customHeight="1" x14ac:dyDescent="0.2">
      <c r="C716" s="214">
        <f>CE85</f>
        <v>107328801</v>
      </c>
      <c r="D716" s="202">
        <f>D615</f>
        <v>8169388</v>
      </c>
      <c r="E716" s="202">
        <f>E623</f>
        <v>18065483.034746956</v>
      </c>
      <c r="F716" s="202">
        <f>F624</f>
        <v>384671.5498957602</v>
      </c>
      <c r="G716" s="202">
        <f>G625</f>
        <v>1742545.7738755457</v>
      </c>
      <c r="H716" s="202">
        <f>H628</f>
        <v>213679.37284349935</v>
      </c>
      <c r="I716" s="202">
        <f>I629</f>
        <v>1710825.2704224861</v>
      </c>
      <c r="J716" s="202">
        <f>J630</f>
        <v>328622.91447518684</v>
      </c>
      <c r="K716" s="202">
        <f>K644</f>
        <v>5509926.4885859713</v>
      </c>
      <c r="L716" s="202">
        <f>L647</f>
        <v>1652523.4300287175</v>
      </c>
      <c r="M716" s="202">
        <f>C648</f>
        <v>34753029</v>
      </c>
      <c r="N716" s="211" t="s">
        <v>695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1066</v>
      </c>
      <c r="B1" s="11" t="s">
        <v>1067</v>
      </c>
      <c r="C1" s="11" t="s">
        <v>1068</v>
      </c>
      <c r="D1" s="11" t="s">
        <v>1069</v>
      </c>
      <c r="E1" s="11" t="s">
        <v>1070</v>
      </c>
      <c r="F1" s="11" t="s">
        <v>1071</v>
      </c>
      <c r="G1" s="11" t="s">
        <v>1072</v>
      </c>
      <c r="H1" s="11" t="s">
        <v>1073</v>
      </c>
      <c r="I1" s="11" t="s">
        <v>1074</v>
      </c>
      <c r="J1" s="11" t="s">
        <v>1075</v>
      </c>
      <c r="K1" s="11" t="s">
        <v>1076</v>
      </c>
      <c r="L1" s="11" t="s">
        <v>1077</v>
      </c>
      <c r="M1" s="11" t="s">
        <v>1078</v>
      </c>
      <c r="N1" s="11" t="s">
        <v>1079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198</v>
      </c>
      <c r="C2" s="11" t="str">
        <f>SUBSTITUTE(LEFT(data!C98,49),",","")</f>
        <v>Astria Sunnyside Hospital</v>
      </c>
      <c r="D2" s="11" t="str">
        <f>LEFT(data!C99, 49)</f>
        <v>PO Box 719</v>
      </c>
      <c r="E2" s="11" t="str">
        <f>LEFT(data!C100, 100)</f>
        <v xml:space="preserve">Sunnyside </v>
      </c>
      <c r="F2" s="11" t="str">
        <f>LEFT(data!C101, 2)</f>
        <v>WA</v>
      </c>
      <c r="G2" s="11" t="str">
        <f>LEFT(data!C102, 100)</f>
        <v>98944</v>
      </c>
      <c r="H2" s="11" t="str">
        <f>LEFT(data!C103, 100)</f>
        <v>Yakima</v>
      </c>
      <c r="I2" s="11" t="str">
        <f>LEFT(data!C104, 49)</f>
        <v>Brian P. Gibbons, Jr</v>
      </c>
      <c r="J2" s="11" t="str">
        <f>LEFT(data!C105, 49)</f>
        <v>Matthew Matthiessen</v>
      </c>
      <c r="K2" s="11" t="str">
        <f>LEFT(data!C107, 49)</f>
        <v>(509) 837-1641</v>
      </c>
      <c r="L2" s="11" t="str">
        <f>LEFT(data!C108, 49)</f>
        <v>(509) 837-1512</v>
      </c>
      <c r="M2" s="11" t="str">
        <f>LEFT(data!C109, 49)</f>
        <v>Sandra Cortez</v>
      </c>
      <c r="N2" s="11" t="str">
        <f>LEFT(data!C110, 49)</f>
        <v>sandra.cortez@astria.health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1080</v>
      </c>
      <c r="B1" s="12" t="s">
        <v>1081</v>
      </c>
      <c r="C1" s="12" t="s">
        <v>1082</v>
      </c>
      <c r="D1" s="12" t="s">
        <v>1083</v>
      </c>
      <c r="E1" s="12" t="s">
        <v>1084</v>
      </c>
      <c r="F1" s="12" t="s">
        <v>1085</v>
      </c>
      <c r="G1" s="12" t="s">
        <v>1086</v>
      </c>
      <c r="H1" s="12" t="s">
        <v>1087</v>
      </c>
      <c r="I1" s="12" t="s">
        <v>1088</v>
      </c>
      <c r="J1" s="12" t="s">
        <v>1089</v>
      </c>
      <c r="K1" s="12" t="s">
        <v>1090</v>
      </c>
      <c r="L1" s="12" t="s">
        <v>1091</v>
      </c>
      <c r="M1" s="12" t="s">
        <v>1092</v>
      </c>
      <c r="N1" s="12" t="s">
        <v>1093</v>
      </c>
      <c r="O1" s="12" t="s">
        <v>1094</v>
      </c>
      <c r="P1" s="12" t="s">
        <v>1095</v>
      </c>
      <c r="Q1" s="12" t="s">
        <v>1096</v>
      </c>
      <c r="R1" s="12" t="s">
        <v>1097</v>
      </c>
      <c r="S1" s="12" t="s">
        <v>1098</v>
      </c>
      <c r="T1" s="12" t="s">
        <v>1099</v>
      </c>
      <c r="U1" s="12" t="s">
        <v>1100</v>
      </c>
      <c r="V1" s="12" t="s">
        <v>1101</v>
      </c>
      <c r="W1" s="12" t="s">
        <v>1102</v>
      </c>
      <c r="X1" s="12" t="s">
        <v>1103</v>
      </c>
      <c r="Y1" s="12" t="s">
        <v>1104</v>
      </c>
      <c r="Z1" s="12" t="s">
        <v>1105</v>
      </c>
      <c r="AA1" s="12" t="s">
        <v>1106</v>
      </c>
      <c r="AB1" s="12" t="s">
        <v>1107</v>
      </c>
      <c r="AC1" s="12" t="s">
        <v>1108</v>
      </c>
      <c r="AD1" s="12" t="s">
        <v>1109</v>
      </c>
      <c r="AE1" s="12" t="s">
        <v>1110</v>
      </c>
      <c r="AF1" s="12" t="s">
        <v>1111</v>
      </c>
      <c r="AG1" s="12" t="s">
        <v>1112</v>
      </c>
      <c r="AH1" s="12" t="s">
        <v>1113</v>
      </c>
      <c r="AI1" s="12" t="s">
        <v>1114</v>
      </c>
      <c r="AJ1" s="12" t="s">
        <v>1115</v>
      </c>
      <c r="AK1" s="12" t="s">
        <v>1116</v>
      </c>
      <c r="AL1" s="12" t="s">
        <v>1117</v>
      </c>
      <c r="AM1" s="12" t="s">
        <v>1118</v>
      </c>
      <c r="AN1" s="12" t="s">
        <v>1119</v>
      </c>
      <c r="AO1" s="12" t="s">
        <v>1120</v>
      </c>
      <c r="AP1" s="12" t="s">
        <v>1121</v>
      </c>
      <c r="AQ1" s="12" t="s">
        <v>1122</v>
      </c>
      <c r="AR1" s="12" t="s">
        <v>1123</v>
      </c>
      <c r="AS1" s="12" t="s">
        <v>1124</v>
      </c>
      <c r="AT1" s="12" t="s">
        <v>1125</v>
      </c>
      <c r="AU1" s="12" t="s">
        <v>1126</v>
      </c>
      <c r="AV1" s="12" t="s">
        <v>1127</v>
      </c>
      <c r="AW1" s="12" t="s">
        <v>1128</v>
      </c>
      <c r="AX1" s="12" t="s">
        <v>1129</v>
      </c>
      <c r="AY1" s="12" t="s">
        <v>1130</v>
      </c>
      <c r="AZ1" s="12" t="s">
        <v>1131</v>
      </c>
      <c r="BA1" s="12" t="s">
        <v>1132</v>
      </c>
      <c r="BB1" s="12" t="s">
        <v>1133</v>
      </c>
      <c r="BC1" s="12" t="s">
        <v>1134</v>
      </c>
      <c r="BD1" s="12" t="s">
        <v>1135</v>
      </c>
      <c r="BE1" s="12" t="s">
        <v>1136</v>
      </c>
      <c r="BF1" s="12" t="s">
        <v>1137</v>
      </c>
      <c r="BG1" s="12" t="s">
        <v>1138</v>
      </c>
      <c r="BH1" s="12" t="s">
        <v>1139</v>
      </c>
      <c r="BI1" s="12" t="s">
        <v>1140</v>
      </c>
      <c r="BJ1" s="12" t="s">
        <v>1141</v>
      </c>
      <c r="BK1" s="12" t="s">
        <v>1142</v>
      </c>
      <c r="BL1" s="12" t="s">
        <v>1143</v>
      </c>
      <c r="BM1" s="12" t="s">
        <v>1144</v>
      </c>
      <c r="BN1" s="12" t="s">
        <v>1145</v>
      </c>
      <c r="BO1" s="12" t="s">
        <v>1146</v>
      </c>
      <c r="BP1" s="12" t="s">
        <v>1147</v>
      </c>
      <c r="BQ1" s="12" t="s">
        <v>1148</v>
      </c>
      <c r="BR1" s="12" t="s">
        <v>1149</v>
      </c>
      <c r="BS1" s="12" t="s">
        <v>1150</v>
      </c>
      <c r="BT1" s="12" t="s">
        <v>1151</v>
      </c>
      <c r="BU1" s="12" t="s">
        <v>1152</v>
      </c>
      <c r="BV1" s="12" t="s">
        <v>1153</v>
      </c>
      <c r="BW1" s="12" t="s">
        <v>1154</v>
      </c>
      <c r="BX1" s="12" t="s">
        <v>1155</v>
      </c>
      <c r="BY1" s="12" t="s">
        <v>1156</v>
      </c>
      <c r="BZ1" s="12" t="s">
        <v>1157</v>
      </c>
      <c r="CA1" s="12" t="s">
        <v>1158</v>
      </c>
      <c r="CB1" s="12" t="s">
        <v>1159</v>
      </c>
      <c r="CC1" s="12" t="s">
        <v>1160</v>
      </c>
      <c r="CD1" s="12" t="s">
        <v>1161</v>
      </c>
      <c r="CE1" s="12" t="s">
        <v>1162</v>
      </c>
      <c r="CF1" s="12" t="s">
        <v>1163</v>
      </c>
    </row>
    <row r="2" spans="1:84" s="169" customFormat="1" ht="12.6" customHeight="1" x14ac:dyDescent="0.25">
      <c r="A2" s="12" t="str">
        <f>RIGHT(data!C97,3)</f>
        <v>198</v>
      </c>
      <c r="B2" s="200" t="str">
        <f>RIGHT(data!C96,4)</f>
        <v>2024</v>
      </c>
      <c r="C2" s="12" t="s">
        <v>1164</v>
      </c>
      <c r="D2" s="199">
        <f>ROUND(N(data!C181),0)</f>
        <v>2290443</v>
      </c>
      <c r="E2" s="199">
        <f>ROUND(N(data!C182),0)</f>
        <v>217218</v>
      </c>
      <c r="F2" s="199">
        <f>ROUND(N(data!C183),0)</f>
        <v>448993</v>
      </c>
      <c r="G2" s="199">
        <f>ROUND(N(data!C184),0)</f>
        <v>5034486</v>
      </c>
      <c r="H2" s="199">
        <f>ROUND(N(data!C185),0)</f>
        <v>0</v>
      </c>
      <c r="I2" s="199">
        <f>ROUND(N(data!C186),0)</f>
        <v>1104223</v>
      </c>
      <c r="J2" s="199">
        <f>ROUND(N(data!C187)+N(data!C188),0)</f>
        <v>93060</v>
      </c>
      <c r="K2" s="199">
        <f>ROUND(N(data!C191),0)</f>
        <v>681713</v>
      </c>
      <c r="L2" s="199">
        <f>ROUND(N(data!C192),0)</f>
        <v>406319</v>
      </c>
      <c r="M2" s="199">
        <f>ROUND(N(data!C195),0)</f>
        <v>1919942</v>
      </c>
      <c r="N2" s="199">
        <f>ROUND(N(data!C196),0)</f>
        <v>100</v>
      </c>
      <c r="O2" s="199">
        <f>ROUND(N(data!C199),0)</f>
        <v>318188</v>
      </c>
      <c r="P2" s="199">
        <f>ROUND(N(data!C200),0)</f>
        <v>710783</v>
      </c>
      <c r="Q2" s="199">
        <f>ROUND(N(data!C201),0)</f>
        <v>0</v>
      </c>
      <c r="R2" s="199">
        <f>ROUND(N(data!C204),0)</f>
        <v>4603026</v>
      </c>
      <c r="S2" s="199">
        <f>ROUND(N(data!C205),0)</f>
        <v>17663</v>
      </c>
      <c r="T2" s="199">
        <f>ROUND(N(data!B211),0)</f>
        <v>5072349</v>
      </c>
      <c r="U2" s="199">
        <f>ROUND(N(data!C211),0)</f>
        <v>0</v>
      </c>
      <c r="V2" s="199">
        <f>ROUND(N(data!D211),0)</f>
        <v>509040</v>
      </c>
      <c r="W2" s="199">
        <f>ROUND(N(data!B212),0)</f>
        <v>1430910</v>
      </c>
      <c r="X2" s="199">
        <f>ROUND(N(data!C212),0)</f>
        <v>40567</v>
      </c>
      <c r="Y2" s="199">
        <f>ROUND(N(data!D212),0)</f>
        <v>0</v>
      </c>
      <c r="Z2" s="199">
        <f>ROUND(N(data!B213),0)</f>
        <v>25156498</v>
      </c>
      <c r="AA2" s="199">
        <f>ROUND(N(data!C213),0)</f>
        <v>178250</v>
      </c>
      <c r="AB2" s="199">
        <f>ROUND(N(data!D213),0)</f>
        <v>0</v>
      </c>
      <c r="AC2" s="199">
        <f>ROUND(N(data!B214),0)</f>
        <v>2888933</v>
      </c>
      <c r="AD2" s="199">
        <f>ROUND(N(data!C214),0)</f>
        <v>41970</v>
      </c>
      <c r="AE2" s="199">
        <f>ROUND(N(data!D214),0)</f>
        <v>0</v>
      </c>
      <c r="AF2" s="199">
        <f>ROUND(N(data!B215),0)</f>
        <v>0</v>
      </c>
      <c r="AG2" s="199">
        <f>ROUND(N(data!C215),0)</f>
        <v>0</v>
      </c>
      <c r="AH2" s="199">
        <f>ROUND(N(data!D215),0)</f>
        <v>0</v>
      </c>
      <c r="AI2" s="199">
        <f>ROUND(N(data!B216),0)</f>
        <v>27909810</v>
      </c>
      <c r="AJ2" s="199">
        <f>ROUND(N(data!C216),0)</f>
        <v>0</v>
      </c>
      <c r="AK2" s="199">
        <f>ROUND(N(data!D216),0)</f>
        <v>88892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3287274</v>
      </c>
      <c r="AP2" s="199">
        <f>ROUND(N(data!C218),0)</f>
        <v>2727009</v>
      </c>
      <c r="AQ2" s="199">
        <f>ROUND(N(data!D218),0)</f>
        <v>0</v>
      </c>
      <c r="AR2" s="199">
        <f>ROUND(N(data!B219),0)</f>
        <v>30118</v>
      </c>
      <c r="AS2" s="199">
        <f>ROUND(N(data!C219),0)</f>
        <v>0</v>
      </c>
      <c r="AT2" s="199">
        <f>ROUND(N(data!D219),0)</f>
        <v>30118</v>
      </c>
      <c r="AU2" s="199">
        <v>0</v>
      </c>
      <c r="AV2" s="199">
        <v>0</v>
      </c>
      <c r="AW2" s="199">
        <v>0</v>
      </c>
      <c r="AX2" s="199">
        <f>ROUND(N(data!B225),0)</f>
        <v>1099955</v>
      </c>
      <c r="AY2" s="199">
        <f>ROUND(N(data!C225),0)</f>
        <v>18037</v>
      </c>
      <c r="AZ2" s="199">
        <f>ROUND(N(data!D225),0)</f>
        <v>0</v>
      </c>
      <c r="BA2" s="199">
        <f>ROUND(N(data!B226),0)</f>
        <v>17615379</v>
      </c>
      <c r="BB2" s="199">
        <f>ROUND(N(data!C226),0)</f>
        <v>582306</v>
      </c>
      <c r="BC2" s="199">
        <f>ROUND(N(data!D226),0)</f>
        <v>0</v>
      </c>
      <c r="BD2" s="199">
        <f>ROUND(N(data!B227),0)</f>
        <v>2628988</v>
      </c>
      <c r="BE2" s="199">
        <f>ROUND(N(data!C227),0)</f>
        <v>27767</v>
      </c>
      <c r="BF2" s="199">
        <f>ROUND(N(data!D227),0)</f>
        <v>0</v>
      </c>
      <c r="BG2" s="199">
        <f>ROUND(N(data!B228),0)</f>
        <v>0</v>
      </c>
      <c r="BH2" s="199">
        <f>ROUND(N(data!C228),0)</f>
        <v>0</v>
      </c>
      <c r="BI2" s="199">
        <f>ROUND(N(data!D228),0)</f>
        <v>0</v>
      </c>
      <c r="BJ2" s="199">
        <f>ROUND(N(data!B229),0)</f>
        <v>25771151</v>
      </c>
      <c r="BK2" s="199">
        <f>ROUND(N(data!C229),0)</f>
        <v>1140313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96883139</v>
      </c>
      <c r="BW2" s="199">
        <f>ROUND(N(data!C240),0)</f>
        <v>76687378</v>
      </c>
      <c r="BX2" s="199">
        <f>ROUND(N(data!C241),0)</f>
        <v>0</v>
      </c>
      <c r="BY2" s="199">
        <f>ROUND(N(data!C242),0)</f>
        <v>0</v>
      </c>
      <c r="BZ2" s="199">
        <f>ROUND(N(data!C243),0)</f>
        <v>20582183</v>
      </c>
      <c r="CA2" s="199">
        <f>ROUND(N(data!C244),0)</f>
        <v>11974791</v>
      </c>
      <c r="CB2" s="199">
        <f>ROUND(N(data!C247),0)</f>
        <v>0</v>
      </c>
      <c r="CC2" s="199">
        <f>ROUND(N(data!C249),0)</f>
        <v>0</v>
      </c>
      <c r="CD2" s="199">
        <f>ROUND(N(data!C250),0)</f>
        <v>8111157</v>
      </c>
      <c r="CE2" s="199">
        <f>ROUND(N(data!C254)+N(data!C255),0)</f>
        <v>0</v>
      </c>
      <c r="CF2" s="199">
        <f>ROUND(N(data!D237),0)</f>
        <v>763451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1165</v>
      </c>
      <c r="B1" s="12" t="s">
        <v>1166</v>
      </c>
      <c r="C1" s="12" t="s">
        <v>1167</v>
      </c>
      <c r="D1" s="10" t="s">
        <v>1168</v>
      </c>
      <c r="E1" s="10" t="s">
        <v>1169</v>
      </c>
      <c r="F1" s="10" t="s">
        <v>1170</v>
      </c>
      <c r="G1" s="10" t="s">
        <v>1171</v>
      </c>
      <c r="H1" s="10" t="s">
        <v>1172</v>
      </c>
      <c r="I1" s="10" t="s">
        <v>1173</v>
      </c>
      <c r="J1" s="10" t="s">
        <v>1174</v>
      </c>
      <c r="K1" s="10" t="s">
        <v>1175</v>
      </c>
      <c r="L1" s="10" t="s">
        <v>1176</v>
      </c>
      <c r="M1" s="10" t="s">
        <v>1177</v>
      </c>
      <c r="N1" s="10" t="s">
        <v>1178</v>
      </c>
      <c r="O1" s="10" t="s">
        <v>1179</v>
      </c>
      <c r="P1" s="10" t="s">
        <v>1180</v>
      </c>
      <c r="Q1" s="10" t="s">
        <v>1181</v>
      </c>
      <c r="R1" s="10" t="s">
        <v>1182</v>
      </c>
      <c r="S1" s="10" t="s">
        <v>1183</v>
      </c>
      <c r="T1" s="10" t="s">
        <v>1184</v>
      </c>
      <c r="U1" s="10" t="s">
        <v>1185</v>
      </c>
      <c r="V1" s="10" t="s">
        <v>1186</v>
      </c>
      <c r="W1" s="10" t="s">
        <v>1187</v>
      </c>
      <c r="X1" s="10" t="s">
        <v>1188</v>
      </c>
      <c r="Y1" s="10" t="s">
        <v>1189</v>
      </c>
      <c r="Z1" s="10" t="s">
        <v>1190</v>
      </c>
      <c r="AA1" s="10" t="s">
        <v>1191</v>
      </c>
      <c r="AB1" s="10" t="s">
        <v>1192</v>
      </c>
      <c r="AC1" s="10" t="s">
        <v>1193</v>
      </c>
      <c r="AD1" s="10" t="s">
        <v>1194</v>
      </c>
      <c r="AE1" s="10" t="s">
        <v>1195</v>
      </c>
      <c r="AF1" s="10" t="s">
        <v>1196</v>
      </c>
      <c r="AG1" s="10" t="s">
        <v>1197</v>
      </c>
      <c r="AH1" s="10" t="s">
        <v>1198</v>
      </c>
      <c r="AI1" s="10" t="s">
        <v>1199</v>
      </c>
      <c r="AJ1" s="10" t="s">
        <v>1200</v>
      </c>
      <c r="AK1" s="10" t="s">
        <v>1201</v>
      </c>
      <c r="AL1" s="10" t="s">
        <v>1202</v>
      </c>
      <c r="AM1" s="10" t="s">
        <v>1203</v>
      </c>
      <c r="AN1" s="10" t="s">
        <v>1204</v>
      </c>
      <c r="AO1" s="10" t="s">
        <v>1205</v>
      </c>
      <c r="AP1" s="10" t="s">
        <v>1206</v>
      </c>
      <c r="AQ1" s="10" t="s">
        <v>1207</v>
      </c>
      <c r="AR1" s="10" t="s">
        <v>1208</v>
      </c>
      <c r="AS1" s="10" t="s">
        <v>1209</v>
      </c>
      <c r="AT1" s="10" t="s">
        <v>1210</v>
      </c>
      <c r="AU1" s="10" t="s">
        <v>1211</v>
      </c>
      <c r="AV1" s="10" t="s">
        <v>1212</v>
      </c>
      <c r="AW1" s="10" t="s">
        <v>1213</v>
      </c>
      <c r="AX1" s="10" t="s">
        <v>1214</v>
      </c>
      <c r="AY1" s="10" t="s">
        <v>1215</v>
      </c>
      <c r="AZ1" s="10" t="s">
        <v>1216</v>
      </c>
      <c r="BA1" s="10" t="s">
        <v>1217</v>
      </c>
      <c r="BB1" s="10" t="s">
        <v>1218</v>
      </c>
      <c r="BC1" s="10" t="s">
        <v>1219</v>
      </c>
      <c r="BD1" s="10" t="s">
        <v>1220</v>
      </c>
      <c r="BE1" s="10" t="s">
        <v>1221</v>
      </c>
      <c r="BF1" s="10" t="s">
        <v>1222</v>
      </c>
      <c r="BG1" s="10" t="s">
        <v>1223</v>
      </c>
      <c r="BH1" s="10" t="s">
        <v>1224</v>
      </c>
      <c r="BI1" s="10" t="s">
        <v>1225</v>
      </c>
      <c r="BJ1" s="10" t="s">
        <v>1226</v>
      </c>
      <c r="BK1" s="10" t="s">
        <v>1227</v>
      </c>
      <c r="BL1" s="10" t="s">
        <v>1228</v>
      </c>
      <c r="BM1" s="10" t="s">
        <v>1229</v>
      </c>
      <c r="BN1" s="10" t="s">
        <v>1230</v>
      </c>
      <c r="BO1" s="10" t="s">
        <v>1231</v>
      </c>
      <c r="BP1" s="10" t="s">
        <v>1232</v>
      </c>
      <c r="BQ1" s="10" t="s">
        <v>1233</v>
      </c>
      <c r="BR1" s="10" t="s">
        <v>1234</v>
      </c>
      <c r="BS1" s="10" t="s">
        <v>1235</v>
      </c>
    </row>
    <row r="2" spans="1:87" s="169" customFormat="1" ht="12.6" customHeight="1" x14ac:dyDescent="0.25">
      <c r="A2" s="12" t="str">
        <f>RIGHT(data!C97,3)</f>
        <v>198</v>
      </c>
      <c r="B2" s="12" t="str">
        <f>RIGHT(data!C96,4)</f>
        <v>2024</v>
      </c>
      <c r="C2" s="12" t="s">
        <v>1164</v>
      </c>
      <c r="D2" s="198">
        <f>ROUND(N(data!C127),0)</f>
        <v>1201</v>
      </c>
      <c r="E2" s="198">
        <f>ROUND(N(data!C128),0)</f>
        <v>0</v>
      </c>
      <c r="F2" s="198">
        <f>ROUND(N(data!C129),0)</f>
        <v>0</v>
      </c>
      <c r="G2" s="198">
        <f>ROUND(N(data!C130),0)</f>
        <v>221</v>
      </c>
      <c r="H2" s="198">
        <f>ROUND(N(data!D127),0)</f>
        <v>5523</v>
      </c>
      <c r="I2" s="198">
        <f>ROUND(N(data!D128),0)</f>
        <v>0</v>
      </c>
      <c r="J2" s="198">
        <f>ROUND(N(data!D129),0)</f>
        <v>0</v>
      </c>
      <c r="K2" s="198">
        <f>ROUND(N(data!D130),0)</f>
        <v>308</v>
      </c>
      <c r="L2" s="198">
        <f>ROUND(N(data!C132),0)</f>
        <v>7</v>
      </c>
      <c r="M2" s="198">
        <f>ROUND(N(data!C133),0)</f>
        <v>0</v>
      </c>
      <c r="N2" s="198">
        <f>ROUND(N(data!C134),0)</f>
        <v>14</v>
      </c>
      <c r="O2" s="198">
        <f>ROUND(N(data!C135),0)</f>
        <v>0</v>
      </c>
      <c r="P2" s="198">
        <f>ROUND(N(data!C136),0)</f>
        <v>4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38</v>
      </c>
      <c r="X2" s="198">
        <f>ROUND(N(data!C145),0)</f>
        <v>6</v>
      </c>
      <c r="Y2" s="198">
        <f>ROUND(N(data!B154),0)</f>
        <v>650</v>
      </c>
      <c r="Z2" s="198">
        <f>ROUND(N(data!B155),0)</f>
        <v>3001</v>
      </c>
      <c r="AA2" s="198">
        <f>ROUND(N(data!B156),0)</f>
        <v>26450</v>
      </c>
      <c r="AB2" s="198">
        <f>ROUND(N(data!B157),0)</f>
        <v>38880015</v>
      </c>
      <c r="AC2" s="198">
        <f>ROUND(N(data!B158),0)</f>
        <v>99960267</v>
      </c>
      <c r="AD2" s="198">
        <f>ROUND(N(data!C154),0)</f>
        <v>331</v>
      </c>
      <c r="AE2" s="198">
        <f>ROUND(N(data!C155),0)</f>
        <v>1509</v>
      </c>
      <c r="AF2" s="198">
        <f>ROUND(N(data!C156),0)</f>
        <v>21589</v>
      </c>
      <c r="AG2" s="198">
        <f>ROUND(N(data!C157),0)</f>
        <v>19291525</v>
      </c>
      <c r="AH2" s="198">
        <f>ROUND(N(data!C158),0)</f>
        <v>81587911</v>
      </c>
      <c r="AI2" s="198">
        <f>ROUND(N(data!D154),0)</f>
        <v>220</v>
      </c>
      <c r="AJ2" s="198">
        <f>ROUND(N(data!D155),0)</f>
        <v>1013</v>
      </c>
      <c r="AK2" s="198">
        <f>ROUND(N(data!D156),0)</f>
        <v>22755</v>
      </c>
      <c r="AL2" s="198">
        <f>ROUND(N(data!D157),0)</f>
        <v>12964368</v>
      </c>
      <c r="AM2" s="198">
        <f>ROUND(N(data!D158),0)</f>
        <v>85991678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1236</v>
      </c>
      <c r="B1" s="12" t="s">
        <v>1237</v>
      </c>
      <c r="C1" s="12" t="s">
        <v>1238</v>
      </c>
      <c r="D1" s="10" t="s">
        <v>1239</v>
      </c>
      <c r="E1" s="10" t="s">
        <v>1240</v>
      </c>
      <c r="F1" s="10" t="s">
        <v>1241</v>
      </c>
      <c r="G1" s="10" t="s">
        <v>1242</v>
      </c>
      <c r="H1" s="10" t="s">
        <v>1243</v>
      </c>
      <c r="I1" s="10" t="s">
        <v>1244</v>
      </c>
      <c r="J1" s="10" t="s">
        <v>1245</v>
      </c>
      <c r="K1" s="10" t="s">
        <v>1246</v>
      </c>
      <c r="L1" s="10" t="s">
        <v>1247</v>
      </c>
      <c r="M1" s="10" t="s">
        <v>1248</v>
      </c>
      <c r="N1" s="10" t="s">
        <v>1249</v>
      </c>
      <c r="O1" s="10" t="s">
        <v>1250</v>
      </c>
      <c r="P1" s="10" t="s">
        <v>1251</v>
      </c>
      <c r="Q1" s="10" t="s">
        <v>1252</v>
      </c>
      <c r="R1" s="10" t="s">
        <v>1253</v>
      </c>
      <c r="S1" s="10" t="s">
        <v>1254</v>
      </c>
      <c r="T1" s="10" t="s">
        <v>1255</v>
      </c>
      <c r="U1" s="10" t="s">
        <v>1256</v>
      </c>
      <c r="V1" s="10" t="s">
        <v>1257</v>
      </c>
      <c r="W1" s="10" t="s">
        <v>1258</v>
      </c>
      <c r="X1" s="10" t="s">
        <v>1259</v>
      </c>
      <c r="Y1" s="10" t="s">
        <v>1260</v>
      </c>
      <c r="Z1" s="10" t="s">
        <v>1261</v>
      </c>
      <c r="AA1" s="10" t="s">
        <v>1262</v>
      </c>
      <c r="AB1" s="10" t="s">
        <v>1263</v>
      </c>
      <c r="AC1" s="10" t="s">
        <v>1264</v>
      </c>
      <c r="AD1" s="10" t="s">
        <v>1265</v>
      </c>
      <c r="AE1" s="10" t="s">
        <v>1266</v>
      </c>
      <c r="AF1" s="10" t="s">
        <v>1267</v>
      </c>
      <c r="AG1" s="10" t="s">
        <v>1268</v>
      </c>
      <c r="AH1" s="10" t="s">
        <v>1269</v>
      </c>
      <c r="AI1" s="10" t="s">
        <v>1270</v>
      </c>
      <c r="AJ1" s="10" t="s">
        <v>1271</v>
      </c>
      <c r="AK1" s="10" t="s">
        <v>1272</v>
      </c>
      <c r="AL1" s="10" t="s">
        <v>1273</v>
      </c>
      <c r="AM1" s="10" t="s">
        <v>1274</v>
      </c>
      <c r="AN1" s="10" t="s">
        <v>1275</v>
      </c>
      <c r="AO1" s="10" t="s">
        <v>1276</v>
      </c>
      <c r="AP1" s="10" t="s">
        <v>1277</v>
      </c>
      <c r="AQ1" s="10" t="s">
        <v>1278</v>
      </c>
      <c r="AR1" s="10" t="s">
        <v>1279</v>
      </c>
      <c r="AS1" s="10" t="s">
        <v>1280</v>
      </c>
      <c r="AT1" s="10" t="s">
        <v>1281</v>
      </c>
      <c r="AU1" s="10" t="s">
        <v>1282</v>
      </c>
      <c r="AV1" s="10" t="s">
        <v>1283</v>
      </c>
      <c r="AW1" s="10" t="s">
        <v>1284</v>
      </c>
      <c r="AX1" s="10" t="s">
        <v>1285</v>
      </c>
      <c r="AY1" s="10" t="s">
        <v>1286</v>
      </c>
      <c r="AZ1" s="10" t="s">
        <v>1287</v>
      </c>
      <c r="BA1" s="10" t="s">
        <v>1288</v>
      </c>
      <c r="BB1" s="10" t="s">
        <v>1289</v>
      </c>
      <c r="BC1" s="10" t="s">
        <v>1290</v>
      </c>
      <c r="BD1" s="10" t="s">
        <v>1291</v>
      </c>
      <c r="BE1" s="10" t="s">
        <v>1292</v>
      </c>
      <c r="BF1" s="10" t="s">
        <v>1293</v>
      </c>
      <c r="BG1" s="10" t="s">
        <v>1294</v>
      </c>
      <c r="BH1" s="10" t="s">
        <v>1295</v>
      </c>
      <c r="BI1" s="10" t="s">
        <v>1296</v>
      </c>
      <c r="BJ1" s="10" t="s">
        <v>1297</v>
      </c>
      <c r="BK1" s="10" t="s">
        <v>1298</v>
      </c>
      <c r="BL1" s="10" t="s">
        <v>1299</v>
      </c>
      <c r="BM1" s="10" t="s">
        <v>1300</v>
      </c>
      <c r="BN1" s="10" t="s">
        <v>1301</v>
      </c>
      <c r="BO1" s="10" t="s">
        <v>1302</v>
      </c>
      <c r="BP1" s="10" t="s">
        <v>1303</v>
      </c>
      <c r="BQ1" s="10" t="s">
        <v>1304</v>
      </c>
      <c r="BR1" s="10" t="s">
        <v>1305</v>
      </c>
      <c r="BS1" s="10" t="s">
        <v>1306</v>
      </c>
      <c r="BT1" s="10" t="s">
        <v>1307</v>
      </c>
      <c r="BU1" s="10" t="s">
        <v>1308</v>
      </c>
      <c r="BV1" s="10" t="s">
        <v>1309</v>
      </c>
      <c r="BW1" s="10" t="s">
        <v>1310</v>
      </c>
      <c r="BX1" s="10" t="s">
        <v>1311</v>
      </c>
      <c r="BY1" s="10" t="s">
        <v>1312</v>
      </c>
      <c r="BZ1" s="10" t="s">
        <v>1313</v>
      </c>
      <c r="CA1" s="10" t="s">
        <v>1314</v>
      </c>
      <c r="CB1" s="10" t="s">
        <v>1315</v>
      </c>
      <c r="CC1" s="10" t="s">
        <v>1316</v>
      </c>
      <c r="CD1" s="10" t="s">
        <v>1317</v>
      </c>
      <c r="CE1" s="10" t="s">
        <v>1318</v>
      </c>
      <c r="CF1" s="10" t="s">
        <v>1319</v>
      </c>
      <c r="CG1" s="10" t="s">
        <v>1320</v>
      </c>
      <c r="CH1" s="10" t="s">
        <v>1321</v>
      </c>
      <c r="CI1" s="10" t="s">
        <v>1322</v>
      </c>
      <c r="CJ1" s="10" t="s">
        <v>1323</v>
      </c>
      <c r="CK1" s="10" t="s">
        <v>1324</v>
      </c>
      <c r="CL1" s="10" t="s">
        <v>1325</v>
      </c>
      <c r="CM1" s="10" t="s">
        <v>1326</v>
      </c>
      <c r="CN1" s="10" t="s">
        <v>1327</v>
      </c>
      <c r="CO1" s="10" t="s">
        <v>1328</v>
      </c>
      <c r="CP1" s="10" t="s">
        <v>1329</v>
      </c>
      <c r="CQ1" s="197" t="s">
        <v>1330</v>
      </c>
      <c r="CR1" s="197" t="s">
        <v>1331</v>
      </c>
      <c r="CS1" s="197" t="s">
        <v>1332</v>
      </c>
      <c r="CT1" s="197" t="s">
        <v>1333</v>
      </c>
      <c r="CU1" s="197" t="s">
        <v>1334</v>
      </c>
      <c r="CV1" s="197" t="s">
        <v>1335</v>
      </c>
      <c r="CW1" s="197" t="s">
        <v>1336</v>
      </c>
      <c r="CX1" s="197" t="s">
        <v>1337</v>
      </c>
      <c r="CY1" s="197" t="s">
        <v>1338</v>
      </c>
      <c r="CZ1" s="197" t="s">
        <v>1339</v>
      </c>
      <c r="DA1" s="197" t="s">
        <v>1340</v>
      </c>
      <c r="DB1" s="197" t="s">
        <v>1341</v>
      </c>
      <c r="DC1" s="197" t="s">
        <v>1342</v>
      </c>
      <c r="DD1" s="197" t="s">
        <v>1343</v>
      </c>
      <c r="DE1" s="10" t="s">
        <v>1344</v>
      </c>
      <c r="DF1" s="10" t="s">
        <v>1345</v>
      </c>
      <c r="DG1" s="10" t="s">
        <v>1346</v>
      </c>
      <c r="DH1" s="10" t="s">
        <v>1347</v>
      </c>
    </row>
    <row r="2" spans="1:112" s="169" customFormat="1" ht="12.6" customHeight="1" x14ac:dyDescent="0.25">
      <c r="A2" s="199" t="str">
        <f>RIGHT(data!C97,3)</f>
        <v>198</v>
      </c>
      <c r="B2" s="200" t="str">
        <f>RIGHT(data!C96,4)</f>
        <v>2024</v>
      </c>
      <c r="C2" s="12" t="s">
        <v>1164</v>
      </c>
      <c r="D2" s="198">
        <f>ROUND(N(data!C266),0)</f>
        <v>6693322</v>
      </c>
      <c r="E2" s="198">
        <f>ROUND(N(data!C267),0)</f>
        <v>0</v>
      </c>
      <c r="F2" s="198">
        <f>ROUND(N(data!C268),0)</f>
        <v>79557888</v>
      </c>
      <c r="G2" s="198">
        <f>ROUND(N(data!C269),0)</f>
        <v>55584294</v>
      </c>
      <c r="H2" s="198">
        <f>ROUND(N(data!C270),0)</f>
        <v>0</v>
      </c>
      <c r="I2" s="198">
        <f>ROUND(N(data!C271),0)</f>
        <v>29992879</v>
      </c>
      <c r="J2" s="198">
        <f>ROUND(N(data!C272),0)</f>
        <v>0</v>
      </c>
      <c r="K2" s="198">
        <f>ROUND(N(data!C273),0)</f>
        <v>3031920</v>
      </c>
      <c r="L2" s="198">
        <f>ROUND(N(data!C274),0)</f>
        <v>395510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4563309</v>
      </c>
      <c r="R2" s="198">
        <f>ROUND(N(data!C284),0)</f>
        <v>1471477</v>
      </c>
      <c r="S2" s="198">
        <f>ROUND(N(data!C285),0)</f>
        <v>25334748</v>
      </c>
      <c r="T2" s="198">
        <f>ROUND(N(data!C286),0)</f>
        <v>2930903</v>
      </c>
      <c r="U2" s="198">
        <f>ROUND(N(data!C287),0)</f>
        <v>0</v>
      </c>
      <c r="V2" s="198">
        <f>ROUND(N(data!C288),0)</f>
        <v>27820918</v>
      </c>
      <c r="W2" s="198">
        <f>ROUND(N(data!C289),0)</f>
        <v>6014283</v>
      </c>
      <c r="X2" s="198">
        <f>ROUND(N(data!C290),0)</f>
        <v>0</v>
      </c>
      <c r="Y2" s="198">
        <f>ROUND(N(data!C291),0)</f>
        <v>0</v>
      </c>
      <c r="Z2" s="198">
        <f>ROUND(N(data!C292),0)</f>
        <v>49042228</v>
      </c>
      <c r="AA2" s="198">
        <f>ROUND(N(data!C295),0)</f>
        <v>0</v>
      </c>
      <c r="AB2" s="198">
        <f>ROUND(N(data!C296),0)</f>
        <v>0</v>
      </c>
      <c r="AC2" s="198">
        <f>ROUND(N(data!C297),0)</f>
        <v>789793</v>
      </c>
      <c r="AD2" s="198">
        <f>ROUND(N(data!C298),0)</f>
        <v>0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7641155</v>
      </c>
      <c r="AK2" s="198">
        <f>ROUND(N(data!C316),0)</f>
        <v>2547380</v>
      </c>
      <c r="AL2" s="198">
        <f>ROUND(N(data!C317),0)</f>
        <v>0</v>
      </c>
      <c r="AM2" s="198">
        <f>ROUND(N(data!C318),0)</f>
        <v>0</v>
      </c>
      <c r="AN2" s="198">
        <f>ROUND(N(data!C319),0)</f>
        <v>5851000</v>
      </c>
      <c r="AO2" s="198">
        <f>ROUND(N(data!C320),0)</f>
        <v>0</v>
      </c>
      <c r="AP2" s="198">
        <f>ROUND(N(data!C321),0)</f>
        <v>0</v>
      </c>
      <c r="AQ2" s="198">
        <f>ROUND(N(data!C322),0)</f>
        <v>973620</v>
      </c>
      <c r="AR2" s="198">
        <f>ROUND(N(data!C323),0)</f>
        <v>1283744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6083352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0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53623640</v>
      </c>
      <c r="BJ2" s="198">
        <f>ROUND(N(data!C349),0)</f>
        <v>0</v>
      </c>
      <c r="BK2" s="198">
        <f>ROUND(N(data!CE60),2)</f>
        <v>351.86</v>
      </c>
      <c r="BL2" s="198">
        <f>ROUND(N(data!C358),0)</f>
        <v>71135908</v>
      </c>
      <c r="BM2" s="198">
        <f>ROUND(N(data!C359),0)</f>
        <v>267539856</v>
      </c>
      <c r="BN2" s="198">
        <f>ROUND(N(data!C363),0)</f>
        <v>206127491</v>
      </c>
      <c r="BO2" s="198">
        <f>ROUND(N(data!C364),0)</f>
        <v>8111157</v>
      </c>
      <c r="BP2" s="198">
        <f>ROUND(N(data!C365),0)</f>
        <v>0</v>
      </c>
      <c r="BQ2" s="198">
        <f>ROUND(N(data!D381),0)</f>
        <v>757457</v>
      </c>
      <c r="BR2" s="198">
        <f>ROUND(N(data!C370),0)</f>
        <v>0</v>
      </c>
      <c r="BS2" s="198">
        <f>ROUND(N(data!C371),0)</f>
        <v>98710</v>
      </c>
      <c r="BT2" s="198">
        <f>ROUND(N(data!C372),0)</f>
        <v>0</v>
      </c>
      <c r="BU2" s="198">
        <f>ROUND(N(data!C373),0)</f>
        <v>0</v>
      </c>
      <c r="BV2" s="198">
        <f>ROUND(N(data!C374),0)</f>
        <v>8114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583448</v>
      </c>
      <c r="CB2" s="198">
        <f>ROUND(N(data!C380),0)</f>
        <v>67185</v>
      </c>
      <c r="CC2" s="198">
        <f>ROUND(N(data!C382),0)</f>
        <v>0</v>
      </c>
      <c r="CD2" s="198">
        <f>ROUND(N(data!C389),0)</f>
        <v>36602180</v>
      </c>
      <c r="CE2" s="198">
        <f>ROUND(N(data!C390),0)</f>
        <v>9188423</v>
      </c>
      <c r="CF2" s="198">
        <f>ROUND(N(data!C391),0)</f>
        <v>1172145</v>
      </c>
      <c r="CG2" s="198">
        <f>ROUND(N(data!C392),0)</f>
        <v>21103097</v>
      </c>
      <c r="CH2" s="198">
        <f>ROUND(N(data!C393),0)</f>
        <v>856409</v>
      </c>
      <c r="CI2" s="198">
        <f>ROUND(N(data!C394),0)</f>
        <v>10843696</v>
      </c>
      <c r="CJ2" s="198">
        <f>ROUND(N(data!C395),0)</f>
        <v>2303886</v>
      </c>
      <c r="CK2" s="198">
        <f>ROUND(N(data!C396),0)</f>
        <v>1088032</v>
      </c>
      <c r="CL2" s="198">
        <f>ROUND(N(data!C397),0)</f>
        <v>1920042</v>
      </c>
      <c r="CM2" s="198">
        <f>ROUND(N(data!C398),0)</f>
        <v>1028970</v>
      </c>
      <c r="CN2" s="198">
        <f>ROUND(N(data!C399),0)</f>
        <v>4620689</v>
      </c>
      <c r="CO2" s="198">
        <f>ROUND(N(data!C362),0)</f>
        <v>763451</v>
      </c>
      <c r="CP2" s="198">
        <f>ROUND(N(data!D415),0)</f>
        <v>26337025</v>
      </c>
      <c r="CQ2" s="52">
        <f>ROUND(N(data!C401),0)</f>
        <v>441818</v>
      </c>
      <c r="CR2" s="52">
        <f>ROUND(N(data!C402),0)</f>
        <v>4059886</v>
      </c>
      <c r="CS2" s="52">
        <f>ROUND(N(data!C403),0)</f>
        <v>0</v>
      </c>
      <c r="CT2" s="52">
        <f>ROUND(N(data!C404),0)</f>
        <v>0</v>
      </c>
      <c r="CU2" s="52">
        <f>ROUND(N(data!C405),0)</f>
        <v>244254</v>
      </c>
      <c r="CV2" s="52">
        <f>ROUND(N(data!C406),0)</f>
        <v>498498</v>
      </c>
      <c r="CW2" s="52">
        <f>ROUND(N(data!C407),0)</f>
        <v>1304063</v>
      </c>
      <c r="CX2" s="52">
        <f>ROUND(N(data!C408),0)</f>
        <v>567748</v>
      </c>
      <c r="CY2" s="52">
        <f>ROUND(N(data!C409),0)</f>
        <v>17378936</v>
      </c>
      <c r="CZ2" s="52">
        <f>ROUND(N(data!C410),0)</f>
        <v>85617</v>
      </c>
      <c r="DA2" s="52">
        <f>ROUND(N(data!C411),0)</f>
        <v>90902</v>
      </c>
      <c r="DB2" s="52">
        <f>ROUND(N(data!C412),0)</f>
        <v>0</v>
      </c>
      <c r="DC2" s="52">
        <f>ROUND(N(data!C413),0)</f>
        <v>0</v>
      </c>
      <c r="DD2" s="52">
        <f>ROUND(N(data!C414),0)</f>
        <v>1665303</v>
      </c>
      <c r="DE2" s="52">
        <f>ROUND(N(data!C419),0)</f>
        <v>0</v>
      </c>
      <c r="DF2" s="198">
        <f>ROUND(N(data!D420),0)</f>
        <v>-116247</v>
      </c>
      <c r="DG2" s="198">
        <f>ROUND(N(data!C422),0)</f>
        <v>0</v>
      </c>
      <c r="DH2" s="198">
        <f>ROUND(N(data!C423),0)</f>
        <v>0</v>
      </c>
    </row>
  </sheetData>
  <sheetProtection algorithmName="SHA-512" hashValue="hBeya5TZAOI0HY8aCMGbs8mdpZqoW2pJLJJGA2DUVP11vD4TpqlUeYIHKDWrZsHN9qGk9/rGFHSeD8HodvWLyw==" saltValue="zGQG4BWGBr3ILWFxfbRmY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1348</v>
      </c>
      <c r="B1" s="12" t="s">
        <v>1349</v>
      </c>
      <c r="C1" s="10" t="s">
        <v>1350</v>
      </c>
      <c r="D1" s="12" t="s">
        <v>1351</v>
      </c>
      <c r="E1" s="10" t="s">
        <v>1352</v>
      </c>
      <c r="F1" s="10" t="s">
        <v>1353</v>
      </c>
      <c r="G1" s="10" t="s">
        <v>1354</v>
      </c>
      <c r="H1" s="10" t="s">
        <v>1355</v>
      </c>
      <c r="I1" s="10" t="s">
        <v>1356</v>
      </c>
      <c r="J1" s="10" t="s">
        <v>1357</v>
      </c>
      <c r="K1" s="10" t="s">
        <v>1358</v>
      </c>
      <c r="L1" s="10" t="s">
        <v>1359</v>
      </c>
      <c r="M1" s="10" t="s">
        <v>1360</v>
      </c>
      <c r="N1" s="10" t="s">
        <v>1361</v>
      </c>
      <c r="O1" s="10" t="s">
        <v>1362</v>
      </c>
      <c r="P1" s="10" t="s">
        <v>1330</v>
      </c>
      <c r="Q1" s="10" t="s">
        <v>1331</v>
      </c>
      <c r="R1" s="10" t="s">
        <v>1332</v>
      </c>
      <c r="S1" s="10" t="s">
        <v>1333</v>
      </c>
      <c r="T1" s="10" t="s">
        <v>1334</v>
      </c>
      <c r="U1" s="10" t="s">
        <v>1335</v>
      </c>
      <c r="V1" s="10" t="s">
        <v>1336</v>
      </c>
      <c r="W1" s="10" t="s">
        <v>1337</v>
      </c>
      <c r="X1" s="10" t="s">
        <v>1338</v>
      </c>
      <c r="Y1" s="10" t="s">
        <v>1339</v>
      </c>
      <c r="Z1" s="10" t="s">
        <v>1340</v>
      </c>
      <c r="AA1" s="10" t="s">
        <v>1341</v>
      </c>
      <c r="AB1" s="10" t="s">
        <v>1342</v>
      </c>
      <c r="AC1" s="10" t="s">
        <v>1343</v>
      </c>
      <c r="AD1" s="10" t="s">
        <v>1363</v>
      </c>
      <c r="AE1" s="10" t="s">
        <v>1364</v>
      </c>
      <c r="AF1" s="10" t="s">
        <v>1365</v>
      </c>
      <c r="AG1" s="10" t="s">
        <v>1366</v>
      </c>
      <c r="AH1" s="10" t="s">
        <v>1367</v>
      </c>
      <c r="AI1" s="10" t="s">
        <v>1368</v>
      </c>
      <c r="AJ1" s="10" t="s">
        <v>1369</v>
      </c>
      <c r="AK1" s="10" t="s">
        <v>1370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198</v>
      </c>
      <c r="B2" s="200" t="str">
        <f>RIGHT(data!$C$96,4)</f>
        <v>2024</v>
      </c>
      <c r="C2" s="12" t="str">
        <f>data!C$55</f>
        <v>6010</v>
      </c>
      <c r="D2" s="12" t="s">
        <v>1164</v>
      </c>
      <c r="E2" s="198">
        <f>ROUND(N(data!C59), 0)</f>
        <v>0</v>
      </c>
      <c r="F2" s="271">
        <f>ROUND(N(data!C60), 2)</f>
        <v>13.25</v>
      </c>
      <c r="G2" s="198">
        <f>ROUND(N(data!C61), 0)</f>
        <v>1648706</v>
      </c>
      <c r="H2" s="198">
        <f>ROUND(N(data!C62), 0)</f>
        <v>420742</v>
      </c>
      <c r="I2" s="198">
        <f>ROUND(N(data!C63), 0)</f>
        <v>0</v>
      </c>
      <c r="J2" s="198">
        <f>ROUND(N(data!C64), 0)</f>
        <v>110772</v>
      </c>
      <c r="K2" s="198">
        <f>ROUND(N(data!C65), 0)</f>
        <v>0</v>
      </c>
      <c r="L2" s="198">
        <f>ROUND(N(data!C66), 0)</f>
        <v>5954</v>
      </c>
      <c r="M2" s="198">
        <f>ROUND(N(data!C67), 0)</f>
        <v>55926</v>
      </c>
      <c r="N2" s="198">
        <f>ROUND(N(data!C68), 0)</f>
        <v>-2810</v>
      </c>
      <c r="O2" s="198">
        <f>ROUND(N(data!C69), 0)</f>
        <v>223526</v>
      </c>
      <c r="P2" s="198">
        <f>ROUND(N(data!C70), 0)</f>
        <v>0</v>
      </c>
      <c r="Q2" s="198">
        <f>ROUND(N(data!C71), 0)</f>
        <v>217094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5868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564</v>
      </c>
      <c r="AD2" s="198">
        <f>ROUND(N(data!C84), 0)</f>
        <v>0</v>
      </c>
      <c r="AE2" s="198">
        <f>ROUND(N(data!C89), 0)</f>
        <v>5016852</v>
      </c>
      <c r="AF2" s="198">
        <f>ROUND(N(data!C87), 0)</f>
        <v>5015307</v>
      </c>
      <c r="AG2" s="198">
        <f>ROUND(N(data!C90), 0)</f>
        <v>2901</v>
      </c>
      <c r="AH2" s="198">
        <f>ROUND(N(data!C91), 0)</f>
        <v>2834</v>
      </c>
      <c r="AI2" s="198">
        <f>ROUND(N(data!C92), 0)</f>
        <v>2275</v>
      </c>
      <c r="AJ2" s="198">
        <f>ROUND(N(data!C93), 0)</f>
        <v>72281</v>
      </c>
      <c r="AK2" s="271">
        <f>ROUND(N(data!C94), 2)</f>
        <v>13.25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198</v>
      </c>
      <c r="B3" s="200" t="str">
        <f>RIGHT(data!$C$96,4)</f>
        <v>2024</v>
      </c>
      <c r="C3" s="12" t="str">
        <f>data!D$55</f>
        <v>6030</v>
      </c>
      <c r="D3" s="12" t="s">
        <v>1164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198</v>
      </c>
      <c r="B4" s="200" t="str">
        <f>RIGHT(data!$C$96,4)</f>
        <v>2024</v>
      </c>
      <c r="C4" s="12" t="str">
        <f>data!E$55</f>
        <v>6070</v>
      </c>
      <c r="D4" s="12" t="s">
        <v>1164</v>
      </c>
      <c r="E4" s="198">
        <f>ROUND(N(data!E59), 0)</f>
        <v>0</v>
      </c>
      <c r="F4" s="271">
        <f>ROUND(N(data!E60), 2)</f>
        <v>35.22</v>
      </c>
      <c r="G4" s="198">
        <f>ROUND(N(data!E61), 0)</f>
        <v>4002720</v>
      </c>
      <c r="H4" s="198">
        <f>ROUND(N(data!E62), 0)</f>
        <v>1033662</v>
      </c>
      <c r="I4" s="198">
        <f>ROUND(N(data!E63), 0)</f>
        <v>0</v>
      </c>
      <c r="J4" s="198">
        <f>ROUND(N(data!E64), 0)</f>
        <v>308418</v>
      </c>
      <c r="K4" s="198">
        <f>ROUND(N(data!E65), 0)</f>
        <v>0</v>
      </c>
      <c r="L4" s="198">
        <f>ROUND(N(data!E66), 0)</f>
        <v>1450172</v>
      </c>
      <c r="M4" s="198">
        <f>ROUND(N(data!E67), 0)</f>
        <v>412514</v>
      </c>
      <c r="N4" s="198">
        <f>ROUND(N(data!E68), 0)</f>
        <v>23338</v>
      </c>
      <c r="O4" s="198">
        <f>ROUND(N(data!E69), 0)</f>
        <v>1313550</v>
      </c>
      <c r="P4" s="198">
        <f>ROUND(N(data!E70), 0)</f>
        <v>0</v>
      </c>
      <c r="Q4" s="198">
        <f>ROUND(N(data!E71), 0)</f>
        <v>1300784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8265</v>
      </c>
      <c r="X4" s="198">
        <f>ROUND(N(data!E78), 0)</f>
        <v>0</v>
      </c>
      <c r="Y4" s="198">
        <f>ROUND(N(data!E79), 0)</f>
        <v>0</v>
      </c>
      <c r="Z4" s="198">
        <f>ROUND(N(data!E80), 0)</f>
        <v>3887</v>
      </c>
      <c r="AA4" s="198">
        <f>ROUND(N(data!E81), 0)</f>
        <v>0</v>
      </c>
      <c r="AB4" s="198">
        <f>ROUND(N(data!E82), 0)</f>
        <v>0</v>
      </c>
      <c r="AC4" s="198">
        <f>ROUND(N(data!E83), 0)</f>
        <v>614</v>
      </c>
      <c r="AD4" s="198">
        <f>ROUND(N(data!E84), 0)</f>
        <v>0</v>
      </c>
      <c r="AE4" s="198">
        <f>ROUND(N(data!E89), 0)</f>
        <v>20521045</v>
      </c>
      <c r="AF4" s="198">
        <f>ROUND(N(data!E87), 0)</f>
        <v>15405011</v>
      </c>
      <c r="AG4" s="198">
        <f>ROUND(N(data!E90), 0)</f>
        <v>18408</v>
      </c>
      <c r="AH4" s="198">
        <f>ROUND(N(data!E91), 0)</f>
        <v>16986</v>
      </c>
      <c r="AI4" s="198">
        <f>ROUND(N(data!E92), 0)</f>
        <v>8940</v>
      </c>
      <c r="AJ4" s="198">
        <f>ROUND(N(data!E93), 0)</f>
        <v>180417</v>
      </c>
      <c r="AK4" s="271">
        <f>ROUND(N(data!E94), 2)</f>
        <v>35.22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198</v>
      </c>
      <c r="B5" s="200" t="str">
        <f>RIGHT(data!$C$96,4)</f>
        <v>2024</v>
      </c>
      <c r="C5" s="12" t="str">
        <f>data!F$55</f>
        <v>6100</v>
      </c>
      <c r="D5" s="12" t="s">
        <v>1164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198</v>
      </c>
      <c r="B6" s="200" t="str">
        <f>RIGHT(data!$C$96,4)</f>
        <v>2024</v>
      </c>
      <c r="C6" s="12" t="str">
        <f>data!G$55</f>
        <v>6120</v>
      </c>
      <c r="D6" s="12" t="s">
        <v>1164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198</v>
      </c>
      <c r="B7" s="200" t="str">
        <f>RIGHT(data!$C$96,4)</f>
        <v>2024</v>
      </c>
      <c r="C7" s="12" t="str">
        <f>data!H$55</f>
        <v>6140</v>
      </c>
      <c r="D7" s="12" t="s">
        <v>1164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198</v>
      </c>
      <c r="B8" s="200" t="str">
        <f>RIGHT(data!$C$96,4)</f>
        <v>2024</v>
      </c>
      <c r="C8" s="12" t="str">
        <f>data!I$55</f>
        <v>6150</v>
      </c>
      <c r="D8" s="12" t="s">
        <v>1164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198</v>
      </c>
      <c r="B9" s="200" t="str">
        <f>RIGHT(data!$C$96,4)</f>
        <v>2024</v>
      </c>
      <c r="C9" s="12" t="str">
        <f>data!J$55</f>
        <v>6170</v>
      </c>
      <c r="D9" s="12" t="s">
        <v>1164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907710</v>
      </c>
      <c r="AF9" s="198">
        <f>ROUND(N(data!J87), 0)</f>
        <v>839948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198</v>
      </c>
      <c r="B10" s="200" t="str">
        <f>RIGHT(data!$C$96,4)</f>
        <v>2024</v>
      </c>
      <c r="C10" s="12" t="str">
        <f>data!K$55</f>
        <v>6200</v>
      </c>
      <c r="D10" s="12" t="s">
        <v>1164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198</v>
      </c>
      <c r="B11" s="200" t="str">
        <f>RIGHT(data!$C$96,4)</f>
        <v>2024</v>
      </c>
      <c r="C11" s="12" t="str">
        <f>data!L$55</f>
        <v>6210</v>
      </c>
      <c r="D11" s="12" t="s">
        <v>1164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198</v>
      </c>
      <c r="B12" s="200" t="str">
        <f>RIGHT(data!$C$96,4)</f>
        <v>2024</v>
      </c>
      <c r="C12" s="12" t="str">
        <f>data!M$55</f>
        <v>6330</v>
      </c>
      <c r="D12" s="12" t="s">
        <v>1164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198</v>
      </c>
      <c r="B13" s="200" t="str">
        <f>RIGHT(data!$C$96,4)</f>
        <v>2024</v>
      </c>
      <c r="C13" s="12" t="str">
        <f>data!N$55</f>
        <v>6400</v>
      </c>
      <c r="D13" s="12" t="s">
        <v>1164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198</v>
      </c>
      <c r="B14" s="200" t="str">
        <f>RIGHT(data!$C$96,4)</f>
        <v>2024</v>
      </c>
      <c r="C14" s="12" t="str">
        <f>data!O$55</f>
        <v>7010</v>
      </c>
      <c r="D14" s="12" t="s">
        <v>1164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198</v>
      </c>
      <c r="B15" s="200" t="str">
        <f>RIGHT(data!$C$96,4)</f>
        <v>2024</v>
      </c>
      <c r="C15" s="12" t="str">
        <f>data!P$55</f>
        <v>7020</v>
      </c>
      <c r="D15" s="12" t="s">
        <v>1164</v>
      </c>
      <c r="E15" s="198">
        <f>ROUND(N(data!P59), 0)</f>
        <v>0</v>
      </c>
      <c r="F15" s="271">
        <f>ROUND(N(data!P60), 2)</f>
        <v>12.65</v>
      </c>
      <c r="G15" s="198">
        <f>ROUND(N(data!P61), 0)</f>
        <v>1034753</v>
      </c>
      <c r="H15" s="198">
        <f>ROUND(N(data!P62), 0)</f>
        <v>277996</v>
      </c>
      <c r="I15" s="198">
        <f>ROUND(N(data!P63), 0)</f>
        <v>0</v>
      </c>
      <c r="J15" s="198">
        <f>ROUND(N(data!P64), 0)</f>
        <v>5629046</v>
      </c>
      <c r="K15" s="198">
        <f>ROUND(N(data!P65), 0)</f>
        <v>0</v>
      </c>
      <c r="L15" s="198">
        <f>ROUND(N(data!P66), 0)</f>
        <v>810586</v>
      </c>
      <c r="M15" s="198">
        <f>ROUND(N(data!P67), 0)</f>
        <v>168796</v>
      </c>
      <c r="N15" s="198">
        <f>ROUND(N(data!P68), 0)</f>
        <v>-976</v>
      </c>
      <c r="O15" s="198">
        <f>ROUND(N(data!P69), 0)</f>
        <v>958720</v>
      </c>
      <c r="P15" s="198">
        <f>ROUND(N(data!P70), 0)</f>
        <v>0</v>
      </c>
      <c r="Q15" s="198">
        <f>ROUND(N(data!P71), 0)</f>
        <v>682742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65236</v>
      </c>
      <c r="X15" s="198">
        <f>ROUND(N(data!P78), 0)</f>
        <v>0</v>
      </c>
      <c r="Y15" s="198">
        <f>ROUND(N(data!P79), 0)</f>
        <v>6559</v>
      </c>
      <c r="Z15" s="198">
        <f>ROUND(N(data!P80), 0)</f>
        <v>2301</v>
      </c>
      <c r="AA15" s="198">
        <f>ROUND(N(data!P81), 0)</f>
        <v>0</v>
      </c>
      <c r="AB15" s="198">
        <f>ROUND(N(data!P82), 0)</f>
        <v>0</v>
      </c>
      <c r="AC15" s="198">
        <f>ROUND(N(data!P83), 0)</f>
        <v>201882</v>
      </c>
      <c r="AD15" s="198">
        <f>ROUND(N(data!P84), 0)</f>
        <v>0</v>
      </c>
      <c r="AE15" s="198">
        <f>ROUND(N(data!P89), 0)</f>
        <v>39238612</v>
      </c>
      <c r="AF15" s="198">
        <f>ROUND(N(data!P87), 0)</f>
        <v>9200103</v>
      </c>
      <c r="AG15" s="198">
        <f>ROUND(N(data!P90), 0)</f>
        <v>4345</v>
      </c>
      <c r="AH15" s="198">
        <f>ROUND(N(data!P91), 0)</f>
        <v>0</v>
      </c>
      <c r="AI15" s="198">
        <f>ROUND(N(data!P92), 0)</f>
        <v>3412</v>
      </c>
      <c r="AJ15" s="198">
        <f>ROUND(N(data!P93), 0)</f>
        <v>36732</v>
      </c>
      <c r="AK15" s="271">
        <f>ROUND(N(data!P94), 2)</f>
        <v>12.65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198</v>
      </c>
      <c r="B16" s="200" t="str">
        <f>RIGHT(data!$C$96,4)</f>
        <v>2024</v>
      </c>
      <c r="C16" s="12" t="str">
        <f>data!Q$55</f>
        <v>7030</v>
      </c>
      <c r="D16" s="12" t="s">
        <v>1164</v>
      </c>
      <c r="E16" s="198">
        <f>ROUND(N(data!Q59), 0)</f>
        <v>0</v>
      </c>
      <c r="F16" s="271">
        <f>ROUND(N(data!Q60), 2)</f>
        <v>3.18</v>
      </c>
      <c r="G16" s="198">
        <f>ROUND(N(data!Q61), 0)</f>
        <v>494895</v>
      </c>
      <c r="H16" s="198">
        <f>ROUND(N(data!Q62), 0)</f>
        <v>137389</v>
      </c>
      <c r="I16" s="198">
        <f>ROUND(N(data!Q63), 0)</f>
        <v>0</v>
      </c>
      <c r="J16" s="198">
        <f>ROUND(N(data!Q64), 0)</f>
        <v>17698</v>
      </c>
      <c r="K16" s="198">
        <f>ROUND(N(data!Q65), 0)</f>
        <v>0</v>
      </c>
      <c r="L16" s="198">
        <f>ROUND(N(data!Q66), 0)</f>
        <v>0</v>
      </c>
      <c r="M16" s="198">
        <f>ROUND(N(data!Q67), 0)</f>
        <v>22960</v>
      </c>
      <c r="N16" s="198">
        <f>ROUND(N(data!Q68), 0)</f>
        <v>0</v>
      </c>
      <c r="O16" s="198">
        <f>ROUND(N(data!Q69), 0)</f>
        <v>97396</v>
      </c>
      <c r="P16" s="198">
        <f>ROUND(N(data!Q70), 0)</f>
        <v>0</v>
      </c>
      <c r="Q16" s="198">
        <f>ROUND(N(data!Q71), 0)</f>
        <v>95193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2203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5599918</v>
      </c>
      <c r="AF16" s="198">
        <f>ROUND(N(data!Q87), 0)</f>
        <v>1146838</v>
      </c>
      <c r="AG16" s="198">
        <f>ROUND(N(data!Q90), 0)</f>
        <v>1191</v>
      </c>
      <c r="AH16" s="198">
        <f>ROUND(N(data!Q91), 0)</f>
        <v>0</v>
      </c>
      <c r="AI16" s="198">
        <f>ROUND(N(data!Q92), 0)</f>
        <v>536</v>
      </c>
      <c r="AJ16" s="198">
        <f>ROUND(N(data!Q93), 0)</f>
        <v>18080</v>
      </c>
      <c r="AK16" s="271">
        <f>ROUND(N(data!Q94), 2)</f>
        <v>3.18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198</v>
      </c>
      <c r="B17" s="200" t="str">
        <f>RIGHT(data!$C$96,4)</f>
        <v>2024</v>
      </c>
      <c r="C17" s="12" t="str">
        <f>data!R$55</f>
        <v>7040</v>
      </c>
      <c r="D17" s="12" t="s">
        <v>1164</v>
      </c>
      <c r="E17" s="198">
        <f>ROUND(N(data!R59), 0)</f>
        <v>0</v>
      </c>
      <c r="F17" s="271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0</v>
      </c>
      <c r="J17" s="198">
        <f>ROUND(N(data!R64), 0)</f>
        <v>120938</v>
      </c>
      <c r="K17" s="198">
        <f>ROUND(N(data!R65), 0)</f>
        <v>0</v>
      </c>
      <c r="L17" s="198">
        <f>ROUND(N(data!R66), 0)</f>
        <v>1234318</v>
      </c>
      <c r="M17" s="198">
        <f>ROUND(N(data!R67), 0)</f>
        <v>1831</v>
      </c>
      <c r="N17" s="198">
        <f>ROUND(N(data!R68), 0)</f>
        <v>0</v>
      </c>
      <c r="O17" s="198">
        <f>ROUND(N(data!R69), 0)</f>
        <v>1130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1059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71</v>
      </c>
      <c r="AD17" s="198">
        <f>ROUND(N(data!R84), 0)</f>
        <v>0</v>
      </c>
      <c r="AE17" s="198">
        <f>ROUND(N(data!R89), 0)</f>
        <v>9264916</v>
      </c>
      <c r="AF17" s="198">
        <f>ROUND(N(data!R87), 0)</f>
        <v>2041285</v>
      </c>
      <c r="AG17" s="198">
        <f>ROUND(N(data!R90), 0)</f>
        <v>95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198</v>
      </c>
      <c r="B18" s="200" t="str">
        <f>RIGHT(data!$C$96,4)</f>
        <v>2024</v>
      </c>
      <c r="C18" s="12" t="str">
        <f>data!S$55</f>
        <v>7050</v>
      </c>
      <c r="D18" s="12" t="s">
        <v>1164</v>
      </c>
      <c r="E18" s="198">
        <f>ROUND(N(data!S59), 0)</f>
        <v>0</v>
      </c>
      <c r="F18" s="271">
        <f>ROUND(N(data!S60), 2)</f>
        <v>3.13</v>
      </c>
      <c r="G18" s="198">
        <f>ROUND(N(data!S61), 0)</f>
        <v>141301</v>
      </c>
      <c r="H18" s="198">
        <f>ROUND(N(data!S62), 0)</f>
        <v>37626</v>
      </c>
      <c r="I18" s="198">
        <f>ROUND(N(data!S63), 0)</f>
        <v>0</v>
      </c>
      <c r="J18" s="198">
        <f>ROUND(N(data!S64), 0)</f>
        <v>99789</v>
      </c>
      <c r="K18" s="198">
        <f>ROUND(N(data!S65), 0)</f>
        <v>0</v>
      </c>
      <c r="L18" s="198">
        <f>ROUND(N(data!S66), 0)</f>
        <v>56188</v>
      </c>
      <c r="M18" s="198">
        <f>ROUND(N(data!S67), 0)</f>
        <v>10083</v>
      </c>
      <c r="N18" s="198">
        <f>ROUND(N(data!S68), 0)</f>
        <v>0</v>
      </c>
      <c r="O18" s="198">
        <f>ROUND(N(data!S69), 0)</f>
        <v>21485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21446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39</v>
      </c>
      <c r="AD18" s="198">
        <f>ROUND(N(data!S84), 0)</f>
        <v>0</v>
      </c>
      <c r="AE18" s="198">
        <f>ROUND(N(data!S89), 0)</f>
        <v>31310962</v>
      </c>
      <c r="AF18" s="198">
        <f>ROUND(N(data!S87), 0)</f>
        <v>8021754</v>
      </c>
      <c r="AG18" s="198">
        <f>ROUND(N(data!S90), 0)</f>
        <v>523</v>
      </c>
      <c r="AH18" s="198">
        <f>ROUND(N(data!S91), 0)</f>
        <v>0</v>
      </c>
      <c r="AI18" s="198">
        <f>ROUND(N(data!S92), 0)</f>
        <v>431</v>
      </c>
      <c r="AJ18" s="198">
        <f>ROUND(N(data!S93), 0)</f>
        <v>458</v>
      </c>
      <c r="AK18" s="271">
        <f>ROUND(N(data!S94), 2)</f>
        <v>3.13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198</v>
      </c>
      <c r="B19" s="200" t="str">
        <f>RIGHT(data!$C$96,4)</f>
        <v>2024</v>
      </c>
      <c r="C19" s="12" t="str">
        <f>data!T$55</f>
        <v>7060</v>
      </c>
      <c r="D19" s="12" t="s">
        <v>1164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61655</v>
      </c>
      <c r="K19" s="198">
        <f>ROUND(N(data!T65), 0)</f>
        <v>0</v>
      </c>
      <c r="L19" s="198">
        <f>ROUND(N(data!T66), 0)</f>
        <v>0</v>
      </c>
      <c r="M19" s="198">
        <f>ROUND(N(data!T67), 0)</f>
        <v>3605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1294348</v>
      </c>
      <c r="AF19" s="198">
        <f>ROUND(N(data!T87), 0)</f>
        <v>922539</v>
      </c>
      <c r="AG19" s="198">
        <f>ROUND(N(data!T90), 0)</f>
        <v>187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198</v>
      </c>
      <c r="B20" s="200" t="str">
        <f>RIGHT(data!$C$96,4)</f>
        <v>2024</v>
      </c>
      <c r="C20" s="12" t="str">
        <f>data!U$55</f>
        <v>7070</v>
      </c>
      <c r="D20" s="12" t="s">
        <v>1164</v>
      </c>
      <c r="E20" s="198">
        <f>ROUND(N(data!U59), 0)</f>
        <v>0</v>
      </c>
      <c r="F20" s="271">
        <f>ROUND(N(data!U60), 2)</f>
        <v>18.600000000000001</v>
      </c>
      <c r="G20" s="198">
        <f>ROUND(N(data!U61), 0)</f>
        <v>1214483</v>
      </c>
      <c r="H20" s="198">
        <f>ROUND(N(data!U62), 0)</f>
        <v>322153</v>
      </c>
      <c r="I20" s="198">
        <f>ROUND(N(data!U63), 0)</f>
        <v>55000</v>
      </c>
      <c r="J20" s="198">
        <f>ROUND(N(data!U64), 0)</f>
        <v>1274896</v>
      </c>
      <c r="K20" s="198">
        <f>ROUND(N(data!U65), 0)</f>
        <v>0</v>
      </c>
      <c r="L20" s="198">
        <f>ROUND(N(data!U66), 0)</f>
        <v>0</v>
      </c>
      <c r="M20" s="198">
        <f>ROUND(N(data!U67), 0)</f>
        <v>122757</v>
      </c>
      <c r="N20" s="198">
        <f>ROUND(N(data!U68), 0)</f>
        <v>-15266</v>
      </c>
      <c r="O20" s="198">
        <f>ROUND(N(data!U69), 0)</f>
        <v>2212454</v>
      </c>
      <c r="P20" s="198">
        <f>ROUND(N(data!U70), 0)</f>
        <v>441818</v>
      </c>
      <c r="Q20" s="198">
        <f>ROUND(N(data!U71), 0)</f>
        <v>362872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1304063</v>
      </c>
      <c r="W20" s="198">
        <f>ROUND(N(data!U77), 0)</f>
        <v>60794</v>
      </c>
      <c r="X20" s="198">
        <f>ROUND(N(data!U78), 0)</f>
        <v>0</v>
      </c>
      <c r="Y20" s="198">
        <f>ROUND(N(data!U79), 0)</f>
        <v>930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41977</v>
      </c>
      <c r="AD20" s="198">
        <f>ROUND(N(data!U84), 0)</f>
        <v>0</v>
      </c>
      <c r="AE20" s="198">
        <f>ROUND(N(data!U89), 0)</f>
        <v>44488502</v>
      </c>
      <c r="AF20" s="198">
        <f>ROUND(N(data!U87), 0)</f>
        <v>7769555</v>
      </c>
      <c r="AG20" s="198">
        <f>ROUND(N(data!U90), 0)</f>
        <v>2575</v>
      </c>
      <c r="AH20" s="198">
        <f>ROUND(N(data!U91), 0)</f>
        <v>0</v>
      </c>
      <c r="AI20" s="198">
        <f>ROUND(N(data!U92), 0)</f>
        <v>878</v>
      </c>
      <c r="AJ20" s="198">
        <f>ROUND(N(data!U93), 0)</f>
        <v>191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198</v>
      </c>
      <c r="B21" s="200" t="str">
        <f>RIGHT(data!$C$96,4)</f>
        <v>2024</v>
      </c>
      <c r="C21" s="12" t="str">
        <f>data!V$55</f>
        <v>7110</v>
      </c>
      <c r="D21" s="12" t="s">
        <v>1164</v>
      </c>
      <c r="E21" s="198">
        <f>ROUND(N(data!V59), 0)</f>
        <v>0</v>
      </c>
      <c r="F21" s="271">
        <f>ROUND(N(data!V60), 2)</f>
        <v>1.6</v>
      </c>
      <c r="G21" s="198">
        <f>ROUND(N(data!V61), 0)</f>
        <v>181881</v>
      </c>
      <c r="H21" s="198">
        <f>ROUND(N(data!V62), 0)</f>
        <v>49721</v>
      </c>
      <c r="I21" s="198">
        <f>ROUND(N(data!V63), 0)</f>
        <v>0</v>
      </c>
      <c r="J21" s="198">
        <f>ROUND(N(data!V64), 0)</f>
        <v>4536</v>
      </c>
      <c r="K21" s="198">
        <f>ROUND(N(data!V65), 0)</f>
        <v>0</v>
      </c>
      <c r="L21" s="198">
        <f>ROUND(N(data!V66), 0)</f>
        <v>7595</v>
      </c>
      <c r="M21" s="198">
        <f>ROUND(N(data!V67), 0)</f>
        <v>2969</v>
      </c>
      <c r="N21" s="198">
        <f>ROUND(N(data!V68), 0)</f>
        <v>0</v>
      </c>
      <c r="O21" s="198">
        <f>ROUND(N(data!V69), 0)</f>
        <v>1238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394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844</v>
      </c>
      <c r="AD21" s="198">
        <f>ROUND(N(data!V84), 0)</f>
        <v>0</v>
      </c>
      <c r="AE21" s="198">
        <f>ROUND(N(data!V89), 0)</f>
        <v>1592552</v>
      </c>
      <c r="AF21" s="198">
        <f>ROUND(N(data!V87), 0)</f>
        <v>717784</v>
      </c>
      <c r="AG21" s="198">
        <f>ROUND(N(data!V90), 0)</f>
        <v>154</v>
      </c>
      <c r="AH21" s="198">
        <f>ROUND(N(data!V91), 0)</f>
        <v>0</v>
      </c>
      <c r="AI21" s="198">
        <f>ROUND(N(data!V92), 0)</f>
        <v>153</v>
      </c>
      <c r="AJ21" s="198">
        <f>ROUND(N(data!V93), 0)</f>
        <v>1259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198</v>
      </c>
      <c r="B22" s="200" t="str">
        <f>RIGHT(data!$C$96,4)</f>
        <v>2024</v>
      </c>
      <c r="C22" s="12" t="str">
        <f>data!W$55</f>
        <v>7120</v>
      </c>
      <c r="D22" s="12" t="s">
        <v>1164</v>
      </c>
      <c r="E22" s="198">
        <f>ROUND(N(data!W59), 0)</f>
        <v>0</v>
      </c>
      <c r="F22" s="271">
        <f>ROUND(N(data!W60), 2)</f>
        <v>1.4</v>
      </c>
      <c r="G22" s="198">
        <f>ROUND(N(data!W61), 0)</f>
        <v>142479</v>
      </c>
      <c r="H22" s="198">
        <f>ROUND(N(data!W62), 0)</f>
        <v>38455</v>
      </c>
      <c r="I22" s="198">
        <f>ROUND(N(data!W63), 0)</f>
        <v>0</v>
      </c>
      <c r="J22" s="198">
        <f>ROUND(N(data!W64), 0)</f>
        <v>9628</v>
      </c>
      <c r="K22" s="198">
        <f>ROUND(N(data!W65), 0)</f>
        <v>0</v>
      </c>
      <c r="L22" s="198">
        <f>ROUND(N(data!W66), 0)</f>
        <v>116788</v>
      </c>
      <c r="M22" s="198">
        <f>ROUND(N(data!W67), 0)</f>
        <v>17852</v>
      </c>
      <c r="N22" s="198">
        <f>ROUND(N(data!W68), 0)</f>
        <v>0</v>
      </c>
      <c r="O22" s="198">
        <f>ROUND(N(data!W69), 0)</f>
        <v>10762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10577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185</v>
      </c>
      <c r="AD22" s="198">
        <f>ROUND(N(data!W84), 0)</f>
        <v>0</v>
      </c>
      <c r="AE22" s="198">
        <f>ROUND(N(data!W89), 0)</f>
        <v>5775001</v>
      </c>
      <c r="AF22" s="198">
        <f>ROUND(N(data!W87), 0)</f>
        <v>320006</v>
      </c>
      <c r="AG22" s="198">
        <f>ROUND(N(data!W90), 0)</f>
        <v>926</v>
      </c>
      <c r="AH22" s="198">
        <f>ROUND(N(data!W91), 0)</f>
        <v>0</v>
      </c>
      <c r="AI22" s="198">
        <f>ROUND(N(data!W92), 0)</f>
        <v>171</v>
      </c>
      <c r="AJ22" s="198">
        <f>ROUND(N(data!W93), 0)</f>
        <v>3700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198</v>
      </c>
      <c r="B23" s="200" t="str">
        <f>RIGHT(data!$C$96,4)</f>
        <v>2024</v>
      </c>
      <c r="C23" s="12" t="str">
        <f>data!X$55</f>
        <v>7130</v>
      </c>
      <c r="D23" s="12" t="s">
        <v>1164</v>
      </c>
      <c r="E23" s="198">
        <f>ROUND(N(data!X59), 0)</f>
        <v>0</v>
      </c>
      <c r="F23" s="271">
        <f>ROUND(N(data!X60), 2)</f>
        <v>2</v>
      </c>
      <c r="G23" s="198">
        <f>ROUND(N(data!X61), 0)</f>
        <v>214309</v>
      </c>
      <c r="H23" s="198">
        <f>ROUND(N(data!X62), 0)</f>
        <v>58546</v>
      </c>
      <c r="I23" s="198">
        <f>ROUND(N(data!X63), 0)</f>
        <v>0</v>
      </c>
      <c r="J23" s="198">
        <f>ROUND(N(data!X64), 0)</f>
        <v>23613</v>
      </c>
      <c r="K23" s="198">
        <f>ROUND(N(data!X65), 0)</f>
        <v>0</v>
      </c>
      <c r="L23" s="198">
        <f>ROUND(N(data!X66), 0)</f>
        <v>95006</v>
      </c>
      <c r="M23" s="198">
        <f>ROUND(N(data!X67), 0)</f>
        <v>8405</v>
      </c>
      <c r="N23" s="198">
        <f>ROUND(N(data!X68), 0)</f>
        <v>0</v>
      </c>
      <c r="O23" s="198">
        <f>ROUND(N(data!X69), 0)</f>
        <v>2641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2268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373</v>
      </c>
      <c r="AD23" s="198">
        <f>ROUND(N(data!X84), 0)</f>
        <v>0</v>
      </c>
      <c r="AE23" s="198">
        <f>ROUND(N(data!X89), 0)</f>
        <v>21525501</v>
      </c>
      <c r="AF23" s="198">
        <f>ROUND(N(data!X87), 0)</f>
        <v>3503961</v>
      </c>
      <c r="AG23" s="198">
        <f>ROUND(N(data!X90), 0)</f>
        <v>436</v>
      </c>
      <c r="AH23" s="198">
        <f>ROUND(N(data!X91), 0)</f>
        <v>0</v>
      </c>
      <c r="AI23" s="198">
        <f>ROUND(N(data!X92), 0)</f>
        <v>0</v>
      </c>
      <c r="AJ23" s="198">
        <f>ROUND(N(data!X93), 0)</f>
        <v>4768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198</v>
      </c>
      <c r="B24" s="200" t="str">
        <f>RIGHT(data!$C$96,4)</f>
        <v>2024</v>
      </c>
      <c r="C24" s="12" t="str">
        <f>data!Y$55</f>
        <v>7140</v>
      </c>
      <c r="D24" s="12" t="s">
        <v>1164</v>
      </c>
      <c r="E24" s="198">
        <f>ROUND(N(data!Y59), 0)</f>
        <v>0</v>
      </c>
      <c r="F24" s="271">
        <f>ROUND(N(data!Y60), 2)</f>
        <v>17.82</v>
      </c>
      <c r="G24" s="198">
        <f>ROUND(N(data!Y61), 0)</f>
        <v>2429002</v>
      </c>
      <c r="H24" s="198">
        <f>ROUND(N(data!Y62), 0)</f>
        <v>595936</v>
      </c>
      <c r="I24" s="198">
        <f>ROUND(N(data!Y63), 0)</f>
        <v>0</v>
      </c>
      <c r="J24" s="198">
        <f>ROUND(N(data!Y64), 0)</f>
        <v>431599</v>
      </c>
      <c r="K24" s="198">
        <f>ROUND(N(data!Y65), 0)</f>
        <v>3632</v>
      </c>
      <c r="L24" s="198">
        <f>ROUND(N(data!Y66), 0)</f>
        <v>1153194</v>
      </c>
      <c r="M24" s="198">
        <f>ROUND(N(data!Y67), 0)</f>
        <v>133893</v>
      </c>
      <c r="N24" s="198">
        <f>ROUND(N(data!Y68), 0)</f>
        <v>328</v>
      </c>
      <c r="O24" s="198">
        <f>ROUND(N(data!Y69), 0)</f>
        <v>23719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7897</v>
      </c>
      <c r="X24" s="198">
        <f>ROUND(N(data!Y78), 0)</f>
        <v>0</v>
      </c>
      <c r="Y24" s="198">
        <f>ROUND(N(data!Y79), 0)</f>
        <v>0</v>
      </c>
      <c r="Z24" s="198">
        <f>ROUND(N(data!Y80), 0)</f>
        <v>297</v>
      </c>
      <c r="AA24" s="198">
        <f>ROUND(N(data!Y81), 0)</f>
        <v>0</v>
      </c>
      <c r="AB24" s="198">
        <f>ROUND(N(data!Y82), 0)</f>
        <v>0</v>
      </c>
      <c r="AC24" s="198">
        <f>ROUND(N(data!Y83), 0)</f>
        <v>15525</v>
      </c>
      <c r="AD24" s="198">
        <f>ROUND(N(data!Y84), 0)</f>
        <v>0</v>
      </c>
      <c r="AE24" s="198">
        <f>ROUND(N(data!Y89), 0)</f>
        <v>21199751</v>
      </c>
      <c r="AF24" s="198">
        <f>ROUND(N(data!Y87), 0)</f>
        <v>1378807</v>
      </c>
      <c r="AG24" s="198">
        <f>ROUND(N(data!Y90), 0)</f>
        <v>3737</v>
      </c>
      <c r="AH24" s="198">
        <f>ROUND(N(data!Y91), 0)</f>
        <v>0</v>
      </c>
      <c r="AI24" s="198">
        <f>ROUND(N(data!Y92), 0)</f>
        <v>1597</v>
      </c>
      <c r="AJ24" s="198">
        <f>ROUND(N(data!Y93), 0)</f>
        <v>37494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198</v>
      </c>
      <c r="B25" s="200" t="str">
        <f>RIGHT(data!$C$96,4)</f>
        <v>2024</v>
      </c>
      <c r="C25" s="12" t="str">
        <f>data!Z$55</f>
        <v>7150</v>
      </c>
      <c r="D25" s="12" t="s">
        <v>1164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198</v>
      </c>
      <c r="B26" s="200" t="str">
        <f>RIGHT(data!$C$96,4)</f>
        <v>2024</v>
      </c>
      <c r="C26" s="12" t="str">
        <f>data!AA$55</f>
        <v>7160</v>
      </c>
      <c r="D26" s="12" t="s">
        <v>1164</v>
      </c>
      <c r="E26" s="198">
        <f>ROUND(N(data!AA59), 0)</f>
        <v>0</v>
      </c>
      <c r="F26" s="271">
        <f>ROUND(N(data!AA60), 2)</f>
        <v>0.68</v>
      </c>
      <c r="G26" s="198">
        <f>ROUND(N(data!AA61), 0)</f>
        <v>71290</v>
      </c>
      <c r="H26" s="198">
        <f>ROUND(N(data!AA62), 0)</f>
        <v>17625</v>
      </c>
      <c r="I26" s="198">
        <f>ROUND(N(data!AA63), 0)</f>
        <v>0</v>
      </c>
      <c r="J26" s="198">
        <f>ROUND(N(data!AA64), 0)</f>
        <v>60374</v>
      </c>
      <c r="K26" s="198">
        <f>ROUND(N(data!AA65), 0)</f>
        <v>0</v>
      </c>
      <c r="L26" s="198">
        <f>ROUND(N(data!AA66), 0)</f>
        <v>30813</v>
      </c>
      <c r="M26" s="198">
        <f>ROUND(N(data!AA67), 0)</f>
        <v>7846</v>
      </c>
      <c r="N26" s="198">
        <f>ROUND(N(data!AA68), 0)</f>
        <v>0</v>
      </c>
      <c r="O26" s="198">
        <f>ROUND(N(data!AA69), 0)</f>
        <v>10951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10951</v>
      </c>
      <c r="AD26" s="198">
        <f>ROUND(N(data!AA84), 0)</f>
        <v>0</v>
      </c>
      <c r="AE26" s="198">
        <f>ROUND(N(data!AA89), 0)</f>
        <v>742982</v>
      </c>
      <c r="AF26" s="198">
        <f>ROUND(N(data!AA87), 0)</f>
        <v>35937</v>
      </c>
      <c r="AG26" s="198">
        <f>ROUND(N(data!AA90), 0)</f>
        <v>407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198</v>
      </c>
      <c r="B27" s="200" t="str">
        <f>RIGHT(data!$C$96,4)</f>
        <v>2024</v>
      </c>
      <c r="C27" s="12" t="str">
        <f>data!AB$55</f>
        <v>7170</v>
      </c>
      <c r="D27" s="12" t="s">
        <v>1164</v>
      </c>
      <c r="E27" s="198">
        <f>ROUND(N(data!AB59), 0)</f>
        <v>0</v>
      </c>
      <c r="F27" s="271">
        <f>ROUND(N(data!AB60), 2)</f>
        <v>7.61</v>
      </c>
      <c r="G27" s="198">
        <f>ROUND(N(data!AB61), 0)</f>
        <v>860377</v>
      </c>
      <c r="H27" s="198">
        <f>ROUND(N(data!AB62), 0)</f>
        <v>224889</v>
      </c>
      <c r="I27" s="198">
        <f>ROUND(N(data!AB63), 0)</f>
        <v>0</v>
      </c>
      <c r="J27" s="198">
        <f>ROUND(N(data!AB64), 0)</f>
        <v>9887387</v>
      </c>
      <c r="K27" s="198">
        <f>ROUND(N(data!AB65), 0)</f>
        <v>0</v>
      </c>
      <c r="L27" s="198">
        <f>ROUND(N(data!AB66), 0)</f>
        <v>177809</v>
      </c>
      <c r="M27" s="198">
        <f>ROUND(N(data!AB67), 0)</f>
        <v>16849</v>
      </c>
      <c r="N27" s="198">
        <f>ROUND(N(data!AB68), 0)</f>
        <v>153855</v>
      </c>
      <c r="O27" s="198">
        <f>ROUND(N(data!AB69), 0)</f>
        <v>70619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12336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58283</v>
      </c>
      <c r="AD27" s="198">
        <f>ROUND(N(data!AB84), 0)</f>
        <v>0</v>
      </c>
      <c r="AE27" s="198">
        <f>ROUND(N(data!AB89), 0)</f>
        <v>57553917</v>
      </c>
      <c r="AF27" s="198">
        <f>ROUND(N(data!AB87), 0)</f>
        <v>5151451</v>
      </c>
      <c r="AG27" s="198">
        <f>ROUND(N(data!AB90), 0)</f>
        <v>874</v>
      </c>
      <c r="AH27" s="198">
        <f>ROUND(N(data!AB91), 0)</f>
        <v>0</v>
      </c>
      <c r="AI27" s="198">
        <f>ROUND(N(data!AB92), 0)</f>
        <v>330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198</v>
      </c>
      <c r="B28" s="200" t="str">
        <f>RIGHT(data!$C$96,4)</f>
        <v>2024</v>
      </c>
      <c r="C28" s="12" t="str">
        <f>data!AC$55</f>
        <v>7180</v>
      </c>
      <c r="D28" s="12" t="s">
        <v>1164</v>
      </c>
      <c r="E28" s="198">
        <f>ROUND(N(data!AC59), 0)</f>
        <v>0</v>
      </c>
      <c r="F28" s="271">
        <f>ROUND(N(data!AC60), 2)</f>
        <v>0</v>
      </c>
      <c r="G28" s="198">
        <f>ROUND(N(data!AC61), 0)</f>
        <v>0</v>
      </c>
      <c r="H28" s="198">
        <f>ROUND(N(data!AC62), 0)</f>
        <v>0</v>
      </c>
      <c r="I28" s="198">
        <f>ROUND(N(data!AC63), 0)</f>
        <v>0</v>
      </c>
      <c r="J28" s="198">
        <f>ROUND(N(data!AC64), 0)</f>
        <v>70129</v>
      </c>
      <c r="K28" s="198">
        <f>ROUND(N(data!AC65), 0)</f>
        <v>0</v>
      </c>
      <c r="L28" s="198">
        <f>ROUND(N(data!AC66), 0)</f>
        <v>1015300</v>
      </c>
      <c r="M28" s="198">
        <f>ROUND(N(data!AC67), 0)</f>
        <v>6227</v>
      </c>
      <c r="N28" s="198">
        <f>ROUND(N(data!AC68), 0)</f>
        <v>52865</v>
      </c>
      <c r="O28" s="198">
        <f>ROUND(N(data!AC69), 0)</f>
        <v>5652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5643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9</v>
      </c>
      <c r="AD28" s="198">
        <f>ROUND(N(data!AC84), 0)</f>
        <v>0</v>
      </c>
      <c r="AE28" s="198">
        <f>ROUND(N(data!AC89), 0)</f>
        <v>2705565</v>
      </c>
      <c r="AF28" s="198">
        <f>ROUND(N(data!AC87), 0)</f>
        <v>1174417</v>
      </c>
      <c r="AG28" s="198">
        <f>ROUND(N(data!AC90), 0)</f>
        <v>323</v>
      </c>
      <c r="AH28" s="198">
        <f>ROUND(N(data!AC91), 0)</f>
        <v>0</v>
      </c>
      <c r="AI28" s="198">
        <f>ROUND(N(data!AC92), 0)</f>
        <v>477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198</v>
      </c>
      <c r="B29" s="200" t="str">
        <f>RIGHT(data!$C$96,4)</f>
        <v>2024</v>
      </c>
      <c r="C29" s="12" t="str">
        <f>data!AD$55</f>
        <v>7190</v>
      </c>
      <c r="D29" s="12" t="s">
        <v>1164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481548</v>
      </c>
      <c r="M29" s="198">
        <f>ROUND(N(data!AD67), 0)</f>
        <v>5128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2224446</v>
      </c>
      <c r="AF29" s="198">
        <f>ROUND(N(data!AD87), 0)</f>
        <v>2093568</v>
      </c>
      <c r="AG29" s="198">
        <f>ROUND(N(data!AD90), 0)</f>
        <v>266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198</v>
      </c>
      <c r="B30" s="200" t="str">
        <f>RIGHT(data!$C$96,4)</f>
        <v>2024</v>
      </c>
      <c r="C30" s="12" t="str">
        <f>data!AE$55</f>
        <v>7200</v>
      </c>
      <c r="D30" s="12" t="s">
        <v>1164</v>
      </c>
      <c r="E30" s="198">
        <f>ROUND(N(data!AE59), 0)</f>
        <v>0</v>
      </c>
      <c r="F30" s="271">
        <f>ROUND(N(data!AE60), 2)</f>
        <v>6.4</v>
      </c>
      <c r="G30" s="198">
        <f>ROUND(N(data!AE61), 0)</f>
        <v>505737</v>
      </c>
      <c r="H30" s="198">
        <f>ROUND(N(data!AE62), 0)</f>
        <v>135151</v>
      </c>
      <c r="I30" s="198">
        <f>ROUND(N(data!AE63), 0)</f>
        <v>0</v>
      </c>
      <c r="J30" s="198">
        <f>ROUND(N(data!AE64), 0)</f>
        <v>52144</v>
      </c>
      <c r="K30" s="198">
        <f>ROUND(N(data!AE65), 0)</f>
        <v>0</v>
      </c>
      <c r="L30" s="198">
        <f>ROUND(N(data!AE66), 0)</f>
        <v>5959</v>
      </c>
      <c r="M30" s="198">
        <f>ROUND(N(data!AE67), 0)</f>
        <v>5629</v>
      </c>
      <c r="N30" s="198">
        <f>ROUND(N(data!AE68), 0)</f>
        <v>28939</v>
      </c>
      <c r="O30" s="198">
        <f>ROUND(N(data!AE69), 0)</f>
        <v>38233</v>
      </c>
      <c r="P30" s="198">
        <f>ROUND(N(data!AE70), 0)</f>
        <v>0</v>
      </c>
      <c r="Q30" s="198">
        <f>ROUND(N(data!AE71), 0)</f>
        <v>21756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1352</v>
      </c>
      <c r="X30" s="198">
        <f>ROUND(N(data!AE78), 0)</f>
        <v>0</v>
      </c>
      <c r="Y30" s="198">
        <f>ROUND(N(data!AE79), 0)</f>
        <v>13327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1798</v>
      </c>
      <c r="AD30" s="198">
        <f>ROUND(N(data!AE84), 0)</f>
        <v>0</v>
      </c>
      <c r="AE30" s="198">
        <f>ROUND(N(data!AE89), 0)</f>
        <v>5809115</v>
      </c>
      <c r="AF30" s="198">
        <f>ROUND(N(data!AE87), 0)</f>
        <v>642591</v>
      </c>
      <c r="AG30" s="198">
        <f>ROUND(N(data!AE90), 0)</f>
        <v>292</v>
      </c>
      <c r="AH30" s="198">
        <f>ROUND(N(data!AE91), 0)</f>
        <v>0</v>
      </c>
      <c r="AI30" s="198">
        <f>ROUND(N(data!AE92), 0)</f>
        <v>530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198</v>
      </c>
      <c r="B31" s="200" t="str">
        <f>RIGHT(data!$C$96,4)</f>
        <v>2024</v>
      </c>
      <c r="C31" s="12" t="str">
        <f>data!AF$55</f>
        <v>7220</v>
      </c>
      <c r="D31" s="12" t="s">
        <v>1164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198</v>
      </c>
      <c r="B32" s="200" t="str">
        <f>RIGHT(data!$C$96,4)</f>
        <v>2024</v>
      </c>
      <c r="C32" s="12" t="str">
        <f>data!AG$55</f>
        <v>7230</v>
      </c>
      <c r="D32" s="12" t="s">
        <v>1164</v>
      </c>
      <c r="E32" s="198">
        <f>ROUND(N(data!AG59), 0)</f>
        <v>0</v>
      </c>
      <c r="F32" s="271">
        <f>ROUND(N(data!AG60), 2)</f>
        <v>23.89</v>
      </c>
      <c r="G32" s="198">
        <f>ROUND(N(data!AG61), 0)</f>
        <v>2892551</v>
      </c>
      <c r="H32" s="198">
        <f>ROUND(N(data!AG62), 0)</f>
        <v>750213</v>
      </c>
      <c r="I32" s="198">
        <f>ROUND(N(data!AG63), 0)</f>
        <v>628246</v>
      </c>
      <c r="J32" s="198">
        <f>ROUND(N(data!AG64), 0)</f>
        <v>492038</v>
      </c>
      <c r="K32" s="198">
        <f>ROUND(N(data!AG65), 0)</f>
        <v>0</v>
      </c>
      <c r="L32" s="198">
        <f>ROUND(N(data!AG66), 0)</f>
        <v>1648326</v>
      </c>
      <c r="M32" s="198">
        <f>ROUND(N(data!AG67), 0)</f>
        <v>154805</v>
      </c>
      <c r="N32" s="198">
        <f>ROUND(N(data!AG68), 0)</f>
        <v>-6118</v>
      </c>
      <c r="O32" s="198">
        <f>ROUND(N(data!AG69), 0)</f>
        <v>632879</v>
      </c>
      <c r="P32" s="198">
        <f>ROUND(N(data!AG70), 0)</f>
        <v>0</v>
      </c>
      <c r="Q32" s="198">
        <f>ROUND(N(data!AG71), 0)</f>
        <v>609266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8899</v>
      </c>
      <c r="X32" s="198">
        <f>ROUND(N(data!AG78), 0)</f>
        <v>0</v>
      </c>
      <c r="Y32" s="198">
        <f>ROUND(N(data!AG79), 0)</f>
        <v>0</v>
      </c>
      <c r="Z32" s="198">
        <f>ROUND(N(data!AG80), 0)</f>
        <v>949</v>
      </c>
      <c r="AA32" s="198">
        <f>ROUND(N(data!AG81), 0)</f>
        <v>0</v>
      </c>
      <c r="AB32" s="198">
        <f>ROUND(N(data!AG82), 0)</f>
        <v>0</v>
      </c>
      <c r="AC32" s="198">
        <f>ROUND(N(data!AG83), 0)</f>
        <v>13765</v>
      </c>
      <c r="AD32" s="198">
        <f>ROUND(N(data!AG84), 0)</f>
        <v>0</v>
      </c>
      <c r="AE32" s="198">
        <f>ROUND(N(data!AG89), 0)</f>
        <v>24986038</v>
      </c>
      <c r="AF32" s="198">
        <f>ROUND(N(data!AG87), 0)</f>
        <v>1910731</v>
      </c>
      <c r="AG32" s="198">
        <f>ROUND(N(data!AG90), 0)</f>
        <v>7142</v>
      </c>
      <c r="AH32" s="198">
        <f>ROUND(N(data!AG91), 0)</f>
        <v>0</v>
      </c>
      <c r="AI32" s="198">
        <f>ROUND(N(data!AG92), 0)</f>
        <v>4173</v>
      </c>
      <c r="AJ32" s="198">
        <f>ROUND(N(data!AG93), 0)</f>
        <v>114887</v>
      </c>
      <c r="AK32" s="271">
        <f>ROUND(N(data!AG94), 2)</f>
        <v>23.89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198</v>
      </c>
      <c r="B33" s="200" t="str">
        <f>RIGHT(data!$C$96,4)</f>
        <v>2024</v>
      </c>
      <c r="C33" s="12" t="str">
        <f>data!AH$55</f>
        <v>7240</v>
      </c>
      <c r="D33" s="12" t="s">
        <v>1164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198</v>
      </c>
      <c r="B34" s="200" t="str">
        <f>RIGHT(data!$C$96,4)</f>
        <v>2024</v>
      </c>
      <c r="C34" s="12" t="str">
        <f>data!AI$55</f>
        <v>7250</v>
      </c>
      <c r="D34" s="12" t="s">
        <v>1164</v>
      </c>
      <c r="E34" s="198">
        <f>ROUND(N(data!AI59), 0)</f>
        <v>0</v>
      </c>
      <c r="F34" s="271">
        <f>ROUND(N(data!AI60), 2)</f>
        <v>6.56</v>
      </c>
      <c r="G34" s="198">
        <f>ROUND(N(data!AI61), 0)</f>
        <v>718598</v>
      </c>
      <c r="H34" s="198">
        <f>ROUND(N(data!AI62), 0)</f>
        <v>194375</v>
      </c>
      <c r="I34" s="198">
        <f>ROUND(N(data!AI63), 0)</f>
        <v>0</v>
      </c>
      <c r="J34" s="198">
        <f>ROUND(N(data!AI64), 0)</f>
        <v>129462</v>
      </c>
      <c r="K34" s="198">
        <f>ROUND(N(data!AI65), 0)</f>
        <v>0</v>
      </c>
      <c r="L34" s="198">
        <f>ROUND(N(data!AI66), 0)</f>
        <v>0</v>
      </c>
      <c r="M34" s="198">
        <f>ROUND(N(data!AI67), 0)</f>
        <v>36802</v>
      </c>
      <c r="N34" s="198">
        <f>ROUND(N(data!AI68), 0)</f>
        <v>0</v>
      </c>
      <c r="O34" s="198">
        <f>ROUND(N(data!AI69), 0)</f>
        <v>150115</v>
      </c>
      <c r="P34" s="198">
        <f>ROUND(N(data!AI70), 0)</f>
        <v>0</v>
      </c>
      <c r="Q34" s="198">
        <f>ROUND(N(data!AI71), 0)</f>
        <v>147772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2343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1465585</v>
      </c>
      <c r="AF34" s="198">
        <f>ROUND(N(data!AI87), 0)</f>
        <v>463</v>
      </c>
      <c r="AG34" s="198">
        <f>ROUND(N(data!AI90), 0)</f>
        <v>1909</v>
      </c>
      <c r="AH34" s="198">
        <f>ROUND(N(data!AI91), 0)</f>
        <v>2962</v>
      </c>
      <c r="AI34" s="198">
        <f>ROUND(N(data!AI92), 0)</f>
        <v>1220</v>
      </c>
      <c r="AJ34" s="198">
        <f>ROUND(N(data!AI93), 0)</f>
        <v>27158</v>
      </c>
      <c r="AK34" s="271">
        <f>ROUND(N(data!AI94), 2)</f>
        <v>6.56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198</v>
      </c>
      <c r="B35" s="200" t="str">
        <f>RIGHT(data!$C$96,4)</f>
        <v>2024</v>
      </c>
      <c r="C35" s="12" t="str">
        <f>data!AJ$55</f>
        <v>7260</v>
      </c>
      <c r="D35" s="12" t="s">
        <v>1164</v>
      </c>
      <c r="E35" s="198">
        <f>ROUND(N(data!AJ59), 0)</f>
        <v>0</v>
      </c>
      <c r="F35" s="271">
        <f>ROUND(N(data!AJ60), 2)</f>
        <v>86.46</v>
      </c>
      <c r="G35" s="198">
        <f>ROUND(N(data!AJ61), 0)</f>
        <v>11899406</v>
      </c>
      <c r="H35" s="198">
        <f>ROUND(N(data!AJ62), 0)</f>
        <v>2777907</v>
      </c>
      <c r="I35" s="198">
        <f>ROUND(N(data!AJ63), 0)</f>
        <v>164834</v>
      </c>
      <c r="J35" s="198">
        <f>ROUND(N(data!AJ64), 0)</f>
        <v>668384</v>
      </c>
      <c r="K35" s="198">
        <f>ROUND(N(data!AJ65), 0)</f>
        <v>184472</v>
      </c>
      <c r="L35" s="198">
        <f>ROUND(N(data!AJ66), 0)</f>
        <v>1275601</v>
      </c>
      <c r="M35" s="198">
        <f>ROUND(N(data!AJ67), 0)</f>
        <v>263745</v>
      </c>
      <c r="N35" s="198">
        <f>ROUND(N(data!AJ68), 0)</f>
        <v>605632</v>
      </c>
      <c r="O35" s="198">
        <f>ROUND(N(data!AJ69), 0)</f>
        <v>299507</v>
      </c>
      <c r="P35" s="198">
        <f>ROUND(N(data!AJ70), 0)</f>
        <v>0</v>
      </c>
      <c r="Q35" s="198">
        <f>ROUND(N(data!AJ71), 0)</f>
        <v>115597</v>
      </c>
      <c r="R35" s="198">
        <f>ROUND(N(data!AJ72), 0)</f>
        <v>0</v>
      </c>
      <c r="S35" s="198">
        <f>ROUND(N(data!AJ73), 0)</f>
        <v>2048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30259</v>
      </c>
      <c r="X35" s="198">
        <f>ROUND(N(data!AJ78), 0)</f>
        <v>0</v>
      </c>
      <c r="Y35" s="198">
        <f>ROUND(N(data!AJ79), 0)</f>
        <v>25022</v>
      </c>
      <c r="Z35" s="198">
        <f>ROUND(N(data!AJ80), 0)</f>
        <v>52002</v>
      </c>
      <c r="AA35" s="198">
        <f>ROUND(N(data!AJ81), 0)</f>
        <v>0</v>
      </c>
      <c r="AB35" s="198">
        <f>ROUND(N(data!AJ82), 0)</f>
        <v>0</v>
      </c>
      <c r="AC35" s="198">
        <f>ROUND(N(data!AJ83), 0)</f>
        <v>74579</v>
      </c>
      <c r="AD35" s="198">
        <f>ROUND(N(data!AJ84), 0)</f>
        <v>0</v>
      </c>
      <c r="AE35" s="198">
        <f>ROUND(N(data!AJ89), 0)</f>
        <v>16947746</v>
      </c>
      <c r="AF35" s="198">
        <f>ROUND(N(data!AJ87), 0)</f>
        <v>3484</v>
      </c>
      <c r="AG35" s="198">
        <f>ROUND(N(data!AJ90), 0)</f>
        <v>13681</v>
      </c>
      <c r="AH35" s="198">
        <f>ROUND(N(data!AJ91), 0)</f>
        <v>0</v>
      </c>
      <c r="AI35" s="198">
        <f>ROUND(N(data!AJ92), 0)</f>
        <v>10142</v>
      </c>
      <c r="AJ35" s="198">
        <f>ROUND(N(data!AJ93), 0)</f>
        <v>11443</v>
      </c>
      <c r="AK35" s="271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198</v>
      </c>
      <c r="B36" s="200" t="str">
        <f>RIGHT(data!$C$96,4)</f>
        <v>2024</v>
      </c>
      <c r="C36" s="12" t="str">
        <f>data!AK$55</f>
        <v>7310</v>
      </c>
      <c r="D36" s="12" t="s">
        <v>1164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198</v>
      </c>
      <c r="B37" s="200" t="str">
        <f>RIGHT(data!$C$96,4)</f>
        <v>2024</v>
      </c>
      <c r="C37" s="12" t="str">
        <f>data!AL$55</f>
        <v>7320</v>
      </c>
      <c r="D37" s="12" t="s">
        <v>1164</v>
      </c>
      <c r="E37" s="198">
        <f>ROUND(N(data!AL59), 0)</f>
        <v>0</v>
      </c>
      <c r="F37" s="271">
        <f>ROUND(N(data!AL60), 2)</f>
        <v>2.31</v>
      </c>
      <c r="G37" s="198">
        <f>ROUND(N(data!AL61), 0)</f>
        <v>217122</v>
      </c>
      <c r="H37" s="198">
        <f>ROUND(N(data!AL62), 0)</f>
        <v>57026</v>
      </c>
      <c r="I37" s="198">
        <f>ROUND(N(data!AL63), 0)</f>
        <v>123547</v>
      </c>
      <c r="J37" s="198">
        <f>ROUND(N(data!AL64), 0)</f>
        <v>50238</v>
      </c>
      <c r="K37" s="198">
        <f>ROUND(N(data!AL65), 0)</f>
        <v>7757</v>
      </c>
      <c r="L37" s="198">
        <f>ROUND(N(data!AL66), 0)</f>
        <v>9280</v>
      </c>
      <c r="M37" s="198">
        <f>ROUND(N(data!AL67), 0)</f>
        <v>0</v>
      </c>
      <c r="N37" s="198">
        <f>ROUND(N(data!AL68), 0)</f>
        <v>8982</v>
      </c>
      <c r="O37" s="198">
        <f>ROUND(N(data!AL69), 0)</f>
        <v>2647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-1605</v>
      </c>
      <c r="X37" s="198">
        <f>ROUND(N(data!AL78), 0)</f>
        <v>0</v>
      </c>
      <c r="Y37" s="198">
        <f>ROUND(N(data!AL79), 0)</f>
        <v>0</v>
      </c>
      <c r="Z37" s="198">
        <f>ROUND(N(data!AL80), 0)</f>
        <v>835</v>
      </c>
      <c r="AA37" s="198">
        <f>ROUND(N(data!AL81), 0)</f>
        <v>0</v>
      </c>
      <c r="AB37" s="198">
        <f>ROUND(N(data!AL82), 0)</f>
        <v>0</v>
      </c>
      <c r="AC37" s="198">
        <f>ROUND(N(data!AL83), 0)</f>
        <v>3417</v>
      </c>
      <c r="AD37" s="198">
        <f>ROUND(N(data!AL84), 0)</f>
        <v>0</v>
      </c>
      <c r="AE37" s="198">
        <f>ROUND(N(data!AL89), 0)</f>
        <v>1779121</v>
      </c>
      <c r="AF37" s="198">
        <f>ROUND(N(data!AL87), 0)</f>
        <v>121938</v>
      </c>
      <c r="AG37" s="198">
        <f>ROUND(N(data!AL90), 0)</f>
        <v>0</v>
      </c>
      <c r="AH37" s="198">
        <f>ROUND(N(data!AL91), 0)</f>
        <v>0</v>
      </c>
      <c r="AI37" s="198">
        <f>ROUND(N(data!AL92), 0)</f>
        <v>1450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198</v>
      </c>
      <c r="B38" s="200" t="str">
        <f>RIGHT(data!$C$96,4)</f>
        <v>2024</v>
      </c>
      <c r="C38" s="12" t="str">
        <f>data!AM$55</f>
        <v>7330</v>
      </c>
      <c r="D38" s="12" t="s">
        <v>1164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198</v>
      </c>
      <c r="B39" s="200" t="str">
        <f>RIGHT(data!$C$96,4)</f>
        <v>2024</v>
      </c>
      <c r="C39" s="12" t="str">
        <f>data!AN$55</f>
        <v>7340</v>
      </c>
      <c r="D39" s="12" t="s">
        <v>1164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198</v>
      </c>
      <c r="B40" s="200" t="str">
        <f>RIGHT(data!$C$96,4)</f>
        <v>2024</v>
      </c>
      <c r="C40" s="12" t="str">
        <f>data!AO$55</f>
        <v>7350</v>
      </c>
      <c r="D40" s="12" t="s">
        <v>1164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3578315</v>
      </c>
      <c r="AF40" s="198">
        <f>ROUND(N(data!AO87), 0)</f>
        <v>3259794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198</v>
      </c>
      <c r="B41" s="200" t="str">
        <f>RIGHT(data!$C$96,4)</f>
        <v>2024</v>
      </c>
      <c r="C41" s="12" t="str">
        <f>data!AP$55</f>
        <v>7380</v>
      </c>
      <c r="D41" s="12" t="s">
        <v>1164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198</v>
      </c>
      <c r="B42" s="200" t="str">
        <f>RIGHT(data!$C$96,4)</f>
        <v>2024</v>
      </c>
      <c r="C42" s="12" t="str">
        <f>data!AQ$55</f>
        <v>7390</v>
      </c>
      <c r="D42" s="12" t="s">
        <v>1164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198</v>
      </c>
      <c r="B43" s="200" t="str">
        <f>RIGHT(data!$C$96,4)</f>
        <v>2024</v>
      </c>
      <c r="C43" s="12" t="str">
        <f>data!AR$55</f>
        <v>7400</v>
      </c>
      <c r="D43" s="12" t="s">
        <v>1164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198</v>
      </c>
      <c r="B44" s="200" t="str">
        <f>RIGHT(data!$C$96,4)</f>
        <v>2024</v>
      </c>
      <c r="C44" s="12" t="str">
        <f>data!AS$55</f>
        <v>7410</v>
      </c>
      <c r="D44" s="12" t="s">
        <v>1164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198</v>
      </c>
      <c r="B45" s="200" t="str">
        <f>RIGHT(data!$C$96,4)</f>
        <v>2024</v>
      </c>
      <c r="C45" s="12" t="str">
        <f>data!AT$55</f>
        <v>7420</v>
      </c>
      <c r="D45" s="12" t="s">
        <v>1164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198</v>
      </c>
      <c r="B46" s="200" t="str">
        <f>RIGHT(data!$C$96,4)</f>
        <v>2024</v>
      </c>
      <c r="C46" s="12" t="str">
        <f>data!AU$55</f>
        <v>7430</v>
      </c>
      <c r="D46" s="12" t="s">
        <v>1164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198</v>
      </c>
      <c r="B47" s="200" t="str">
        <f>RIGHT(data!$C$96,4)</f>
        <v>2024</v>
      </c>
      <c r="C47" s="12" t="str">
        <f>data!AV$55</f>
        <v>7490</v>
      </c>
      <c r="D47" s="12" t="s">
        <v>1164</v>
      </c>
      <c r="E47" s="198">
        <f>ROUND(N(data!AV59), 0)</f>
        <v>0</v>
      </c>
      <c r="F47" s="271">
        <f>ROUND(N(data!AV60), 2)</f>
        <v>16.52</v>
      </c>
      <c r="G47" s="198">
        <f>ROUND(N(data!AV61), 0)</f>
        <v>2509174</v>
      </c>
      <c r="H47" s="198">
        <f>ROUND(N(data!AV62), 0)</f>
        <v>607315</v>
      </c>
      <c r="I47" s="198">
        <f>ROUND(N(data!AV63), 0)</f>
        <v>196130</v>
      </c>
      <c r="J47" s="198">
        <f>ROUND(N(data!AV64), 0)</f>
        <v>511203</v>
      </c>
      <c r="K47" s="198">
        <f>ROUND(N(data!AV65), 0)</f>
        <v>11767</v>
      </c>
      <c r="L47" s="198">
        <f>ROUND(N(data!AV66), 0)</f>
        <v>354251</v>
      </c>
      <c r="M47" s="198">
        <f>ROUND(N(data!AV67), 0)</f>
        <v>104777</v>
      </c>
      <c r="N47" s="198">
        <f>ROUND(N(data!AV68), 0)</f>
        <v>98723</v>
      </c>
      <c r="O47" s="198">
        <f>ROUND(N(data!AV69), 0)</f>
        <v>211284</v>
      </c>
      <c r="P47" s="198">
        <f>ROUND(N(data!AV70), 0)</f>
        <v>0</v>
      </c>
      <c r="Q47" s="198">
        <f>ROUND(N(data!AV71), 0)</f>
        <v>168578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22362</v>
      </c>
      <c r="X47" s="198">
        <f>ROUND(N(data!AV78), 0)</f>
        <v>0</v>
      </c>
      <c r="Y47" s="198">
        <f>ROUND(N(data!AV79), 0)</f>
        <v>9957</v>
      </c>
      <c r="Z47" s="198">
        <f>ROUND(N(data!AV80), 0)</f>
        <v>4861</v>
      </c>
      <c r="AA47" s="198">
        <f>ROUND(N(data!AV81), 0)</f>
        <v>0</v>
      </c>
      <c r="AB47" s="198">
        <f>ROUND(N(data!AV82), 0)</f>
        <v>0</v>
      </c>
      <c r="AC47" s="198">
        <f>ROUND(N(data!AV83), 0)</f>
        <v>5526</v>
      </c>
      <c r="AD47" s="198">
        <f>ROUND(N(data!AV84), 0)</f>
        <v>0</v>
      </c>
      <c r="AE47" s="198">
        <f>ROUND(N(data!AV89), 0)</f>
        <v>13147264</v>
      </c>
      <c r="AF47" s="198">
        <f>ROUND(N(data!AV87), 0)</f>
        <v>458636</v>
      </c>
      <c r="AG47" s="198">
        <f>ROUND(N(data!AV90), 0)</f>
        <v>5435</v>
      </c>
      <c r="AH47" s="198">
        <f>ROUND(N(data!AV91), 0)</f>
        <v>0</v>
      </c>
      <c r="AI47" s="198">
        <f>ROUND(N(data!AV92), 0)</f>
        <v>1367</v>
      </c>
      <c r="AJ47" s="198">
        <f>ROUND(N(data!AV93), 0)</f>
        <v>9803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198</v>
      </c>
      <c r="B48" s="200" t="str">
        <f>RIGHT(data!$C$96,4)</f>
        <v>2024</v>
      </c>
      <c r="C48" s="12" t="str">
        <f>data!AW$55</f>
        <v>8200</v>
      </c>
      <c r="D48" s="12" t="s">
        <v>1164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198</v>
      </c>
      <c r="B49" s="200" t="str">
        <f>RIGHT(data!$C$96,4)</f>
        <v>2024</v>
      </c>
      <c r="C49" s="12" t="str">
        <f>data!AX$55</f>
        <v>8310</v>
      </c>
      <c r="D49" s="12" t="s">
        <v>1164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198</v>
      </c>
      <c r="B50" s="200" t="str">
        <f>RIGHT(data!$C$96,4)</f>
        <v>2024</v>
      </c>
      <c r="C50" s="12" t="str">
        <f>data!AY$55</f>
        <v>8320</v>
      </c>
      <c r="D50" s="12" t="s">
        <v>1164</v>
      </c>
      <c r="E50" s="198">
        <f>ROUND(N(data!AY59), 0)</f>
        <v>22782</v>
      </c>
      <c r="F50" s="271">
        <f>ROUND(N(data!AY60), 2)</f>
        <v>12.48</v>
      </c>
      <c r="G50" s="198">
        <f>ROUND(N(data!AY61), 0)</f>
        <v>546702</v>
      </c>
      <c r="H50" s="198">
        <f>ROUND(N(data!AY62), 0)</f>
        <v>147367</v>
      </c>
      <c r="I50" s="198">
        <f>ROUND(N(data!AY63), 0)</f>
        <v>0</v>
      </c>
      <c r="J50" s="198">
        <f>ROUND(N(data!AY64), 0)</f>
        <v>634614</v>
      </c>
      <c r="K50" s="198">
        <f>ROUND(N(data!AY65), 0)</f>
        <v>858</v>
      </c>
      <c r="L50" s="198">
        <f>ROUND(N(data!AY66), 0)</f>
        <v>6328</v>
      </c>
      <c r="M50" s="198">
        <f>ROUND(N(data!AY67), 0)</f>
        <v>49911</v>
      </c>
      <c r="N50" s="198">
        <f>ROUND(N(data!AY68), 0)</f>
        <v>1665</v>
      </c>
      <c r="O50" s="198">
        <f>ROUND(N(data!AY69), 0)</f>
        <v>29756</v>
      </c>
      <c r="P50" s="198">
        <f>ROUND(N(data!AY70), 0)</f>
        <v>0</v>
      </c>
      <c r="Q50" s="198">
        <f>ROUND(N(data!AY71), 0)</f>
        <v>20100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8427</v>
      </c>
      <c r="X50" s="198">
        <f>ROUND(N(data!AY78), 0)</f>
        <v>0</v>
      </c>
      <c r="Y50" s="198">
        <f>ROUND(N(data!AY79), 0)</f>
        <v>0</v>
      </c>
      <c r="Z50" s="198">
        <f>ROUND(N(data!AY80), 0)</f>
        <v>878</v>
      </c>
      <c r="AA50" s="198">
        <f>ROUND(N(data!AY81), 0)</f>
        <v>0</v>
      </c>
      <c r="AB50" s="198">
        <f>ROUND(N(data!AY82), 0)</f>
        <v>0</v>
      </c>
      <c r="AC50" s="198">
        <f>ROUND(N(data!AY83), 0)</f>
        <v>351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2589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198</v>
      </c>
      <c r="B51" s="200" t="str">
        <f>RIGHT(data!$C$96,4)</f>
        <v>2024</v>
      </c>
      <c r="C51" s="12" t="str">
        <f>data!AZ$55</f>
        <v>8330</v>
      </c>
      <c r="D51" s="12" t="s">
        <v>1164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198</v>
      </c>
      <c r="B52" s="200" t="str">
        <f>RIGHT(data!$C$96,4)</f>
        <v>2024</v>
      </c>
      <c r="C52" s="12" t="str">
        <f>data!BA$55</f>
        <v>8350</v>
      </c>
      <c r="D52" s="12" t="s">
        <v>1164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2462</v>
      </c>
      <c r="K52" s="198">
        <f>ROUND(N(data!BA65), 0)</f>
        <v>0</v>
      </c>
      <c r="L52" s="198">
        <f>ROUND(N(data!BA66), 0)</f>
        <v>0</v>
      </c>
      <c r="M52" s="198">
        <f>ROUND(N(data!BA67), 0)</f>
        <v>0</v>
      </c>
      <c r="N52" s="198">
        <f>ROUND(N(data!BA68), 0)</f>
        <v>0</v>
      </c>
      <c r="O52" s="198">
        <f>ROUND(N(data!BA69), 0)</f>
        <v>244254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244254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198</v>
      </c>
      <c r="B53" s="200" t="str">
        <f>RIGHT(data!$C$96,4)</f>
        <v>2024</v>
      </c>
      <c r="C53" s="12" t="str">
        <f>data!BB$55</f>
        <v>8360</v>
      </c>
      <c r="D53" s="12" t="s">
        <v>1164</v>
      </c>
      <c r="E53" s="198">
        <f>ROUND(N(data!BB59), 0)</f>
        <v>0</v>
      </c>
      <c r="F53" s="271">
        <f>ROUND(N(data!BB60), 2)</f>
        <v>1</v>
      </c>
      <c r="G53" s="198">
        <f>ROUND(N(data!BB61), 0)</f>
        <v>109526</v>
      </c>
      <c r="H53" s="198">
        <f>ROUND(N(data!BB62), 0)</f>
        <v>30235</v>
      </c>
      <c r="I53" s="198">
        <f>ROUND(N(data!BB63), 0)</f>
        <v>0</v>
      </c>
      <c r="J53" s="198">
        <f>ROUND(N(data!BB64), 0)</f>
        <v>535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198</v>
      </c>
      <c r="B54" s="200" t="str">
        <f>RIGHT(data!$C$96,4)</f>
        <v>2024</v>
      </c>
      <c r="C54" s="12" t="str">
        <f>data!BC$55</f>
        <v>8370</v>
      </c>
      <c r="D54" s="12" t="s">
        <v>1164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198</v>
      </c>
      <c r="B55" s="200" t="str">
        <f>RIGHT(data!$C$96,4)</f>
        <v>2024</v>
      </c>
      <c r="C55" s="12" t="str">
        <f>data!BD$55</f>
        <v>8420</v>
      </c>
      <c r="D55" s="12" t="s">
        <v>1164</v>
      </c>
      <c r="E55" s="198">
        <f>ROUND(N(data!BD59), 0)</f>
        <v>0</v>
      </c>
      <c r="F55" s="271">
        <f>ROUND(N(data!BD60), 2)</f>
        <v>4.6500000000000004</v>
      </c>
      <c r="G55" s="198">
        <f>ROUND(N(data!BD61), 0)</f>
        <v>180928</v>
      </c>
      <c r="H55" s="198">
        <f>ROUND(N(data!BD62), 0)</f>
        <v>47362</v>
      </c>
      <c r="I55" s="198">
        <f>ROUND(N(data!BD63), 0)</f>
        <v>0</v>
      </c>
      <c r="J55" s="198">
        <f>ROUND(N(data!BD64), 0)</f>
        <v>-165166</v>
      </c>
      <c r="K55" s="198">
        <f>ROUND(N(data!BD65), 0)</f>
        <v>0</v>
      </c>
      <c r="L55" s="198">
        <f>ROUND(N(data!BD66), 0)</f>
        <v>1955</v>
      </c>
      <c r="M55" s="198">
        <f>ROUND(N(data!BD67), 0)</f>
        <v>16309</v>
      </c>
      <c r="N55" s="198">
        <f>ROUND(N(data!BD68), 0)</f>
        <v>0</v>
      </c>
      <c r="O55" s="198">
        <f>ROUND(N(data!BD69), 0)</f>
        <v>9994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10016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-22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846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198</v>
      </c>
      <c r="B56" s="200" t="str">
        <f>RIGHT(data!$C$96,4)</f>
        <v>2024</v>
      </c>
      <c r="C56" s="12" t="str">
        <f>data!BE$55</f>
        <v>8430</v>
      </c>
      <c r="D56" s="12" t="s">
        <v>1164</v>
      </c>
      <c r="E56" s="198">
        <f>ROUND(N(data!BE59), 0)</f>
        <v>103666</v>
      </c>
      <c r="F56" s="271">
        <f>ROUND(N(data!BE60), 2)</f>
        <v>4.53</v>
      </c>
      <c r="G56" s="198">
        <f>ROUND(N(data!BE61), 0)</f>
        <v>333031</v>
      </c>
      <c r="H56" s="198">
        <f>ROUND(N(data!BE62), 0)</f>
        <v>90108</v>
      </c>
      <c r="I56" s="198">
        <f>ROUND(N(data!BE63), 0)</f>
        <v>0</v>
      </c>
      <c r="J56" s="198">
        <f>ROUND(N(data!BE64), 0)</f>
        <v>114794</v>
      </c>
      <c r="K56" s="198">
        <f>ROUND(N(data!BE65), 0)</f>
        <v>528560</v>
      </c>
      <c r="L56" s="198">
        <f>ROUND(N(data!BE66), 0)</f>
        <v>361275</v>
      </c>
      <c r="M56" s="198">
        <f>ROUND(N(data!BE67), 0)</f>
        <v>252304</v>
      </c>
      <c r="N56" s="198">
        <f>ROUND(N(data!BE68), 0)</f>
        <v>40380</v>
      </c>
      <c r="O56" s="198">
        <f>ROUND(N(data!BE69), 0)</f>
        <v>262075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255694</v>
      </c>
      <c r="X56" s="198">
        <f>ROUND(N(data!BE78), 0)</f>
        <v>0</v>
      </c>
      <c r="Y56" s="198">
        <f>ROUND(N(data!BE79), 0)</f>
        <v>0</v>
      </c>
      <c r="Z56" s="198">
        <f>ROUND(N(data!BE80), 0)</f>
        <v>2526</v>
      </c>
      <c r="AA56" s="198">
        <f>ROUND(N(data!BE81), 0)</f>
        <v>0</v>
      </c>
      <c r="AB56" s="198">
        <f>ROUND(N(data!BE82), 0)</f>
        <v>0</v>
      </c>
      <c r="AC56" s="198">
        <f>ROUND(N(data!BE83), 0)</f>
        <v>3855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12536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198</v>
      </c>
      <c r="B57" s="200" t="str">
        <f>RIGHT(data!$C$96,4)</f>
        <v>2024</v>
      </c>
      <c r="C57" s="12" t="str">
        <f>data!BF$55</f>
        <v>8460</v>
      </c>
      <c r="D57" s="12" t="s">
        <v>1164</v>
      </c>
      <c r="E57" s="198">
        <f>ROUND(N(data!BF59), 0)</f>
        <v>0</v>
      </c>
      <c r="F57" s="271">
        <f>ROUND(N(data!BF60), 2)</f>
        <v>19.14</v>
      </c>
      <c r="G57" s="198">
        <f>ROUND(N(data!BF61), 0)</f>
        <v>823573</v>
      </c>
      <c r="H57" s="198">
        <f>ROUND(N(data!BF62), 0)</f>
        <v>221104</v>
      </c>
      <c r="I57" s="198">
        <f>ROUND(N(data!BF63), 0)</f>
        <v>0</v>
      </c>
      <c r="J57" s="198">
        <f>ROUND(N(data!BF64), 0)</f>
        <v>124280</v>
      </c>
      <c r="K57" s="198">
        <f>ROUND(N(data!BF65), 0)</f>
        <v>0</v>
      </c>
      <c r="L57" s="198">
        <f>ROUND(N(data!BF66), 0)</f>
        <v>142310</v>
      </c>
      <c r="M57" s="198">
        <f>ROUND(N(data!BF67), 0)</f>
        <v>19645</v>
      </c>
      <c r="N57" s="198">
        <f>ROUND(N(data!BF68), 0)</f>
        <v>0</v>
      </c>
      <c r="O57" s="198">
        <f>ROUND(N(data!BF69), 0)</f>
        <v>8990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1180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7810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1019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198</v>
      </c>
      <c r="B58" s="200" t="str">
        <f>RIGHT(data!$C$96,4)</f>
        <v>2024</v>
      </c>
      <c r="C58" s="12" t="str">
        <f>data!BG$55</f>
        <v>8470</v>
      </c>
      <c r="D58" s="12" t="s">
        <v>1164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198</v>
      </c>
      <c r="B59" s="200" t="str">
        <f>RIGHT(data!$C$96,4)</f>
        <v>2024</v>
      </c>
      <c r="C59" s="12" t="str">
        <f>data!BH$55</f>
        <v>8480</v>
      </c>
      <c r="D59" s="12" t="s">
        <v>1164</v>
      </c>
      <c r="E59" s="198">
        <f>ROUND(N(data!BH59), 0)</f>
        <v>0</v>
      </c>
      <c r="F59" s="271">
        <f>ROUND(N(data!BH60), 2)</f>
        <v>11.83</v>
      </c>
      <c r="G59" s="198">
        <f>ROUND(N(data!BH61), 0)</f>
        <v>959742</v>
      </c>
      <c r="H59" s="198">
        <f>ROUND(N(data!BH62), 0)</f>
        <v>260622</v>
      </c>
      <c r="I59" s="198">
        <f>ROUND(N(data!BH63), 0)</f>
        <v>0</v>
      </c>
      <c r="J59" s="198">
        <f>ROUND(N(data!BH64), 0)</f>
        <v>225589</v>
      </c>
      <c r="K59" s="198">
        <f>ROUND(N(data!BH65), 0)</f>
        <v>117313</v>
      </c>
      <c r="L59" s="198">
        <f>ROUND(N(data!BH66), 0)</f>
        <v>-143404</v>
      </c>
      <c r="M59" s="198">
        <f>ROUND(N(data!BH67), 0)</f>
        <v>2159</v>
      </c>
      <c r="N59" s="198">
        <f>ROUND(N(data!BH68), 0)</f>
        <v>19160</v>
      </c>
      <c r="O59" s="198">
        <f>ROUND(N(data!BH69), 0)</f>
        <v>156957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14009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142948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112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198</v>
      </c>
      <c r="B60" s="200" t="str">
        <f>RIGHT(data!$C$96,4)</f>
        <v>2024</v>
      </c>
      <c r="C60" s="12" t="str">
        <f>data!BI$55</f>
        <v>8490</v>
      </c>
      <c r="D60" s="12" t="s">
        <v>1164</v>
      </c>
      <c r="E60" s="198">
        <f>ROUND(N(data!BI59), 0)</f>
        <v>0</v>
      </c>
      <c r="F60" s="271">
        <f>ROUND(N(data!BI60), 2)</f>
        <v>2.38</v>
      </c>
      <c r="G60" s="198">
        <f>ROUND(N(data!BI61), 0)</f>
        <v>200982</v>
      </c>
      <c r="H60" s="198">
        <f>ROUND(N(data!BI62), 0)</f>
        <v>56031</v>
      </c>
      <c r="I60" s="198">
        <f>ROUND(N(data!BI63), 0)</f>
        <v>0</v>
      </c>
      <c r="J60" s="198">
        <f>ROUND(N(data!BI64), 0)</f>
        <v>33552</v>
      </c>
      <c r="K60" s="198">
        <f>ROUND(N(data!BI65), 0)</f>
        <v>1402</v>
      </c>
      <c r="L60" s="198">
        <f>ROUND(N(data!BI66), 0)</f>
        <v>162</v>
      </c>
      <c r="M60" s="198">
        <f>ROUND(N(data!BI67), 0)</f>
        <v>0</v>
      </c>
      <c r="N60" s="198">
        <f>ROUND(N(data!BI68), 0)</f>
        <v>0</v>
      </c>
      <c r="O60" s="198">
        <f>ROUND(N(data!BI69), 0)</f>
        <v>14158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14158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198</v>
      </c>
      <c r="B61" s="200" t="str">
        <f>RIGHT(data!$C$96,4)</f>
        <v>2024</v>
      </c>
      <c r="C61" s="12" t="str">
        <f>data!BJ$55</f>
        <v>8510</v>
      </c>
      <c r="D61" s="12" t="s">
        <v>1164</v>
      </c>
      <c r="E61" s="198">
        <f>ROUND(N(data!BJ59), 0)</f>
        <v>0</v>
      </c>
      <c r="F61" s="271">
        <f>ROUND(N(data!BJ60), 2)</f>
        <v>4.07</v>
      </c>
      <c r="G61" s="198">
        <f>ROUND(N(data!BJ61), 0)</f>
        <v>277995</v>
      </c>
      <c r="H61" s="198">
        <f>ROUND(N(data!BJ62), 0)</f>
        <v>73818</v>
      </c>
      <c r="I61" s="198">
        <f>ROUND(N(data!BJ63), 0)</f>
        <v>0</v>
      </c>
      <c r="J61" s="198">
        <f>ROUND(N(data!BJ64), 0)</f>
        <v>4698</v>
      </c>
      <c r="K61" s="198">
        <f>ROUND(N(data!BJ65), 0)</f>
        <v>0</v>
      </c>
      <c r="L61" s="198">
        <f>ROUND(N(data!BJ66), 0)</f>
        <v>171765</v>
      </c>
      <c r="M61" s="198">
        <f>ROUND(N(data!BJ67), 0)</f>
        <v>0</v>
      </c>
      <c r="N61" s="198">
        <f>ROUND(N(data!BJ68), 0)</f>
        <v>0</v>
      </c>
      <c r="O61" s="198">
        <f>ROUND(N(data!BJ69), 0)</f>
        <v>28774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27125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1649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198</v>
      </c>
      <c r="B62" s="200" t="str">
        <f>RIGHT(data!$C$96,4)</f>
        <v>2024</v>
      </c>
      <c r="C62" s="12" t="str">
        <f>data!BK$55</f>
        <v>8530</v>
      </c>
      <c r="D62" s="12" t="s">
        <v>1164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530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198</v>
      </c>
      <c r="B63" s="200" t="str">
        <f>RIGHT(data!$C$96,4)</f>
        <v>2024</v>
      </c>
      <c r="C63" s="12" t="str">
        <f>data!BL$55</f>
        <v>8560</v>
      </c>
      <c r="D63" s="12" t="s">
        <v>1164</v>
      </c>
      <c r="E63" s="198">
        <f>ROUND(N(data!BL59), 0)</f>
        <v>0</v>
      </c>
      <c r="F63" s="271">
        <f>ROUND(N(data!BL60), 2)</f>
        <v>19.29</v>
      </c>
      <c r="G63" s="198">
        <f>ROUND(N(data!BL61), 0)</f>
        <v>874188</v>
      </c>
      <c r="H63" s="198">
        <f>ROUND(N(data!BL62), 0)</f>
        <v>228033</v>
      </c>
      <c r="I63" s="198">
        <f>ROUND(N(data!BL63), 0)</f>
        <v>0</v>
      </c>
      <c r="J63" s="198">
        <f>ROUND(N(data!BL64), 0)</f>
        <v>16664</v>
      </c>
      <c r="K63" s="198">
        <f>ROUND(N(data!BL65), 0)</f>
        <v>0</v>
      </c>
      <c r="L63" s="198">
        <f>ROUND(N(data!BL66), 0)</f>
        <v>2292</v>
      </c>
      <c r="M63" s="198">
        <f>ROUND(N(data!BL67), 0)</f>
        <v>27703</v>
      </c>
      <c r="N63" s="198">
        <f>ROUND(N(data!BL68), 0)</f>
        <v>0</v>
      </c>
      <c r="O63" s="198">
        <f>ROUND(N(data!BL69), 0)</f>
        <v>314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314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1437</v>
      </c>
      <c r="AH63" s="198">
        <f>ROUND(N(data!BL91), 0)</f>
        <v>0</v>
      </c>
      <c r="AI63" s="198">
        <f>ROUND(N(data!BL92), 0)</f>
        <v>908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198</v>
      </c>
      <c r="B64" s="200" t="str">
        <f>RIGHT(data!$C$96,4)</f>
        <v>2024</v>
      </c>
      <c r="C64" s="12" t="str">
        <f>data!BM$55</f>
        <v>8590</v>
      </c>
      <c r="D64" s="12" t="s">
        <v>1164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147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198</v>
      </c>
      <c r="B65" s="200" t="str">
        <f>RIGHT(data!$C$96,4)</f>
        <v>2024</v>
      </c>
      <c r="C65" s="12" t="str">
        <f>data!BN$55</f>
        <v>8610</v>
      </c>
      <c r="D65" s="12" t="s">
        <v>1164</v>
      </c>
      <c r="E65" s="198">
        <f>ROUND(N(data!BN59), 0)</f>
        <v>0</v>
      </c>
      <c r="F65" s="271">
        <f>ROUND(N(data!BN60), 2)</f>
        <v>0.8</v>
      </c>
      <c r="G65" s="198">
        <f>ROUND(N(data!BN61), 0)</f>
        <v>64731</v>
      </c>
      <c r="H65" s="198">
        <f>ROUND(N(data!BN62), 0)</f>
        <v>18540</v>
      </c>
      <c r="I65" s="198">
        <f>ROUND(N(data!BN63), 0)</f>
        <v>0</v>
      </c>
      <c r="J65" s="198">
        <f>ROUND(N(data!BN64), 0)</f>
        <v>9494</v>
      </c>
      <c r="K65" s="198">
        <f>ROUND(N(data!BN65), 0)</f>
        <v>0</v>
      </c>
      <c r="L65" s="198">
        <f>ROUND(N(data!BN66), 0)</f>
        <v>16062</v>
      </c>
      <c r="M65" s="198">
        <f>ROUND(N(data!BN67), 0)</f>
        <v>85441</v>
      </c>
      <c r="N65" s="198">
        <f>ROUND(N(data!BN68), 0)</f>
        <v>70707</v>
      </c>
      <c r="O65" s="198">
        <f>ROUND(N(data!BN69), 0)</f>
        <v>18682449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164874</v>
      </c>
      <c r="V65" s="198">
        <f>ROUND(N(data!BN76), 0)</f>
        <v>0</v>
      </c>
      <c r="W65" s="198">
        <f>ROUND(N(data!BN77), 0)</f>
        <v>0</v>
      </c>
      <c r="X65" s="198">
        <f>ROUND(N(data!BN78), 0)</f>
        <v>17378936</v>
      </c>
      <c r="Y65" s="198">
        <f>ROUND(N(data!BN79), 0)</f>
        <v>3322</v>
      </c>
      <c r="Z65" s="198">
        <f>ROUND(N(data!BN80), 0)</f>
        <v>2950</v>
      </c>
      <c r="AA65" s="198">
        <f>ROUND(N(data!BN81), 0)</f>
        <v>0</v>
      </c>
      <c r="AB65" s="198">
        <f>ROUND(N(data!BN82), 0)</f>
        <v>0</v>
      </c>
      <c r="AC65" s="198">
        <f>ROUND(N(data!BN83), 0)</f>
        <v>1132367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4432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198</v>
      </c>
      <c r="B66" s="200" t="str">
        <f>RIGHT(data!$C$96,4)</f>
        <v>2024</v>
      </c>
      <c r="C66" s="12" t="str">
        <f>data!BO$55</f>
        <v>8620</v>
      </c>
      <c r="D66" s="12" t="s">
        <v>1164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2200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198</v>
      </c>
      <c r="B67" s="200" t="str">
        <f>RIGHT(data!$C$96,4)</f>
        <v>2024</v>
      </c>
      <c r="C67" s="12" t="str">
        <f>data!BP$55</f>
        <v>8630</v>
      </c>
      <c r="D67" s="12" t="s">
        <v>1164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198</v>
      </c>
      <c r="B68" s="200" t="str">
        <f>RIGHT(data!$C$96,4)</f>
        <v>2024</v>
      </c>
      <c r="C68" s="12" t="str">
        <f>data!BQ$55</f>
        <v>8640</v>
      </c>
      <c r="D68" s="12" t="s">
        <v>1164</v>
      </c>
      <c r="E68" s="198">
        <f>ROUND(N(data!BQ59), 0)</f>
        <v>0</v>
      </c>
      <c r="F68" s="271">
        <f>ROUND(N(data!BQ60), 2)</f>
        <v>2.35</v>
      </c>
      <c r="G68" s="198">
        <f>ROUND(N(data!BQ61), 0)</f>
        <v>222903</v>
      </c>
      <c r="H68" s="198">
        <f>ROUND(N(data!BQ62), 0)</f>
        <v>62547</v>
      </c>
      <c r="I68" s="198">
        <f>ROUND(N(data!BQ63), 0)</f>
        <v>0</v>
      </c>
      <c r="J68" s="198">
        <f>ROUND(N(data!BQ64), 0)</f>
        <v>5950</v>
      </c>
      <c r="K68" s="198">
        <f>ROUND(N(data!BQ65), 0)</f>
        <v>648</v>
      </c>
      <c r="L68" s="198">
        <f>ROUND(N(data!BQ66), 0)</f>
        <v>6325</v>
      </c>
      <c r="M68" s="198">
        <f>ROUND(N(data!BQ67), 0)</f>
        <v>0</v>
      </c>
      <c r="N68" s="198">
        <f>ROUND(N(data!BQ68), 0)</f>
        <v>0</v>
      </c>
      <c r="O68" s="198">
        <f>ROUND(N(data!BQ69), 0)</f>
        <v>11791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10826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965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198</v>
      </c>
      <c r="B69" s="200" t="str">
        <f>RIGHT(data!$C$96,4)</f>
        <v>2024</v>
      </c>
      <c r="C69" s="12" t="str">
        <f>data!BR$55</f>
        <v>8650</v>
      </c>
      <c r="D69" s="12" t="s">
        <v>1164</v>
      </c>
      <c r="E69" s="198">
        <f>ROUND(N(data!BR59), 0)</f>
        <v>0</v>
      </c>
      <c r="F69" s="271">
        <f>ROUND(N(data!BR60), 2)</f>
        <v>0.01</v>
      </c>
      <c r="G69" s="198">
        <f>ROUND(N(data!BR61), 0)</f>
        <v>743</v>
      </c>
      <c r="H69" s="198">
        <f>ROUND(N(data!BR62), 0)</f>
        <v>214</v>
      </c>
      <c r="I69" s="198">
        <f>ROUND(N(data!BR63), 0)</f>
        <v>0</v>
      </c>
      <c r="J69" s="198">
        <f>ROUND(N(data!BR64), 0)</f>
        <v>5643</v>
      </c>
      <c r="K69" s="198">
        <f>ROUND(N(data!BR65), 0)</f>
        <v>0</v>
      </c>
      <c r="L69" s="198">
        <f>ROUND(N(data!BR66), 0)</f>
        <v>45978</v>
      </c>
      <c r="M69" s="198">
        <f>ROUND(N(data!BR67), 0)</f>
        <v>46461</v>
      </c>
      <c r="N69" s="198">
        <f>ROUND(N(data!BR68), 0)</f>
        <v>0</v>
      </c>
      <c r="O69" s="198">
        <f>ROUND(N(data!BR69), 0)</f>
        <v>26500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26500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2410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198</v>
      </c>
      <c r="B70" s="200" t="str">
        <f>RIGHT(data!$C$96,4)</f>
        <v>2024</v>
      </c>
      <c r="C70" s="12" t="str">
        <f>data!BS$55</f>
        <v>8660</v>
      </c>
      <c r="D70" s="12" t="s">
        <v>1164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198</v>
      </c>
      <c r="B71" s="200" t="str">
        <f>RIGHT(data!$C$96,4)</f>
        <v>2024</v>
      </c>
      <c r="C71" s="12" t="str">
        <f>data!BT$55</f>
        <v>8670</v>
      </c>
      <c r="D71" s="12" t="s">
        <v>1164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198</v>
      </c>
      <c r="B72" s="200" t="str">
        <f>RIGHT(data!$C$96,4)</f>
        <v>2024</v>
      </c>
      <c r="C72" s="12" t="str">
        <f>data!BU$55</f>
        <v>8680</v>
      </c>
      <c r="D72" s="12" t="s">
        <v>1164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198</v>
      </c>
      <c r="B73" s="200" t="str">
        <f>RIGHT(data!$C$96,4)</f>
        <v>2024</v>
      </c>
      <c r="C73" s="12" t="str">
        <f>data!BV$55</f>
        <v>8690</v>
      </c>
      <c r="D73" s="12" t="s">
        <v>1164</v>
      </c>
      <c r="E73" s="198">
        <f>ROUND(N(data!BV59), 0)</f>
        <v>0</v>
      </c>
      <c r="F73" s="271">
        <f>ROUND(N(data!BV60), 2)</f>
        <v>5.49</v>
      </c>
      <c r="G73" s="198">
        <f>ROUND(N(data!BV61), 0)</f>
        <v>251143</v>
      </c>
      <c r="H73" s="198">
        <f>ROUND(N(data!BV62), 0)</f>
        <v>67708</v>
      </c>
      <c r="I73" s="198">
        <f>ROUND(N(data!BV63), 0)</f>
        <v>0</v>
      </c>
      <c r="J73" s="198">
        <f>ROUND(N(data!BV64), 0)</f>
        <v>71009</v>
      </c>
      <c r="K73" s="198">
        <f>ROUND(N(data!BV65), 0)</f>
        <v>0</v>
      </c>
      <c r="L73" s="198">
        <f>ROUND(N(data!BV66), 0)</f>
        <v>43869</v>
      </c>
      <c r="M73" s="198">
        <f>ROUND(N(data!BV67), 0)</f>
        <v>71021</v>
      </c>
      <c r="N73" s="198">
        <f>ROUND(N(data!BV68), 0)</f>
        <v>8527</v>
      </c>
      <c r="O73" s="198">
        <f>ROUND(N(data!BV69), 0)</f>
        <v>22953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22953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3684</v>
      </c>
      <c r="AH73" s="198">
        <f>ROUND(N(data!BV91), 0)</f>
        <v>0</v>
      </c>
      <c r="AI73" s="198">
        <f>ROUND(N(data!BV92), 0)</f>
        <v>148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198</v>
      </c>
      <c r="B74" s="200" t="str">
        <f>RIGHT(data!$C$96,4)</f>
        <v>2024</v>
      </c>
      <c r="C74" s="12" t="str">
        <f>data!BW$55</f>
        <v>8700</v>
      </c>
      <c r="D74" s="12" t="s">
        <v>1164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198</v>
      </c>
      <c r="B75" s="200" t="str">
        <f>RIGHT(data!$C$96,4)</f>
        <v>2024</v>
      </c>
      <c r="C75" s="12" t="str">
        <f>data!BX$55</f>
        <v>8710</v>
      </c>
      <c r="D75" s="12" t="s">
        <v>1164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198</v>
      </c>
      <c r="B76" s="200" t="str">
        <f>RIGHT(data!$C$96,4)</f>
        <v>2024</v>
      </c>
      <c r="C76" s="12" t="str">
        <f>data!BY$55</f>
        <v>8720</v>
      </c>
      <c r="D76" s="12" t="s">
        <v>1164</v>
      </c>
      <c r="E76" s="198">
        <f>ROUND(N(data!BY59), 0)</f>
        <v>0</v>
      </c>
      <c r="F76" s="271">
        <f>ROUND(N(data!BY60), 2)</f>
        <v>4.4400000000000004</v>
      </c>
      <c r="G76" s="198">
        <f>ROUND(N(data!BY61), 0)</f>
        <v>536442</v>
      </c>
      <c r="H76" s="198">
        <f>ROUND(N(data!BY62), 0)</f>
        <v>138825</v>
      </c>
      <c r="I76" s="198">
        <f>ROUND(N(data!BY63), 0)</f>
        <v>0</v>
      </c>
      <c r="J76" s="198">
        <f>ROUND(N(data!BY64), 0)</f>
        <v>1895</v>
      </c>
      <c r="K76" s="198">
        <f>ROUND(N(data!BY65), 0)</f>
        <v>0</v>
      </c>
      <c r="L76" s="198">
        <f>ROUND(N(data!BY66), 0)</f>
        <v>85246</v>
      </c>
      <c r="M76" s="198">
        <f>ROUND(N(data!BY67), 0)</f>
        <v>28744</v>
      </c>
      <c r="N76" s="198">
        <f>ROUND(N(data!BY68), 0)</f>
        <v>0</v>
      </c>
      <c r="O76" s="198">
        <f>ROUND(N(data!BY69), 0)</f>
        <v>343905</v>
      </c>
      <c r="P76" s="198">
        <f>ROUND(N(data!BY70), 0)</f>
        <v>0</v>
      </c>
      <c r="Q76" s="198">
        <f>ROUND(N(data!BY71), 0)</f>
        <v>318132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4569</v>
      </c>
      <c r="AA76" s="198">
        <f>ROUND(N(data!BY81), 0)</f>
        <v>0</v>
      </c>
      <c r="AB76" s="198">
        <f>ROUND(N(data!BY82), 0)</f>
        <v>0</v>
      </c>
      <c r="AC76" s="198">
        <f>ROUND(N(data!BY83), 0)</f>
        <v>21204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1491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198</v>
      </c>
      <c r="B77" s="200" t="str">
        <f>RIGHT(data!$C$96,4)</f>
        <v>2024</v>
      </c>
      <c r="C77" s="12" t="str">
        <f>data!BZ$55</f>
        <v>8730</v>
      </c>
      <c r="D77" s="12" t="s">
        <v>1164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198</v>
      </c>
      <c r="B78" s="200" t="str">
        <f>RIGHT(data!$C$96,4)</f>
        <v>2024</v>
      </c>
      <c r="C78" s="12" t="str">
        <f>data!CA$55</f>
        <v>8740</v>
      </c>
      <c r="D78" s="12" t="s">
        <v>1164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198</v>
      </c>
      <c r="B79" s="200" t="str">
        <f>RIGHT(data!$C$96,4)</f>
        <v>2024</v>
      </c>
      <c r="C79" s="12" t="str">
        <f>data!CB$55</f>
        <v>8770</v>
      </c>
      <c r="D79" s="12" t="s">
        <v>1164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198</v>
      </c>
      <c r="B80" s="200" t="str">
        <f>RIGHT(data!$C$96,4)</f>
        <v>2024</v>
      </c>
      <c r="C80" s="12" t="str">
        <f>data!CC$55</f>
        <v>8790</v>
      </c>
      <c r="D80" s="12" t="s">
        <v>1164</v>
      </c>
      <c r="E80" s="198">
        <f>ROUND(N(data!CC59), 0)</f>
        <v>0</v>
      </c>
      <c r="F80" s="271">
        <f>ROUND(N(data!CC60), 2)</f>
        <v>0.12</v>
      </c>
      <c r="G80" s="198">
        <f>ROUND(N(data!CC61), 0)</f>
        <v>40767</v>
      </c>
      <c r="H80" s="198">
        <f>ROUND(N(data!CC62), 0)</f>
        <v>9182</v>
      </c>
      <c r="I80" s="198">
        <f>ROUND(N(data!CC63), 0)</f>
        <v>4388</v>
      </c>
      <c r="J80" s="198">
        <f>ROUND(N(data!CC64), 0)</f>
        <v>937</v>
      </c>
      <c r="K80" s="198">
        <f>ROUND(N(data!CC65), 0)</f>
        <v>0</v>
      </c>
      <c r="L80" s="198">
        <f>ROUND(N(data!CC66), 0)</f>
        <v>174845</v>
      </c>
      <c r="M80" s="198">
        <f>ROUND(N(data!CC67), 0)</f>
        <v>140789</v>
      </c>
      <c r="N80" s="198">
        <f>ROUND(N(data!CC68), 0)</f>
        <v>101</v>
      </c>
      <c r="O80" s="198">
        <f>ROUND(N(data!CC69), 0)</f>
        <v>1236665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306499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14847</v>
      </c>
      <c r="AA80" s="198">
        <f>ROUND(N(data!CC81), 0)</f>
        <v>710783</v>
      </c>
      <c r="AB80" s="198">
        <f>ROUND(N(data!CC82), 0)</f>
        <v>0</v>
      </c>
      <c r="AC80" s="198">
        <f>ROUND(N(data!CC83), 0)</f>
        <v>204536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7303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topLeftCell="A13"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696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697</v>
      </c>
      <c r="G3" s="10"/>
      <c r="J3" s="99"/>
    </row>
    <row r="4" spans="2:10" x14ac:dyDescent="0.25">
      <c r="B4" s="98"/>
      <c r="F4" s="10" t="s">
        <v>698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699</v>
      </c>
      <c r="G8" s="10"/>
      <c r="J8" s="99"/>
    </row>
    <row r="9" spans="2:10" x14ac:dyDescent="0.25">
      <c r="B9" s="95"/>
      <c r="C9" s="96"/>
      <c r="D9" s="96"/>
      <c r="E9" s="96"/>
      <c r="F9" s="103" t="s">
        <v>700</v>
      </c>
      <c r="G9" s="103"/>
      <c r="H9" s="96"/>
      <c r="I9" s="96"/>
      <c r="J9" s="97"/>
    </row>
    <row r="10" spans="2:10" x14ac:dyDescent="0.25">
      <c r="B10" s="98"/>
      <c r="F10" s="10" t="s">
        <v>701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702</v>
      </c>
      <c r="G12" s="10"/>
      <c r="J12" s="99"/>
    </row>
    <row r="13" spans="2:10" x14ac:dyDescent="0.25">
      <c r="B13" s="98"/>
      <c r="F13" s="10" t="s">
        <v>703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704</v>
      </c>
      <c r="J16" s="99"/>
    </row>
    <row r="17" spans="2:10" x14ac:dyDescent="0.25">
      <c r="B17" s="95"/>
      <c r="C17" s="104" t="s">
        <v>705</v>
      </c>
      <c r="D17" s="104"/>
      <c r="E17" s="96" t="str">
        <f>+data!C98</f>
        <v>Astria Sunnyside Hospital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706</v>
      </c>
      <c r="D18" s="53"/>
      <c r="E18" s="11" t="str">
        <f>+"H-"&amp;data!C97</f>
        <v>H-198</v>
      </c>
      <c r="F18" s="10"/>
      <c r="G18" s="10"/>
      <c r="J18" s="99"/>
    </row>
    <row r="19" spans="2:10" x14ac:dyDescent="0.25">
      <c r="B19" s="98"/>
      <c r="C19" s="53" t="s">
        <v>707</v>
      </c>
      <c r="D19" s="53"/>
      <c r="E19" s="11" t="str">
        <f>+data!C99</f>
        <v>PO Box 719</v>
      </c>
      <c r="F19" s="10"/>
      <c r="G19" s="10"/>
      <c r="J19" s="99"/>
    </row>
    <row r="20" spans="2:10" x14ac:dyDescent="0.25">
      <c r="B20" s="98"/>
      <c r="C20" s="53" t="s">
        <v>708</v>
      </c>
      <c r="D20" s="53"/>
      <c r="E20" s="11" t="str">
        <f>+data!C99</f>
        <v>PO Box 719</v>
      </c>
      <c r="F20" s="10"/>
      <c r="G20" s="10"/>
      <c r="J20" s="99"/>
    </row>
    <row r="21" spans="2:10" x14ac:dyDescent="0.25">
      <c r="B21" s="98"/>
      <c r="C21" s="53" t="s">
        <v>709</v>
      </c>
      <c r="D21" s="53"/>
      <c r="E21" s="11" t="str">
        <f>CONCATENATE(+data!C100,", ",+data!C101)</f>
        <v xml:space="preserve">Sunnyside , WA 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710</v>
      </c>
      <c r="G26" s="106"/>
      <c r="H26" s="106"/>
      <c r="I26" s="106"/>
      <c r="J26" s="108"/>
    </row>
    <row r="27" spans="2:10" x14ac:dyDescent="0.25">
      <c r="B27" s="109" t="s">
        <v>711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712</v>
      </c>
      <c r="J29" s="99"/>
    </row>
    <row r="30" spans="2:10" x14ac:dyDescent="0.25">
      <c r="B30" s="112" t="s">
        <v>713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714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715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716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717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715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716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PwLiL1Nx9qWmBH5F5YoMdV5Fst4kcKUqRwKqH2l4WowZlVi7NnC/q431j8eseQQFNUMAJZUgB1kSpFGlomlkAQ==" saltValue="npaY3Adzx2jJDfdbruLkMg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>
      <selection activeCell="I42" sqref="I42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718</v>
      </c>
    </row>
    <row r="3" spans="1:13" x14ac:dyDescent="0.25">
      <c r="A3" s="54"/>
    </row>
    <row r="4" spans="1:13" x14ac:dyDescent="0.25">
      <c r="A4" s="149" t="s">
        <v>719</v>
      </c>
    </row>
    <row r="5" spans="1:13" x14ac:dyDescent="0.25">
      <c r="A5" s="149" t="s">
        <v>720</v>
      </c>
    </row>
    <row r="6" spans="1:13" x14ac:dyDescent="0.25">
      <c r="A6" s="149" t="s">
        <v>721</v>
      </c>
    </row>
    <row r="7" spans="1:13" x14ac:dyDescent="0.25">
      <c r="A7" s="149"/>
    </row>
    <row r="8" spans="1:13" x14ac:dyDescent="0.25">
      <c r="A8" s="2" t="s">
        <v>722</v>
      </c>
    </row>
    <row r="9" spans="1:13" x14ac:dyDescent="0.25">
      <c r="A9" s="149" t="s">
        <v>26</v>
      </c>
    </row>
    <row r="12" spans="1:13" x14ac:dyDescent="0.25">
      <c r="A12" s="1" t="str">
        <f>data!C97</f>
        <v>198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723</v>
      </c>
      <c r="C13" s="228" t="s">
        <v>723</v>
      </c>
      <c r="D13" s="5" t="s">
        <v>724</v>
      </c>
      <c r="E13" s="5" t="s">
        <v>724</v>
      </c>
      <c r="F13" s="3" t="s">
        <v>725</v>
      </c>
      <c r="G13" s="3" t="s">
        <v>725</v>
      </c>
      <c r="H13" s="3" t="s">
        <v>726</v>
      </c>
    </row>
    <row r="14" spans="1:13" x14ac:dyDescent="0.25">
      <c r="A14" s="1" t="s">
        <v>727</v>
      </c>
      <c r="B14" s="228" t="s">
        <v>360</v>
      </c>
      <c r="C14" s="228" t="s">
        <v>360</v>
      </c>
      <c r="D14" s="4" t="s">
        <v>728</v>
      </c>
      <c r="E14" s="4" t="s">
        <v>728</v>
      </c>
      <c r="F14" s="3" t="s">
        <v>729</v>
      </c>
      <c r="G14" s="3" t="s">
        <v>729</v>
      </c>
      <c r="H14" s="3" t="s">
        <v>730</v>
      </c>
      <c r="I14" s="8" t="s">
        <v>731</v>
      </c>
      <c r="J14" s="55" t="s">
        <v>732</v>
      </c>
    </row>
    <row r="15" spans="1:13" x14ac:dyDescent="0.25">
      <c r="A15" s="1" t="s">
        <v>733</v>
      </c>
      <c r="B15" s="228">
        <f>ROUND(N('Prior Year'!C85), 0)</f>
        <v>2488536</v>
      </c>
      <c r="C15" s="228">
        <f>data!C85</f>
        <v>2462816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734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735</v>
      </c>
      <c r="B17" s="228">
        <f>ROUND(N('Prior Year'!E85), 0)</f>
        <v>8712943</v>
      </c>
      <c r="C17" s="228">
        <f>data!E85</f>
        <v>8544374</v>
      </c>
      <c r="D17" s="228">
        <f>ROUND(N('Prior Year'!E59), 0)</f>
        <v>0</v>
      </c>
      <c r="E17" s="1">
        <f>data!E59</f>
        <v>0</v>
      </c>
      <c r="F17" s="205" t="str">
        <f t="shared" si="0"/>
        <v/>
      </c>
      <c r="G17" s="205" t="str">
        <f t="shared" si="1"/>
        <v/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736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737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738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739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740</v>
      </c>
      <c r="B22" s="228">
        <f>ROUND(N('Prior Year'!J85), 0)</f>
        <v>5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741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742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743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744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745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746</v>
      </c>
      <c r="B28" s="228">
        <f>ROUND(N('Prior Year'!P85), 0)</f>
        <v>7417690</v>
      </c>
      <c r="C28" s="228">
        <f>data!P85</f>
        <v>8878921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747</v>
      </c>
      <c r="B29" s="228">
        <f>ROUND(N('Prior Year'!Q85), 0)</f>
        <v>823606</v>
      </c>
      <c r="C29" s="228">
        <f>data!Q85</f>
        <v>770338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748</v>
      </c>
      <c r="B30" s="228">
        <f>ROUND(N('Prior Year'!R85), 0)</f>
        <v>1184987</v>
      </c>
      <c r="C30" s="228">
        <f>data!R85</f>
        <v>1358217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749</v>
      </c>
      <c r="B31" s="228">
        <f>ROUND(N('Prior Year'!S85), 0)</f>
        <v>222297</v>
      </c>
      <c r="C31" s="228">
        <f>data!S85</f>
        <v>366472</v>
      </c>
      <c r="D31" s="228" t="s">
        <v>750</v>
      </c>
      <c r="E31" s="4" t="s">
        <v>750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751</v>
      </c>
      <c r="B32" s="228">
        <f>ROUND(N('Prior Year'!T85), 0)</f>
        <v>138467</v>
      </c>
      <c r="C32" s="228">
        <f>data!T85</f>
        <v>65260</v>
      </c>
      <c r="D32" s="228" t="s">
        <v>750</v>
      </c>
      <c r="E32" s="4" t="s">
        <v>750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752</v>
      </c>
      <c r="B33" s="228">
        <f>ROUND(N('Prior Year'!U85), 0)</f>
        <v>5246015</v>
      </c>
      <c r="C33" s="228">
        <f>data!U85</f>
        <v>5186477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753</v>
      </c>
      <c r="B34" s="228">
        <f>ROUND(N('Prior Year'!V85), 0)</f>
        <v>220808</v>
      </c>
      <c r="C34" s="228">
        <f>data!V85</f>
        <v>247940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754</v>
      </c>
      <c r="B35" s="228">
        <f>ROUND(N('Prior Year'!W85), 0)</f>
        <v>310078</v>
      </c>
      <c r="C35" s="228">
        <f>data!W85</f>
        <v>335964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755</v>
      </c>
      <c r="B36" s="228">
        <f>ROUND(N('Prior Year'!X85), 0)</f>
        <v>391369</v>
      </c>
      <c r="C36" s="228">
        <f>data!X85</f>
        <v>402520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756</v>
      </c>
      <c r="B37" s="228">
        <f>ROUND(N('Prior Year'!Y85), 0)</f>
        <v>5231769</v>
      </c>
      <c r="C37" s="228">
        <f>data!Y85</f>
        <v>4771303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757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758</v>
      </c>
      <c r="B39" s="228">
        <f>ROUND(N('Prior Year'!AA85), 0)</f>
        <v>234322</v>
      </c>
      <c r="C39" s="228">
        <f>data!AA85</f>
        <v>198899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759</v>
      </c>
      <c r="B40" s="228">
        <f>ROUND(N('Prior Year'!AB85), 0)</f>
        <v>8217573</v>
      </c>
      <c r="C40" s="228">
        <f>data!AB85</f>
        <v>11391785</v>
      </c>
      <c r="D40" s="228" t="s">
        <v>750</v>
      </c>
      <c r="E40" s="4" t="s">
        <v>750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760</v>
      </c>
      <c r="B41" s="228">
        <f>ROUND(N('Prior Year'!AC85), 0)</f>
        <v>981487</v>
      </c>
      <c r="C41" s="228">
        <f>data!AC85</f>
        <v>1150173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761</v>
      </c>
      <c r="B42" s="228">
        <f>ROUND(N('Prior Year'!AD85), 0)</f>
        <v>486192</v>
      </c>
      <c r="C42" s="228">
        <f>data!AD85</f>
        <v>486676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762</v>
      </c>
      <c r="B43" s="228">
        <f>ROUND(N('Prior Year'!AE85), 0)</f>
        <v>834728</v>
      </c>
      <c r="C43" s="228">
        <f>data!AE85</f>
        <v>771792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763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764</v>
      </c>
      <c r="B45" s="228">
        <f>ROUND(N('Prior Year'!AG85), 0)</f>
        <v>7386288</v>
      </c>
      <c r="C45" s="228">
        <f>data!AG85</f>
        <v>7192940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765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766</v>
      </c>
      <c r="B47" s="228">
        <f>ROUND(N('Prior Year'!AI85), 0)</f>
        <v>937922</v>
      </c>
      <c r="C47" s="228">
        <f>data!AI85</f>
        <v>1229352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767</v>
      </c>
      <c r="B48" s="228">
        <f>ROUND(N('Prior Year'!AJ85), 0)</f>
        <v>17165670</v>
      </c>
      <c r="C48" s="228">
        <f>data!AJ85</f>
        <v>18139488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768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769</v>
      </c>
      <c r="B50" s="228">
        <f>ROUND(N('Prior Year'!AL85), 0)</f>
        <v>476794</v>
      </c>
      <c r="C50" s="228">
        <f>data!AL85</f>
        <v>476599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770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771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772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773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774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775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776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777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778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779</v>
      </c>
      <c r="B60" s="228">
        <f>ROUND(N('Prior Year'!AV85), 0)</f>
        <v>3466226</v>
      </c>
      <c r="C60" s="228">
        <f>data!AV85</f>
        <v>4604624</v>
      </c>
      <c r="D60" s="228" t="s">
        <v>750</v>
      </c>
      <c r="E60" s="4" t="s">
        <v>750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780</v>
      </c>
      <c r="B61" s="228">
        <f>ROUND(N('Prior Year'!AW85), 0)</f>
        <v>0</v>
      </c>
      <c r="C61" s="228">
        <f>data!AW85</f>
        <v>0</v>
      </c>
      <c r="D61" s="228" t="s">
        <v>750</v>
      </c>
      <c r="E61" s="4" t="s">
        <v>750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781</v>
      </c>
      <c r="B62" s="228">
        <f>ROUND(N('Prior Year'!AX85), 0)</f>
        <v>0</v>
      </c>
      <c r="C62" s="228">
        <f>data!AX85</f>
        <v>0</v>
      </c>
      <c r="D62" s="228" t="s">
        <v>750</v>
      </c>
      <c r="E62" s="4" t="s">
        <v>750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782</v>
      </c>
      <c r="B63" s="228">
        <f>ROUND(N('Prior Year'!AY85), 0)</f>
        <v>1201786</v>
      </c>
      <c r="C63" s="228">
        <f>data!AY85</f>
        <v>1417201</v>
      </c>
      <c r="D63" s="228">
        <f>ROUND(N('Prior Year'!AY59), 0)</f>
        <v>24961</v>
      </c>
      <c r="E63" s="1">
        <f>data!AY59</f>
        <v>22782</v>
      </c>
      <c r="F63" s="205">
        <f>IF(B63=0,"",IF(D63=0,"",B63/D63))</f>
        <v>48.146548615840715</v>
      </c>
      <c r="G63" s="205">
        <f t="shared" si="4"/>
        <v>62.207049424984639</v>
      </c>
      <c r="H63" s="6">
        <f>IF(B63 = 0, "", IF(C63 = 0, "", IF(D63 = 0, "", IF(E63 = 0, "", IF(G63 / F63 - 1 &lt; -0.25, G63 / F63 - 1, IF(G63 / F63 - 1 &gt; 0.25, G63 / F63 - 1, ""))))))</f>
        <v>0.29203548776324695</v>
      </c>
      <c r="I63" s="228" t="str">
        <f t="shared" si="7"/>
        <v>Please provide explanation for the fluctuation noted here</v>
      </c>
      <c r="M63" s="7"/>
    </row>
    <row r="64" spans="1:13" x14ac:dyDescent="0.25">
      <c r="A64" s="1" t="s">
        <v>783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784</v>
      </c>
      <c r="B65" s="228">
        <f>ROUND(N('Prior Year'!BA85), 0)</f>
        <v>273226</v>
      </c>
      <c r="C65" s="228">
        <f>data!BA85</f>
        <v>246716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785</v>
      </c>
      <c r="B66" s="228">
        <f>ROUND(N('Prior Year'!BB85), 0)</f>
        <v>155525</v>
      </c>
      <c r="C66" s="228">
        <f>data!BB85</f>
        <v>140296</v>
      </c>
      <c r="D66" s="228" t="s">
        <v>750</v>
      </c>
      <c r="E66" s="4" t="s">
        <v>750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786</v>
      </c>
      <c r="B67" s="228">
        <f>ROUND(N('Prior Year'!BC85), 0)</f>
        <v>0</v>
      </c>
      <c r="C67" s="228">
        <f>data!BC85</f>
        <v>0</v>
      </c>
      <c r="D67" s="228" t="s">
        <v>750</v>
      </c>
      <c r="E67" s="4" t="s">
        <v>750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787</v>
      </c>
      <c r="B68" s="228">
        <f>ROUND(N('Prior Year'!BD85), 0)</f>
        <v>242282</v>
      </c>
      <c r="C68" s="228">
        <f>data!BD85</f>
        <v>91382</v>
      </c>
      <c r="D68" s="228" t="s">
        <v>750</v>
      </c>
      <c r="E68" s="4" t="s">
        <v>750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788</v>
      </c>
      <c r="B69" s="228">
        <f>ROUND(N('Prior Year'!BE85), 0)</f>
        <v>1928188</v>
      </c>
      <c r="C69" s="228">
        <f>data!BE85</f>
        <v>1982527</v>
      </c>
      <c r="D69" s="228">
        <f>ROUND(N('Prior Year'!BE59), 0)</f>
        <v>101551</v>
      </c>
      <c r="E69" s="1">
        <f>data!BE59</f>
        <v>103666</v>
      </c>
      <c r="F69" s="205">
        <f>IF(B69=0,"",IF(D69=0,"",B69/D69))</f>
        <v>18.987385648590365</v>
      </c>
      <c r="G69" s="205">
        <f t="shared" si="4"/>
        <v>19.124177647444679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789</v>
      </c>
      <c r="B70" s="228">
        <f>ROUND(N('Prior Year'!BF85), 0)</f>
        <v>1316767</v>
      </c>
      <c r="C70" s="228">
        <f>data!BF85</f>
        <v>1339902</v>
      </c>
      <c r="D70" s="228" t="s">
        <v>750</v>
      </c>
      <c r="E70" s="4" t="s">
        <v>750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790</v>
      </c>
      <c r="B71" s="228">
        <f>ROUND(N('Prior Year'!BG85), 0)</f>
        <v>0</v>
      </c>
      <c r="C71" s="228">
        <f>data!BG85</f>
        <v>0</v>
      </c>
      <c r="D71" s="228" t="s">
        <v>750</v>
      </c>
      <c r="E71" s="4" t="s">
        <v>750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791</v>
      </c>
      <c r="B72" s="228">
        <f>ROUND(N('Prior Year'!BH85), 0)</f>
        <v>2129916</v>
      </c>
      <c r="C72" s="228">
        <f>data!BH85</f>
        <v>1598138</v>
      </c>
      <c r="D72" s="228" t="s">
        <v>750</v>
      </c>
      <c r="E72" s="4" t="s">
        <v>750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792</v>
      </c>
      <c r="B73" s="228">
        <f>ROUND(N('Prior Year'!BI85), 0)</f>
        <v>312113</v>
      </c>
      <c r="C73" s="228">
        <f>data!BI85</f>
        <v>306287</v>
      </c>
      <c r="D73" s="228" t="s">
        <v>750</v>
      </c>
      <c r="E73" s="4" t="s">
        <v>750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793</v>
      </c>
      <c r="B74" s="228">
        <f>ROUND(N('Prior Year'!BJ85), 0)</f>
        <v>423482</v>
      </c>
      <c r="C74" s="228">
        <f>data!BJ85</f>
        <v>557050</v>
      </c>
      <c r="D74" s="228" t="s">
        <v>750</v>
      </c>
      <c r="E74" s="4" t="s">
        <v>750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794</v>
      </c>
      <c r="B75" s="228">
        <f>ROUND(N('Prior Year'!BK85), 0)</f>
        <v>0</v>
      </c>
      <c r="C75" s="228">
        <f>data!BK85</f>
        <v>0</v>
      </c>
      <c r="D75" s="228" t="s">
        <v>750</v>
      </c>
      <c r="E75" s="4" t="s">
        <v>750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795</v>
      </c>
      <c r="B76" s="228">
        <f>ROUND(N('Prior Year'!BL85), 0)</f>
        <v>1184681</v>
      </c>
      <c r="C76" s="228">
        <f>data!BL85</f>
        <v>1149194</v>
      </c>
      <c r="D76" s="228" t="s">
        <v>750</v>
      </c>
      <c r="E76" s="4" t="s">
        <v>750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796</v>
      </c>
      <c r="B77" s="228">
        <f>ROUND(N('Prior Year'!BM85), 0)</f>
        <v>0</v>
      </c>
      <c r="C77" s="228">
        <f>data!BM85</f>
        <v>0</v>
      </c>
      <c r="D77" s="228" t="s">
        <v>750</v>
      </c>
      <c r="E77" s="4" t="s">
        <v>750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797</v>
      </c>
      <c r="B78" s="228">
        <f>ROUND(N('Prior Year'!BN85), 0)</f>
        <v>15278539</v>
      </c>
      <c r="C78" s="228">
        <f>data!BN85</f>
        <v>18947424</v>
      </c>
      <c r="D78" s="228" t="s">
        <v>750</v>
      </c>
      <c r="E78" s="4" t="s">
        <v>750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798</v>
      </c>
      <c r="B79" s="228">
        <f>ROUND(N('Prior Year'!BO85), 0)</f>
        <v>5043</v>
      </c>
      <c r="C79" s="228">
        <f>data!BO85</f>
        <v>2200</v>
      </c>
      <c r="D79" s="228" t="s">
        <v>750</v>
      </c>
      <c r="E79" s="4" t="s">
        <v>750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799</v>
      </c>
      <c r="B80" s="228">
        <f>ROUND(N('Prior Year'!BP85), 0)</f>
        <v>0</v>
      </c>
      <c r="C80" s="228">
        <f>data!BP85</f>
        <v>0</v>
      </c>
      <c r="D80" s="228" t="s">
        <v>750</v>
      </c>
      <c r="E80" s="4" t="s">
        <v>750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800</v>
      </c>
      <c r="B81" s="228">
        <f>ROUND(N('Prior Year'!BQ85), 0)</f>
        <v>346834</v>
      </c>
      <c r="C81" s="228">
        <f>data!BQ85</f>
        <v>310164</v>
      </c>
      <c r="D81" s="228" t="s">
        <v>750</v>
      </c>
      <c r="E81" s="4" t="s">
        <v>750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801</v>
      </c>
      <c r="B82" s="228">
        <f>ROUND(N('Prior Year'!BR85), 0)</f>
        <v>172452</v>
      </c>
      <c r="C82" s="228">
        <f>data!BR85</f>
        <v>125539</v>
      </c>
      <c r="D82" s="228" t="s">
        <v>750</v>
      </c>
      <c r="E82" s="4" t="s">
        <v>750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802</v>
      </c>
      <c r="B83" s="228">
        <f>ROUND(N('Prior Year'!BS85), 0)</f>
        <v>0</v>
      </c>
      <c r="C83" s="228">
        <f>data!BS85</f>
        <v>0</v>
      </c>
      <c r="D83" s="228" t="s">
        <v>750</v>
      </c>
      <c r="E83" s="4" t="s">
        <v>750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803</v>
      </c>
      <c r="B84" s="228">
        <f>ROUND(N('Prior Year'!BT85), 0)</f>
        <v>0</v>
      </c>
      <c r="C84" s="228">
        <f>data!BT85</f>
        <v>0</v>
      </c>
      <c r="D84" s="228" t="s">
        <v>750</v>
      </c>
      <c r="E84" s="4" t="s">
        <v>750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804</v>
      </c>
      <c r="B85" s="228">
        <f>ROUND(N('Prior Year'!BU85), 0)</f>
        <v>0</v>
      </c>
      <c r="C85" s="228">
        <f>data!BU85</f>
        <v>0</v>
      </c>
      <c r="D85" s="228" t="s">
        <v>750</v>
      </c>
      <c r="E85" s="4" t="s">
        <v>750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805</v>
      </c>
      <c r="B86" s="228">
        <f>ROUND(N('Prior Year'!BV85), 0)</f>
        <v>516555</v>
      </c>
      <c r="C86" s="228">
        <f>data!BV85</f>
        <v>536230</v>
      </c>
      <c r="D86" s="228" t="s">
        <v>750</v>
      </c>
      <c r="E86" s="4" t="s">
        <v>750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806</v>
      </c>
      <c r="B87" s="228">
        <f>ROUND(N('Prior Year'!BW85), 0)</f>
        <v>0</v>
      </c>
      <c r="C87" s="228">
        <f>data!BW85</f>
        <v>0</v>
      </c>
      <c r="D87" s="228" t="s">
        <v>750</v>
      </c>
      <c r="E87" s="4" t="s">
        <v>750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807</v>
      </c>
      <c r="B88" s="228">
        <f>ROUND(N('Prior Year'!BX85), 0)</f>
        <v>0</v>
      </c>
      <c r="C88" s="228">
        <f>data!BX85</f>
        <v>0</v>
      </c>
      <c r="D88" s="228" t="s">
        <v>750</v>
      </c>
      <c r="E88" s="4" t="s">
        <v>750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808</v>
      </c>
      <c r="B89" s="228">
        <f>ROUND(N('Prior Year'!BY85), 0)</f>
        <v>1234589</v>
      </c>
      <c r="C89" s="228">
        <f>data!BY85</f>
        <v>1135057</v>
      </c>
      <c r="D89" s="228" t="s">
        <v>750</v>
      </c>
      <c r="E89" s="4" t="s">
        <v>750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809</v>
      </c>
      <c r="B90" s="228">
        <f>ROUND(N('Prior Year'!BZ85), 0)</f>
        <v>0</v>
      </c>
      <c r="C90" s="228">
        <f>data!BZ85</f>
        <v>0</v>
      </c>
      <c r="D90" s="228" t="s">
        <v>750</v>
      </c>
      <c r="E90" s="4" t="s">
        <v>750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810</v>
      </c>
      <c r="B91" s="228">
        <f>ROUND(N('Prior Year'!CA85), 0)</f>
        <v>0</v>
      </c>
      <c r="C91" s="228">
        <f>data!CA85</f>
        <v>0</v>
      </c>
      <c r="D91" s="228" t="s">
        <v>750</v>
      </c>
      <c r="E91" s="4" t="s">
        <v>750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811</v>
      </c>
      <c r="B92" s="228">
        <f>ROUND(N('Prior Year'!CB85), 0)</f>
        <v>0</v>
      </c>
      <c r="C92" s="228">
        <f>data!CB85</f>
        <v>0</v>
      </c>
      <c r="D92" s="228" t="s">
        <v>750</v>
      </c>
      <c r="E92" s="4" t="s">
        <v>750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812</v>
      </c>
      <c r="B93" s="228">
        <f>ROUND(N('Prior Year'!CC85), 0)</f>
        <v>1789851</v>
      </c>
      <c r="C93" s="228">
        <f>data!CC85</f>
        <v>1607674</v>
      </c>
      <c r="D93" s="228" t="s">
        <v>750</v>
      </c>
      <c r="E93" s="4" t="s">
        <v>750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813</v>
      </c>
      <c r="B94" s="228">
        <f>ROUND(N('Prior Year'!CD85), 0)</f>
        <v>6241200</v>
      </c>
      <c r="C94" s="228">
        <f>data!CD85</f>
        <v>6538683</v>
      </c>
      <c r="D94" s="228" t="s">
        <v>750</v>
      </c>
      <c r="E94" s="4" t="s">
        <v>750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rb5acQxDok4lM7sb9YEuEsc1HNEjv3urU2jxBUAgxkJ3pd4521buCBeILX2LSzywGWZXHzIDd/K/Og1U+KwMJA==" saltValue="OLQ66RBFgr+8XmQ+vnS8Aw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topLeftCell="A4" workbookViewId="0">
      <selection activeCell="F35" sqref="F35"/>
    </sheetView>
  </sheetViews>
  <sheetFormatPr defaultRowHeight="15" x14ac:dyDescent="0.2"/>
  <sheetData>
    <row r="1" spans="1:4" ht="15.75" x14ac:dyDescent="0.25">
      <c r="A1" s="268" t="s">
        <v>814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815</v>
      </c>
      <c r="B3" s="267"/>
      <c r="C3" s="267"/>
      <c r="D3" s="267"/>
    </row>
    <row r="4" spans="1:4" ht="15.75" x14ac:dyDescent="0.25">
      <c r="A4" s="267" t="s">
        <v>816</v>
      </c>
      <c r="B4" s="267"/>
      <c r="C4" s="267"/>
      <c r="D4" s="267"/>
    </row>
    <row r="5" spans="1:4" ht="15.75" x14ac:dyDescent="0.25">
      <c r="A5" s="1" t="s">
        <v>817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818</v>
      </c>
      <c r="B7" s="267"/>
      <c r="C7" s="267"/>
      <c r="D7" s="267"/>
    </row>
    <row r="8" spans="1:4" ht="15.75" x14ac:dyDescent="0.25">
      <c r="A8" s="309" t="s">
        <v>819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820</v>
      </c>
      <c r="B11" s="267"/>
      <c r="C11" s="267"/>
      <c r="D11" s="267">
        <f>N(data!C380)</f>
        <v>67185</v>
      </c>
    </row>
    <row r="12" spans="1:4" ht="15.75" x14ac:dyDescent="0.25">
      <c r="A12" s="269" t="s">
        <v>821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822</v>
      </c>
      <c r="B14" s="267"/>
      <c r="C14" s="267"/>
      <c r="D14" s="269" t="s">
        <v>823</v>
      </c>
    </row>
    <row r="15" spans="1:4" ht="15.75" x14ac:dyDescent="0.25">
      <c r="A15" s="267" t="s">
        <v>824</v>
      </c>
      <c r="B15" s="267"/>
      <c r="C15" s="267"/>
      <c r="D15" s="267"/>
    </row>
    <row r="16" spans="1:4" ht="15.75" x14ac:dyDescent="0.25">
      <c r="A16" s="267" t="s">
        <v>824</v>
      </c>
      <c r="B16" s="267"/>
      <c r="C16" s="267"/>
      <c r="D16" s="267"/>
    </row>
    <row r="17" spans="1:4" ht="15.75" x14ac:dyDescent="0.25">
      <c r="A17" s="267" t="s">
        <v>824</v>
      </c>
      <c r="B17" s="267"/>
      <c r="C17" s="267"/>
      <c r="D17" s="267"/>
    </row>
    <row r="18" spans="1:4" ht="15.75" x14ac:dyDescent="0.25">
      <c r="A18" s="267" t="s">
        <v>824</v>
      </c>
      <c r="B18" s="267"/>
      <c r="C18" s="267"/>
      <c r="D18" s="267"/>
    </row>
    <row r="19" spans="1:4" ht="15.75" x14ac:dyDescent="0.25">
      <c r="A19" s="267" t="s">
        <v>824</v>
      </c>
      <c r="B19" s="267"/>
      <c r="C19" s="267"/>
      <c r="D19" s="267"/>
    </row>
    <row r="20" spans="1:4" ht="15.75" x14ac:dyDescent="0.25">
      <c r="A20" s="267" t="s">
        <v>824</v>
      </c>
      <c r="B20" s="267"/>
      <c r="C20" s="267"/>
      <c r="D20" s="267"/>
    </row>
    <row r="21" spans="1:4" ht="15.75" x14ac:dyDescent="0.25">
      <c r="A21" s="267" t="s">
        <v>824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825</v>
      </c>
      <c r="B25" s="267"/>
      <c r="C25" s="267"/>
      <c r="D25" s="267">
        <f>N(data!C414)</f>
        <v>1665303</v>
      </c>
    </row>
    <row r="26" spans="1:4" ht="15.75" x14ac:dyDescent="0.25">
      <c r="A26" s="269" t="s">
        <v>821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822</v>
      </c>
      <c r="B28" s="267"/>
      <c r="C28" s="267"/>
      <c r="D28" s="269" t="s">
        <v>823</v>
      </c>
    </row>
    <row r="29" spans="1:4" ht="15.75" x14ac:dyDescent="0.25">
      <c r="A29" s="1" t="s">
        <v>1372</v>
      </c>
      <c r="B29" s="267"/>
      <c r="C29" s="267"/>
      <c r="D29" s="267">
        <v>19161</v>
      </c>
    </row>
    <row r="30" spans="1:4" ht="15.75" x14ac:dyDescent="0.25">
      <c r="A30" s="1" t="s">
        <v>1373</v>
      </c>
      <c r="B30" s="267"/>
      <c r="C30" s="267"/>
      <c r="D30" s="267">
        <v>135876</v>
      </c>
    </row>
    <row r="31" spans="1:4" ht="15.75" x14ac:dyDescent="0.25">
      <c r="A31" s="1" t="s">
        <v>1374</v>
      </c>
      <c r="B31" s="267"/>
      <c r="C31" s="267"/>
      <c r="D31" s="267">
        <v>1456</v>
      </c>
    </row>
    <row r="32" spans="1:4" ht="15.75" x14ac:dyDescent="0.25">
      <c r="A32" s="1" t="s">
        <v>1375</v>
      </c>
      <c r="B32" s="267"/>
      <c r="C32" s="267"/>
      <c r="D32" s="267">
        <v>196370</v>
      </c>
    </row>
    <row r="33" spans="1:4" ht="15.75" x14ac:dyDescent="0.25">
      <c r="A33" s="1" t="s">
        <v>1376</v>
      </c>
      <c r="B33" s="267"/>
      <c r="C33" s="267"/>
      <c r="D33" s="267">
        <v>175269</v>
      </c>
    </row>
    <row r="34" spans="1:4" ht="15.75" x14ac:dyDescent="0.25">
      <c r="A34" s="1" t="s">
        <v>1377</v>
      </c>
      <c r="B34" s="267"/>
      <c r="C34" s="267"/>
      <c r="D34" s="267">
        <v>87884</v>
      </c>
    </row>
    <row r="35" spans="1:4" ht="15.75" x14ac:dyDescent="0.25">
      <c r="A35" s="1" t="s">
        <v>1378</v>
      </c>
      <c r="B35" s="267"/>
      <c r="C35" s="267"/>
      <c r="D35" s="267">
        <v>1049287</v>
      </c>
    </row>
    <row r="36" spans="1:4" ht="15.75" x14ac:dyDescent="0.25">
      <c r="A36" s="267"/>
      <c r="B36" s="267"/>
      <c r="C36" s="267"/>
      <c r="D36" s="267"/>
    </row>
  </sheetData>
  <sheetProtection algorithmName="SHA-512" hashValue="Ngor/yv2kzE283/771zifh01mDHPLmO9Fs83c4nmi6FL/zx5UOzNYxkskZEfWTBQ27BNQaXVMLJTxsF0UrtXKA==" saltValue="VpgQkMOoi7m5pZcPso9/q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826</v>
      </c>
    </row>
    <row r="2" spans="1:7" ht="20.100000000000001" customHeight="1" x14ac:dyDescent="0.25">
      <c r="A2" s="62" t="s">
        <v>827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H-198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Astria Sunnyside Hospital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Yakima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828</v>
      </c>
      <c r="C7" s="67"/>
      <c r="D7" s="64" t="str">
        <f>"  "&amp;data!C104</f>
        <v xml:space="preserve">  Brian P. Gibbons, Jr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829</v>
      </c>
      <c r="C8" s="67"/>
      <c r="D8" s="64" t="str">
        <f>"  "&amp;data!C105</f>
        <v xml:space="preserve">  Matthew Matthiessen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830</v>
      </c>
      <c r="C9" s="67"/>
      <c r="D9" s="64" t="str">
        <f>"  "&amp;data!C106</f>
        <v xml:space="preserve">  Christina M. Rivas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831</v>
      </c>
      <c r="C10" s="67"/>
      <c r="D10" s="64" t="str">
        <f>"  "&amp;data!C107</f>
        <v xml:space="preserve">  (509) 837-1641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832</v>
      </c>
      <c r="C11" s="67"/>
      <c r="D11" s="64" t="str">
        <f>"  "&amp;data!C108</f>
        <v xml:space="preserve">  (509) 837-1512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833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834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 xml:space="preserve"> X</v>
      </c>
      <c r="D17" s="80" t="s">
        <v>408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835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836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837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838</v>
      </c>
      <c r="C23" s="64"/>
      <c r="D23" s="64"/>
      <c r="E23" s="64"/>
      <c r="F23" s="63">
        <f>data!C127</f>
        <v>1201</v>
      </c>
      <c r="G23" s="67">
        <f>data!D127</f>
        <v>5523</v>
      </c>
    </row>
    <row r="24" spans="1:7" ht="20.100000000000001" customHeight="1" x14ac:dyDescent="0.25">
      <c r="A24" s="63"/>
      <c r="B24" s="64" t="s">
        <v>839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840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221</v>
      </c>
      <c r="G26" s="67">
        <f>data!D130</f>
        <v>308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841</v>
      </c>
      <c r="C29" s="67"/>
      <c r="D29" s="79" t="s">
        <v>193</v>
      </c>
      <c r="E29" s="83" t="s">
        <v>841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7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842</v>
      </c>
      <c r="C31" s="67"/>
      <c r="D31" s="67">
        <f>data!C133</f>
        <v>0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843</v>
      </c>
      <c r="C32" s="67"/>
      <c r="D32" s="67">
        <f>data!C134</f>
        <v>14</v>
      </c>
      <c r="E32" s="64" t="s">
        <v>844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845</v>
      </c>
      <c r="C33" s="67"/>
      <c r="D33" s="67">
        <f>data!C135</f>
        <v>0</v>
      </c>
      <c r="E33" s="64" t="s">
        <v>846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847</v>
      </c>
      <c r="C34" s="67"/>
      <c r="D34" s="67">
        <f>data!C136</f>
        <v>4</v>
      </c>
      <c r="E34" s="64" t="s">
        <v>347</v>
      </c>
      <c r="F34" s="67"/>
      <c r="G34" s="67">
        <f>data!E143</f>
        <v>25</v>
      </c>
    </row>
    <row r="35" spans="1:7" ht="20.100000000000001" customHeight="1" x14ac:dyDescent="0.25">
      <c r="A35" s="63"/>
      <c r="B35" s="83" t="s">
        <v>848</v>
      </c>
      <c r="C35" s="67"/>
      <c r="D35" s="67">
        <f>data!C137</f>
        <v>0</v>
      </c>
      <c r="E35" s="64" t="s">
        <v>849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38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6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850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851</v>
      </c>
      <c r="G1" s="61" t="s">
        <v>852</v>
      </c>
    </row>
    <row r="2" spans="1:7" ht="20.100000000000001" customHeight="1" x14ac:dyDescent="0.25">
      <c r="A2" s="1" t="str">
        <f>"Hospital: "&amp;data!C98</f>
        <v>Hospital: Astria Sunnyside Hospital</v>
      </c>
      <c r="G2" s="4" t="s">
        <v>853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854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855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856</v>
      </c>
      <c r="B6" s="79" t="s">
        <v>332</v>
      </c>
      <c r="C6" s="79" t="s">
        <v>857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650</v>
      </c>
      <c r="C7" s="127">
        <f>data!B155</f>
        <v>3001</v>
      </c>
      <c r="D7" s="127">
        <f>data!B156</f>
        <v>26450</v>
      </c>
      <c r="E7" s="127">
        <f>data!B157</f>
        <v>38880015</v>
      </c>
      <c r="F7" s="127">
        <f>data!B158</f>
        <v>99960267</v>
      </c>
      <c r="G7" s="127">
        <f>data!B157+data!B158</f>
        <v>138840282</v>
      </c>
    </row>
    <row r="8" spans="1:7" ht="20.100000000000001" customHeight="1" x14ac:dyDescent="0.25">
      <c r="A8" s="63" t="s">
        <v>354</v>
      </c>
      <c r="B8" s="127">
        <f>data!C154</f>
        <v>331</v>
      </c>
      <c r="C8" s="127">
        <f>data!C155</f>
        <v>1509</v>
      </c>
      <c r="D8" s="127">
        <f>data!C156</f>
        <v>21589</v>
      </c>
      <c r="E8" s="127">
        <f>data!C157</f>
        <v>19291525</v>
      </c>
      <c r="F8" s="127">
        <f>data!C158</f>
        <v>81587911</v>
      </c>
      <c r="G8" s="127">
        <f>data!C157+data!C158</f>
        <v>100879436</v>
      </c>
    </row>
    <row r="9" spans="1:7" ht="20.100000000000001" customHeight="1" x14ac:dyDescent="0.25">
      <c r="A9" s="63" t="s">
        <v>858</v>
      </c>
      <c r="B9" s="127">
        <f>data!D154</f>
        <v>220</v>
      </c>
      <c r="C9" s="127">
        <f>data!D155</f>
        <v>1013</v>
      </c>
      <c r="D9" s="127">
        <f>data!D156</f>
        <v>22755</v>
      </c>
      <c r="E9" s="127">
        <f>data!D157</f>
        <v>12964368</v>
      </c>
      <c r="F9" s="127">
        <f>data!D158</f>
        <v>85991678</v>
      </c>
      <c r="G9" s="127">
        <f>data!D157+data!D158</f>
        <v>98956046</v>
      </c>
    </row>
    <row r="10" spans="1:7" ht="20.100000000000001" customHeight="1" x14ac:dyDescent="0.25">
      <c r="A10" s="78" t="s">
        <v>229</v>
      </c>
      <c r="B10" s="127">
        <f>data!E154</f>
        <v>1201</v>
      </c>
      <c r="C10" s="127">
        <f>data!E155</f>
        <v>5523</v>
      </c>
      <c r="D10" s="127">
        <f>data!E156</f>
        <v>70794</v>
      </c>
      <c r="E10" s="127">
        <f>data!E157</f>
        <v>71135908</v>
      </c>
      <c r="F10" s="127">
        <f>data!E158</f>
        <v>267539856</v>
      </c>
      <c r="G10" s="127">
        <f>E10+F10</f>
        <v>338675764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859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855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856</v>
      </c>
      <c r="B15" s="79" t="s">
        <v>332</v>
      </c>
      <c r="C15" s="79" t="s">
        <v>857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858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860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855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856</v>
      </c>
      <c r="B24" s="79" t="s">
        <v>332</v>
      </c>
      <c r="C24" s="79" t="s">
        <v>857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858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861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862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863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864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Astria Sunnyside Hospital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865</v>
      </c>
      <c r="C6" s="63">
        <f>data!C181</f>
        <v>2290442.88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217218.24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448993.24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5034486.04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1104222.8700000001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93060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866</v>
      </c>
      <c r="C14" s="63">
        <f>data!D189</f>
        <v>9188423.2699999996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867</v>
      </c>
      <c r="C18" s="63">
        <f>data!C191</f>
        <v>681713</v>
      </c>
    </row>
    <row r="19" spans="1:3" ht="20.100000000000001" customHeight="1" x14ac:dyDescent="0.25">
      <c r="A19" s="63">
        <v>13</v>
      </c>
      <c r="B19" s="64" t="s">
        <v>868</v>
      </c>
      <c r="C19" s="63">
        <f>data!C192</f>
        <v>406319</v>
      </c>
    </row>
    <row r="20" spans="1:3" ht="20.100000000000001" customHeight="1" x14ac:dyDescent="0.25">
      <c r="A20" s="63">
        <v>14</v>
      </c>
      <c r="B20" s="64" t="s">
        <v>869</v>
      </c>
      <c r="C20" s="63">
        <f>data!D193</f>
        <v>1088032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870</v>
      </c>
      <c r="C24" s="148"/>
    </row>
    <row r="25" spans="1:3" ht="20.100000000000001" customHeight="1" x14ac:dyDescent="0.25">
      <c r="A25" s="63">
        <v>17</v>
      </c>
      <c r="B25" s="64" t="s">
        <v>871</v>
      </c>
      <c r="C25" s="63">
        <f>data!C195</f>
        <v>1919941.88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100</v>
      </c>
    </row>
    <row r="27" spans="1:3" ht="20.100000000000001" customHeight="1" x14ac:dyDescent="0.25">
      <c r="A27" s="63">
        <v>19</v>
      </c>
      <c r="B27" s="64" t="s">
        <v>872</v>
      </c>
      <c r="C27" s="63">
        <f>data!D197</f>
        <v>1920041.88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873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318187.65999999997</v>
      </c>
    </row>
    <row r="32" spans="1:3" ht="20.100000000000001" customHeight="1" x14ac:dyDescent="0.25">
      <c r="A32" s="63">
        <v>22</v>
      </c>
      <c r="B32" s="64" t="s">
        <v>874</v>
      </c>
      <c r="C32" s="63">
        <f>data!C200</f>
        <v>710782.63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875</v>
      </c>
      <c r="C34" s="63">
        <f>data!D202</f>
        <v>1028970.29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876</v>
      </c>
      <c r="C38" s="63">
        <f>data!C204</f>
        <v>4603026.33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17663</v>
      </c>
    </row>
    <row r="40" spans="1:3" ht="20.100000000000001" customHeight="1" x14ac:dyDescent="0.25">
      <c r="A40" s="63">
        <v>28</v>
      </c>
      <c r="B40" s="64" t="s">
        <v>877</v>
      </c>
      <c r="C40" s="63">
        <f>data!D206</f>
        <v>4620689.33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878</v>
      </c>
    </row>
    <row r="3" spans="1:6" ht="20.100000000000001" customHeight="1" x14ac:dyDescent="0.25">
      <c r="A3" s="120" t="str">
        <f>"Hospital: "&amp;data!C98</f>
        <v>Hospital: Astria Sunnyside Hospital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879</v>
      </c>
      <c r="D5" s="151"/>
      <c r="E5" s="151"/>
      <c r="F5" s="151" t="s">
        <v>880</v>
      </c>
    </row>
    <row r="6" spans="1:6" ht="20.100000000000001" customHeight="1" x14ac:dyDescent="0.25">
      <c r="A6" s="152"/>
      <c r="B6" s="70"/>
      <c r="C6" s="153" t="s">
        <v>881</v>
      </c>
      <c r="D6" s="153" t="s">
        <v>386</v>
      </c>
      <c r="E6" s="153" t="s">
        <v>882</v>
      </c>
      <c r="F6" s="153" t="s">
        <v>881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5072349</v>
      </c>
      <c r="D7" s="67">
        <f>data!C211</f>
        <v>0</v>
      </c>
      <c r="E7" s="67">
        <f>data!D211</f>
        <v>509040</v>
      </c>
      <c r="F7" s="67">
        <f>data!E211</f>
        <v>4563309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1430910</v>
      </c>
      <c r="D8" s="67">
        <f>data!C212</f>
        <v>40567</v>
      </c>
      <c r="E8" s="67">
        <f>data!D212</f>
        <v>0</v>
      </c>
      <c r="F8" s="67">
        <f>data!E212</f>
        <v>1471477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25156498</v>
      </c>
      <c r="D9" s="67">
        <f>data!C213</f>
        <v>178250</v>
      </c>
      <c r="E9" s="67">
        <f>data!D213</f>
        <v>0</v>
      </c>
      <c r="F9" s="67">
        <f>data!E213</f>
        <v>25334748</v>
      </c>
    </row>
    <row r="10" spans="1:6" ht="20.100000000000001" customHeight="1" x14ac:dyDescent="0.25">
      <c r="A10" s="63">
        <v>4</v>
      </c>
      <c r="B10" s="67" t="s">
        <v>883</v>
      </c>
      <c r="C10" s="67">
        <f>data!B214</f>
        <v>2888933</v>
      </c>
      <c r="D10" s="67">
        <f>data!C214</f>
        <v>41970</v>
      </c>
      <c r="E10" s="67">
        <f>data!D214</f>
        <v>0</v>
      </c>
      <c r="F10" s="67">
        <f>data!E214</f>
        <v>2930903</v>
      </c>
    </row>
    <row r="11" spans="1:6" ht="20.100000000000001" customHeight="1" x14ac:dyDescent="0.25">
      <c r="A11" s="63">
        <v>5</v>
      </c>
      <c r="B11" s="67" t="s">
        <v>884</v>
      </c>
      <c r="C11" s="67">
        <f>data!B215</f>
        <v>0</v>
      </c>
      <c r="D11" s="67">
        <f>data!C215</f>
        <v>0</v>
      </c>
      <c r="E11" s="67">
        <f>data!D215</f>
        <v>0</v>
      </c>
      <c r="F11" s="67">
        <f>data!E215</f>
        <v>0</v>
      </c>
    </row>
    <row r="12" spans="1:6" ht="20.100000000000001" customHeight="1" x14ac:dyDescent="0.25">
      <c r="A12" s="63">
        <v>6</v>
      </c>
      <c r="B12" s="67" t="s">
        <v>885</v>
      </c>
      <c r="C12" s="67">
        <f>data!B216</f>
        <v>27909810</v>
      </c>
      <c r="D12" s="67">
        <f>data!C216</f>
        <v>0</v>
      </c>
      <c r="E12" s="67">
        <f>data!D216</f>
        <v>88892</v>
      </c>
      <c r="F12" s="67">
        <f>data!E216</f>
        <v>27820918</v>
      </c>
    </row>
    <row r="13" spans="1:6" ht="20.100000000000001" customHeight="1" x14ac:dyDescent="0.25">
      <c r="A13" s="63">
        <v>7</v>
      </c>
      <c r="B13" s="67" t="s">
        <v>886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397</v>
      </c>
      <c r="C14" s="67">
        <f>data!B218</f>
        <v>3287274</v>
      </c>
      <c r="D14" s="67">
        <f>data!C218</f>
        <v>2727009</v>
      </c>
      <c r="E14" s="67">
        <f>data!D218</f>
        <v>0</v>
      </c>
      <c r="F14" s="67">
        <f>data!E218</f>
        <v>6014283</v>
      </c>
    </row>
    <row r="15" spans="1:6" ht="20.100000000000001" customHeight="1" x14ac:dyDescent="0.25">
      <c r="A15" s="63">
        <v>9</v>
      </c>
      <c r="B15" s="67" t="s">
        <v>887</v>
      </c>
      <c r="C15" s="67">
        <f>data!B219</f>
        <v>30118</v>
      </c>
      <c r="D15" s="67" t="str">
        <f>data!C219</f>
        <v xml:space="preserve"> </v>
      </c>
      <c r="E15" s="67">
        <f>data!D219</f>
        <v>30118</v>
      </c>
      <c r="F15" s="67">
        <f>data!E219</f>
        <v>0</v>
      </c>
    </row>
    <row r="16" spans="1:6" ht="20.100000000000001" customHeight="1" x14ac:dyDescent="0.25">
      <c r="A16" s="63">
        <v>10</v>
      </c>
      <c r="B16" s="67" t="s">
        <v>612</v>
      </c>
      <c r="C16" s="67">
        <f>data!B220</f>
        <v>65775892</v>
      </c>
      <c r="D16" s="67">
        <f>data!C220</f>
        <v>2987796</v>
      </c>
      <c r="E16" s="67">
        <f>data!D220</f>
        <v>628050</v>
      </c>
      <c r="F16" s="67">
        <f>data!E220</f>
        <v>68135638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399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879</v>
      </c>
      <c r="D21" s="4" t="s">
        <v>229</v>
      </c>
      <c r="E21" s="153"/>
      <c r="F21" s="153" t="s">
        <v>880</v>
      </c>
    </row>
    <row r="22" spans="1:6" ht="20.100000000000001" customHeight="1" x14ac:dyDescent="0.25">
      <c r="A22" s="154"/>
      <c r="B22" s="146"/>
      <c r="C22" s="153" t="s">
        <v>881</v>
      </c>
      <c r="D22" s="153" t="s">
        <v>888</v>
      </c>
      <c r="E22" s="153" t="s">
        <v>882</v>
      </c>
      <c r="F22" s="153" t="s">
        <v>881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1099955</v>
      </c>
      <c r="D24" s="67">
        <f>data!C225</f>
        <v>18037</v>
      </c>
      <c r="E24" s="67">
        <f>data!D225</f>
        <v>0</v>
      </c>
      <c r="F24" s="67">
        <f>data!E225</f>
        <v>1117992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17615379</v>
      </c>
      <c r="D25" s="67">
        <f>data!C226</f>
        <v>582306</v>
      </c>
      <c r="E25" s="67">
        <f>data!D226</f>
        <v>0</v>
      </c>
      <c r="F25" s="67">
        <f>data!E226</f>
        <v>18197685</v>
      </c>
    </row>
    <row r="26" spans="1:6" ht="20.100000000000001" customHeight="1" x14ac:dyDescent="0.25">
      <c r="A26" s="63">
        <v>14</v>
      </c>
      <c r="B26" s="67" t="s">
        <v>883</v>
      </c>
      <c r="C26" s="67">
        <f>data!B227</f>
        <v>2628988</v>
      </c>
      <c r="D26" s="67">
        <f>data!C227</f>
        <v>27767</v>
      </c>
      <c r="E26" s="67">
        <f>data!D227</f>
        <v>0</v>
      </c>
      <c r="F26" s="67">
        <f>data!E227</f>
        <v>2656755</v>
      </c>
    </row>
    <row r="27" spans="1:6" ht="20.100000000000001" customHeight="1" x14ac:dyDescent="0.25">
      <c r="A27" s="63">
        <v>15</v>
      </c>
      <c r="B27" s="67" t="s">
        <v>884</v>
      </c>
      <c r="C27" s="67">
        <f>data!B228</f>
        <v>0</v>
      </c>
      <c r="D27" s="67">
        <f>data!C228</f>
        <v>0</v>
      </c>
      <c r="E27" s="67">
        <f>data!D228</f>
        <v>0</v>
      </c>
      <c r="F27" s="67">
        <f>data!E228</f>
        <v>0</v>
      </c>
    </row>
    <row r="28" spans="1:6" ht="20.100000000000001" customHeight="1" x14ac:dyDescent="0.25">
      <c r="A28" s="63">
        <v>16</v>
      </c>
      <c r="B28" s="67" t="s">
        <v>885</v>
      </c>
      <c r="C28" s="67">
        <f>data!B229</f>
        <v>25771151</v>
      </c>
      <c r="D28" s="67">
        <f>data!C229</f>
        <v>1140313</v>
      </c>
      <c r="E28" s="67">
        <f>data!D229</f>
        <v>0</v>
      </c>
      <c r="F28" s="67">
        <f>data!E229</f>
        <v>26911464</v>
      </c>
    </row>
    <row r="29" spans="1:6" ht="20.100000000000001" customHeight="1" x14ac:dyDescent="0.25">
      <c r="A29" s="63">
        <v>17</v>
      </c>
      <c r="B29" s="67" t="s">
        <v>886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397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887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612</v>
      </c>
      <c r="C32" s="67">
        <f>data!B233</f>
        <v>47115473</v>
      </c>
      <c r="D32" s="67">
        <f>data!C233</f>
        <v>1768423</v>
      </c>
      <c r="E32" s="67">
        <f>data!D233</f>
        <v>0</v>
      </c>
      <c r="F32" s="67">
        <f>data!E233</f>
        <v>48883896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889</v>
      </c>
      <c r="B1" s="62"/>
      <c r="C1" s="62"/>
      <c r="D1" s="61" t="s">
        <v>890</v>
      </c>
    </row>
    <row r="2" spans="1:4" ht="20.100000000000001" customHeight="1" x14ac:dyDescent="0.25">
      <c r="A2" s="120" t="str">
        <f>"Hospital: "&amp;data!C98</f>
        <v>Hospital: Astria Sunnyside Hospital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891</v>
      </c>
      <c r="C4" s="156" t="s">
        <v>892</v>
      </c>
      <c r="D4" s="157"/>
    </row>
    <row r="5" spans="1:4" ht="20.100000000000001" customHeight="1" x14ac:dyDescent="0.25">
      <c r="A5" s="124">
        <v>1</v>
      </c>
      <c r="B5" s="158"/>
      <c r="C5" s="80" t="s">
        <v>401</v>
      </c>
      <c r="D5" s="67">
        <f>data!D237</f>
        <v>763451</v>
      </c>
    </row>
    <row r="6" spans="1:4" ht="20.100000000000001" customHeight="1" x14ac:dyDescent="0.25">
      <c r="A6" s="63">
        <v>2</v>
      </c>
      <c r="B6" s="69"/>
      <c r="C6" s="142" t="s">
        <v>497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96883139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76687378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406</v>
      </c>
      <c r="D10" s="67">
        <f>data!C242</f>
        <v>0</v>
      </c>
    </row>
    <row r="11" spans="1:4" ht="20.100000000000001" customHeight="1" x14ac:dyDescent="0.25">
      <c r="A11" s="63">
        <v>7</v>
      </c>
      <c r="B11" s="158">
        <v>5850</v>
      </c>
      <c r="C11" s="67" t="s">
        <v>893</v>
      </c>
      <c r="D11" s="67">
        <f>data!C243</f>
        <v>20582183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11974791</v>
      </c>
    </row>
    <row r="13" spans="1:4" ht="20.100000000000001" customHeight="1" x14ac:dyDescent="0.25">
      <c r="A13" s="63">
        <v>9</v>
      </c>
      <c r="B13" s="67"/>
      <c r="C13" s="67" t="s">
        <v>894</v>
      </c>
      <c r="D13" s="67">
        <f>data!D245</f>
        <v>206127491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410</v>
      </c>
      <c r="D15" s="153"/>
    </row>
    <row r="16" spans="1:4" ht="20.100000000000001" customHeight="1" x14ac:dyDescent="0.25">
      <c r="A16" s="152">
        <v>12</v>
      </c>
      <c r="B16" s="79"/>
      <c r="C16" s="64" t="s">
        <v>895</v>
      </c>
      <c r="D16" s="63">
        <f>data!C247</f>
        <v>0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412</v>
      </c>
      <c r="D18" s="67">
        <f>data!C249</f>
        <v>0</v>
      </c>
    </row>
    <row r="19" spans="1:4" ht="20.100000000000001" customHeight="1" x14ac:dyDescent="0.25">
      <c r="A19" s="161">
        <v>15</v>
      </c>
      <c r="B19" s="158">
        <v>5910</v>
      </c>
      <c r="C19" s="80" t="s">
        <v>896</v>
      </c>
      <c r="D19" s="67">
        <f>data!C250</f>
        <v>8111157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897</v>
      </c>
      <c r="D22" s="67">
        <f>data!D252</f>
        <v>8111157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416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898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899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900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2025-07-29T21:10:42Z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