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Corrected for Hofidar\"/>
    </mc:Choice>
  </mc:AlternateContent>
  <xr:revisionPtr revIDLastSave="0" documentId="13_ncr:1_{349FAD19-D305-4AC4-813A-D7FB5E78A179}" xr6:coauthVersionLast="47" xr6:coauthVersionMax="47" xr10:uidLastSave="{00000000-0000-0000-0000-000000000000}"/>
  <bookViews>
    <workbookView xWindow="-120" yWindow="-120" windowWidth="29040" windowHeight="157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C315" i="24" l="1"/>
  <c r="C316" i="24" l="1"/>
  <c r="C392" i="24" l="1"/>
  <c r="C380" i="24" l="1"/>
  <c r="C200" i="24" l="1"/>
  <c r="C216" i="24" l="1"/>
  <c r="C323" i="24"/>
  <c r="C288" i="24"/>
  <c r="C269" i="24"/>
  <c r="C226" i="24" l="1"/>
  <c r="D216" i="24"/>
  <c r="C213" i="24"/>
  <c r="C219" i="24"/>
  <c r="C237" i="24" l="1"/>
  <c r="D155" i="24" l="1"/>
  <c r="C155" i="24"/>
  <c r="B155" i="24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J2" i="29"/>
  <c r="AI2" i="29"/>
  <c r="AH2" i="29"/>
  <c r="AG2" i="29"/>
  <c r="AE2" i="29"/>
  <c r="AD2" i="29"/>
  <c r="AC2" i="29"/>
  <c r="AB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L612" i="34"/>
  <c r="K612" i="34"/>
  <c r="J612" i="34"/>
  <c r="I612" i="34"/>
  <c r="H612" i="34"/>
  <c r="G612" i="34"/>
  <c r="F612" i="34"/>
  <c r="D612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C9" i="4"/>
  <c r="B9" i="4"/>
  <c r="G8" i="4"/>
  <c r="F8" i="4"/>
  <c r="E8" i="4"/>
  <c r="C8" i="4"/>
  <c r="B8" i="4"/>
  <c r="G7" i="4"/>
  <c r="F7" i="4"/>
  <c r="E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H65" i="15" s="1"/>
  <c r="I65" i="15" s="1"/>
  <c r="E64" i="15"/>
  <c r="D64" i="15"/>
  <c r="B64" i="15"/>
  <c r="H64" i="15" s="1"/>
  <c r="I64" i="15" s="1"/>
  <c r="E63" i="15"/>
  <c r="D63" i="15"/>
  <c r="B63" i="15"/>
  <c r="I62" i="15"/>
  <c r="B62" i="15"/>
  <c r="I61" i="15"/>
  <c r="B61" i="15"/>
  <c r="I60" i="15"/>
  <c r="B60" i="15"/>
  <c r="E59" i="15"/>
  <c r="D59" i="15"/>
  <c r="B59" i="15"/>
  <c r="H59" i="15" s="1"/>
  <c r="I59" i="15" s="1"/>
  <c r="E58" i="15"/>
  <c r="D58" i="15"/>
  <c r="B58" i="15"/>
  <c r="F58" i="15" s="1"/>
  <c r="E57" i="15"/>
  <c r="D57" i="15"/>
  <c r="B57" i="15"/>
  <c r="F57" i="15" s="1"/>
  <c r="E56" i="15"/>
  <c r="D56" i="15"/>
  <c r="B56" i="15"/>
  <c r="F56" i="15" s="1"/>
  <c r="E55" i="15"/>
  <c r="D55" i="15"/>
  <c r="B55" i="15"/>
  <c r="F55" i="15" s="1"/>
  <c r="E54" i="15"/>
  <c r="D54" i="15"/>
  <c r="B54" i="15"/>
  <c r="F54" i="15" s="1"/>
  <c r="E53" i="15"/>
  <c r="D53" i="15"/>
  <c r="B53" i="15"/>
  <c r="F53" i="15" s="1"/>
  <c r="E52" i="15"/>
  <c r="D52" i="15"/>
  <c r="B52" i="15"/>
  <c r="F52" i="15" s="1"/>
  <c r="E51" i="15"/>
  <c r="D51" i="15"/>
  <c r="B51" i="15"/>
  <c r="F51" i="15" s="1"/>
  <c r="E50" i="15"/>
  <c r="D50" i="15"/>
  <c r="B50" i="15"/>
  <c r="F50" i="15" s="1"/>
  <c r="E49" i="15"/>
  <c r="D49" i="15"/>
  <c r="B49" i="15"/>
  <c r="F49" i="15" s="1"/>
  <c r="E48" i="15"/>
  <c r="D48" i="15"/>
  <c r="B48" i="15"/>
  <c r="H47" i="15"/>
  <c r="I47" i="15" s="1"/>
  <c r="E47" i="15"/>
  <c r="D47" i="15"/>
  <c r="B47" i="15"/>
  <c r="F47" i="15" s="1"/>
  <c r="E46" i="15"/>
  <c r="D46" i="15"/>
  <c r="B46" i="15"/>
  <c r="F46" i="15" s="1"/>
  <c r="E45" i="15"/>
  <c r="D45" i="15"/>
  <c r="B45" i="15"/>
  <c r="E44" i="15"/>
  <c r="D44" i="15"/>
  <c r="B44" i="15"/>
  <c r="F44" i="15" s="1"/>
  <c r="E43" i="15"/>
  <c r="D43" i="15"/>
  <c r="B43" i="15"/>
  <c r="F43" i="15" s="1"/>
  <c r="E42" i="15"/>
  <c r="D42" i="15"/>
  <c r="B42" i="15"/>
  <c r="F42" i="15" s="1"/>
  <c r="E41" i="15"/>
  <c r="D41" i="15"/>
  <c r="B41" i="15"/>
  <c r="I40" i="15"/>
  <c r="B40" i="15"/>
  <c r="H39" i="15"/>
  <c r="I39" i="15" s="1"/>
  <c r="E39" i="15"/>
  <c r="D39" i="15"/>
  <c r="B39" i="15"/>
  <c r="F39" i="15" s="1"/>
  <c r="H38" i="15"/>
  <c r="I38" i="15" s="1"/>
  <c r="E38" i="15"/>
  <c r="D38" i="15"/>
  <c r="B38" i="15"/>
  <c r="F38" i="15" s="1"/>
  <c r="E37" i="15"/>
  <c r="D37" i="15"/>
  <c r="B37" i="15"/>
  <c r="F37" i="15" s="1"/>
  <c r="E36" i="15"/>
  <c r="D36" i="15"/>
  <c r="B36" i="15"/>
  <c r="E35" i="15"/>
  <c r="D35" i="15"/>
  <c r="B35" i="15"/>
  <c r="F35" i="15" s="1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F29" i="15" s="1"/>
  <c r="E28" i="15"/>
  <c r="D28" i="15"/>
  <c r="B28" i="15"/>
  <c r="E27" i="15"/>
  <c r="D27" i="15"/>
  <c r="B27" i="15"/>
  <c r="E26" i="15"/>
  <c r="D26" i="15"/>
  <c r="B26" i="15"/>
  <c r="F26" i="15" s="1"/>
  <c r="E25" i="15"/>
  <c r="D25" i="15"/>
  <c r="B25" i="15"/>
  <c r="F25" i="15" s="1"/>
  <c r="E24" i="15"/>
  <c r="D24" i="15"/>
  <c r="B24" i="15"/>
  <c r="F24" i="15" s="1"/>
  <c r="E23" i="15"/>
  <c r="D23" i="15"/>
  <c r="B23" i="15"/>
  <c r="F23" i="15" s="1"/>
  <c r="E22" i="15"/>
  <c r="D22" i="15"/>
  <c r="B22" i="15"/>
  <c r="F22" i="15" s="1"/>
  <c r="E21" i="15"/>
  <c r="D21" i="15"/>
  <c r="B21" i="15"/>
  <c r="F21" i="15" s="1"/>
  <c r="E20" i="15"/>
  <c r="D20" i="15"/>
  <c r="B20" i="15"/>
  <c r="F20" i="15" s="1"/>
  <c r="H19" i="15"/>
  <c r="I19" i="15" s="1"/>
  <c r="E19" i="15"/>
  <c r="D19" i="15"/>
  <c r="B19" i="15"/>
  <c r="F19" i="15" s="1"/>
  <c r="H18" i="15"/>
  <c r="I18" i="15" s="1"/>
  <c r="E18" i="15"/>
  <c r="D18" i="15"/>
  <c r="B18" i="15"/>
  <c r="F18" i="15" s="1"/>
  <c r="E17" i="15"/>
  <c r="D17" i="15"/>
  <c r="B17" i="15"/>
  <c r="F17" i="15" s="1"/>
  <c r="H16" i="15"/>
  <c r="I16" i="15" s="1"/>
  <c r="E16" i="15"/>
  <c r="D16" i="15"/>
  <c r="B16" i="15"/>
  <c r="F16" i="15" s="1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CP2" i="30" s="1"/>
  <c r="D381" i="24"/>
  <c r="BQ2" i="30" s="1"/>
  <c r="D360" i="24"/>
  <c r="D340" i="24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55" i="24"/>
  <c r="C10" i="4" s="1"/>
  <c r="E154" i="24"/>
  <c r="B10" i="4" s="1"/>
  <c r="E143" i="24"/>
  <c r="G34" i="3" s="1"/>
  <c r="CE94" i="24"/>
  <c r="CF93" i="24"/>
  <c r="CE93" i="24"/>
  <c r="I383" i="32" s="1"/>
  <c r="CE92" i="24"/>
  <c r="I382" i="32" s="1"/>
  <c r="AZ91" i="24"/>
  <c r="AH51" i="31" s="1"/>
  <c r="CE90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31" i="31" s="1"/>
  <c r="AE89" i="24"/>
  <c r="AD89" i="24"/>
  <c r="AC89" i="24"/>
  <c r="AE28" i="31" s="1"/>
  <c r="AB89" i="24"/>
  <c r="AA89" i="24"/>
  <c r="Z89" i="24"/>
  <c r="Y89" i="24"/>
  <c r="X89" i="24"/>
  <c r="W89" i="24"/>
  <c r="V89" i="24"/>
  <c r="U89" i="24"/>
  <c r="AE20" i="31" s="1"/>
  <c r="T89" i="24"/>
  <c r="S89" i="24"/>
  <c r="R89" i="24"/>
  <c r="Q89" i="24"/>
  <c r="P89" i="24"/>
  <c r="O89" i="24"/>
  <c r="N89" i="24"/>
  <c r="M89" i="24"/>
  <c r="L89" i="24"/>
  <c r="K89" i="24"/>
  <c r="J89" i="24"/>
  <c r="I89" i="24"/>
  <c r="AE8" i="31" s="1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D85" i="24" s="1"/>
  <c r="CC69" i="24"/>
  <c r="O80" i="31" s="1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O46" i="31" s="1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O18" i="31" s="1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E47" i="24"/>
  <c r="E10" i="4" l="1"/>
  <c r="C156" i="24"/>
  <c r="D156" i="24"/>
  <c r="B156" i="24"/>
  <c r="H46" i="15"/>
  <c r="I46" i="15" s="1"/>
  <c r="H44" i="15"/>
  <c r="I44" i="15" s="1"/>
  <c r="H51" i="15"/>
  <c r="I51" i="15" s="1"/>
  <c r="H53" i="15"/>
  <c r="I53" i="15" s="1"/>
  <c r="H55" i="15"/>
  <c r="I55" i="15" s="1"/>
  <c r="H57" i="15"/>
  <c r="I57" i="15" s="1"/>
  <c r="D154" i="32"/>
  <c r="F27" i="15"/>
  <c r="F33" i="15"/>
  <c r="F36" i="15"/>
  <c r="F41" i="15"/>
  <c r="H52" i="15"/>
  <c r="I52" i="15" s="1"/>
  <c r="H54" i="15"/>
  <c r="I54" i="15" s="1"/>
  <c r="H56" i="15"/>
  <c r="I56" i="15" s="1"/>
  <c r="H58" i="15"/>
  <c r="I58" i="15" s="1"/>
  <c r="C365" i="24"/>
  <c r="G10" i="4"/>
  <c r="F15" i="15"/>
  <c r="H21" i="15"/>
  <c r="I21" i="15" s="1"/>
  <c r="H22" i="15"/>
  <c r="I22" i="15" s="1"/>
  <c r="H23" i="15"/>
  <c r="I23" i="15" s="1"/>
  <c r="H24" i="15"/>
  <c r="I24" i="15" s="1"/>
  <c r="H25" i="15"/>
  <c r="I25" i="15" s="1"/>
  <c r="H26" i="15"/>
  <c r="I26" i="15" s="1"/>
  <c r="F28" i="15"/>
  <c r="H42" i="15"/>
  <c r="I42" i="15" s="1"/>
  <c r="F45" i="15"/>
  <c r="CE69" i="24"/>
  <c r="I371" i="32" s="1"/>
  <c r="O48" i="24"/>
  <c r="O62" i="24" s="1"/>
  <c r="S48" i="24"/>
  <c r="S62" i="24" s="1"/>
  <c r="H18" i="31" s="1"/>
  <c r="C48" i="24"/>
  <c r="C62" i="24" s="1"/>
  <c r="G48" i="24"/>
  <c r="G62" i="24" s="1"/>
  <c r="H6" i="31" s="1"/>
  <c r="K48" i="24"/>
  <c r="K62" i="24" s="1"/>
  <c r="D44" i="32" s="1"/>
  <c r="CB48" i="24"/>
  <c r="CB62" i="24" s="1"/>
  <c r="H48" i="24"/>
  <c r="H62" i="24" s="1"/>
  <c r="P48" i="24"/>
  <c r="P62" i="24" s="1"/>
  <c r="X48" i="24"/>
  <c r="X62" i="24" s="1"/>
  <c r="C108" i="32" s="1"/>
  <c r="AF48" i="24"/>
  <c r="AF62" i="24" s="1"/>
  <c r="D140" i="32" s="1"/>
  <c r="AN48" i="24"/>
  <c r="AN62" i="24" s="1"/>
  <c r="H39" i="31" s="1"/>
  <c r="AV48" i="24"/>
  <c r="AV62" i="24" s="1"/>
  <c r="BD48" i="24"/>
  <c r="BD62" i="24" s="1"/>
  <c r="H55" i="31" s="1"/>
  <c r="BL48" i="24"/>
  <c r="BL62" i="24" s="1"/>
  <c r="H268" i="32" s="1"/>
  <c r="BT48" i="24"/>
  <c r="BT62" i="24" s="1"/>
  <c r="H71" i="31" s="1"/>
  <c r="E48" i="24"/>
  <c r="E62" i="24" s="1"/>
  <c r="E12" i="32" s="1"/>
  <c r="Q48" i="24"/>
  <c r="Q62" i="24" s="1"/>
  <c r="C76" i="32" s="1"/>
  <c r="AG48" i="24"/>
  <c r="AG62" i="24" s="1"/>
  <c r="CC48" i="24"/>
  <c r="CC62" i="24" s="1"/>
  <c r="D364" i="32" s="1"/>
  <c r="W48" i="24"/>
  <c r="W62" i="24" s="1"/>
  <c r="H22" i="31" s="1"/>
  <c r="AA48" i="24"/>
  <c r="AA62" i="24" s="1"/>
  <c r="H26" i="31" s="1"/>
  <c r="AE48" i="24"/>
  <c r="AE62" i="24" s="1"/>
  <c r="H30" i="31" s="1"/>
  <c r="AI48" i="24"/>
  <c r="AI62" i="24" s="1"/>
  <c r="H34" i="31" s="1"/>
  <c r="AM48" i="24"/>
  <c r="AM62" i="24" s="1"/>
  <c r="H38" i="31" s="1"/>
  <c r="AQ48" i="24"/>
  <c r="AQ62" i="24" s="1"/>
  <c r="H42" i="31" s="1"/>
  <c r="AU48" i="24"/>
  <c r="AU62" i="24" s="1"/>
  <c r="E204" i="32" s="1"/>
  <c r="AY48" i="24"/>
  <c r="AY62" i="24" s="1"/>
  <c r="H50" i="31" s="1"/>
  <c r="BC48" i="24"/>
  <c r="BC62" i="24" s="1"/>
  <c r="BG48" i="24"/>
  <c r="BG62" i="24" s="1"/>
  <c r="H58" i="31" s="1"/>
  <c r="BK48" i="24"/>
  <c r="BK62" i="24" s="1"/>
  <c r="G268" i="32" s="1"/>
  <c r="BO48" i="24"/>
  <c r="BO62" i="24" s="1"/>
  <c r="H66" i="31" s="1"/>
  <c r="BS48" i="24"/>
  <c r="BS62" i="24" s="1"/>
  <c r="BW48" i="24"/>
  <c r="BW62" i="24" s="1"/>
  <c r="CA48" i="24"/>
  <c r="CA62" i="24" s="1"/>
  <c r="H78" i="31" s="1"/>
  <c r="D48" i="24"/>
  <c r="D62" i="24" s="1"/>
  <c r="D12" i="32" s="1"/>
  <c r="L48" i="24"/>
  <c r="L62" i="24" s="1"/>
  <c r="E44" i="32" s="1"/>
  <c r="T48" i="24"/>
  <c r="T62" i="24" s="1"/>
  <c r="H19" i="31" s="1"/>
  <c r="AB48" i="24"/>
  <c r="AB62" i="24" s="1"/>
  <c r="AJ48" i="24"/>
  <c r="AJ62" i="24" s="1"/>
  <c r="H35" i="31" s="1"/>
  <c r="AR48" i="24"/>
  <c r="AR62" i="24" s="1"/>
  <c r="I172" i="32" s="1"/>
  <c r="AZ48" i="24"/>
  <c r="AZ62" i="24" s="1"/>
  <c r="H51" i="31" s="1"/>
  <c r="BH48" i="24"/>
  <c r="BH62" i="24" s="1"/>
  <c r="BP48" i="24"/>
  <c r="BP62" i="24" s="1"/>
  <c r="H67" i="31" s="1"/>
  <c r="BX48" i="24"/>
  <c r="BX62" i="24" s="1"/>
  <c r="I48" i="24"/>
  <c r="I62" i="24" s="1"/>
  <c r="H8" i="31" s="1"/>
  <c r="M48" i="24"/>
  <c r="M62" i="24" s="1"/>
  <c r="F44" i="32" s="1"/>
  <c r="U48" i="24"/>
  <c r="U62" i="24" s="1"/>
  <c r="H20" i="31" s="1"/>
  <c r="Y48" i="24"/>
  <c r="Y62" i="24" s="1"/>
  <c r="AC48" i="24"/>
  <c r="AC62" i="24" s="1"/>
  <c r="AK48" i="24"/>
  <c r="AK62" i="24" s="1"/>
  <c r="I140" i="32" s="1"/>
  <c r="AO48" i="24"/>
  <c r="AO62" i="24" s="1"/>
  <c r="F172" i="32" s="1"/>
  <c r="AS48" i="24"/>
  <c r="AS62" i="24" s="1"/>
  <c r="H44" i="31" s="1"/>
  <c r="AW48" i="24"/>
  <c r="AW62" i="24" s="1"/>
  <c r="G204" i="32" s="1"/>
  <c r="BA48" i="24"/>
  <c r="BA62" i="24" s="1"/>
  <c r="D236" i="32" s="1"/>
  <c r="BE48" i="24"/>
  <c r="BE62" i="24" s="1"/>
  <c r="H236" i="32" s="1"/>
  <c r="BI48" i="24"/>
  <c r="BI62" i="24" s="1"/>
  <c r="E268" i="32" s="1"/>
  <c r="BM48" i="24"/>
  <c r="BM62" i="24" s="1"/>
  <c r="H64" i="31" s="1"/>
  <c r="BQ48" i="24"/>
  <c r="BQ62" i="24" s="1"/>
  <c r="F300" i="32" s="1"/>
  <c r="BU48" i="24"/>
  <c r="BU62" i="24" s="1"/>
  <c r="C332" i="32" s="1"/>
  <c r="BY48" i="24"/>
  <c r="BY62" i="24" s="1"/>
  <c r="H76" i="31" s="1"/>
  <c r="F48" i="24"/>
  <c r="F62" i="24" s="1"/>
  <c r="H5" i="31" s="1"/>
  <c r="J48" i="24"/>
  <c r="J62" i="24" s="1"/>
  <c r="N48" i="24"/>
  <c r="N62" i="24" s="1"/>
  <c r="R48" i="24"/>
  <c r="R62" i="24" s="1"/>
  <c r="H17" i="31" s="1"/>
  <c r="V48" i="24"/>
  <c r="V62" i="24" s="1"/>
  <c r="H21" i="31" s="1"/>
  <c r="Z48" i="24"/>
  <c r="Z62" i="24" s="1"/>
  <c r="AD48" i="24"/>
  <c r="AD62" i="24" s="1"/>
  <c r="H29" i="31" s="1"/>
  <c r="AH48" i="24"/>
  <c r="AH62" i="24" s="1"/>
  <c r="AL48" i="24"/>
  <c r="AL62" i="24" s="1"/>
  <c r="AP48" i="24"/>
  <c r="AP62" i="24" s="1"/>
  <c r="H41" i="31" s="1"/>
  <c r="AT48" i="24"/>
  <c r="AT62" i="24" s="1"/>
  <c r="AX48" i="24"/>
  <c r="AX62" i="24" s="1"/>
  <c r="BB48" i="24"/>
  <c r="BB62" i="24" s="1"/>
  <c r="H53" i="31" s="1"/>
  <c r="BF48" i="24"/>
  <c r="BF62" i="24" s="1"/>
  <c r="BJ48" i="24"/>
  <c r="BJ62" i="24" s="1"/>
  <c r="H61" i="31" s="1"/>
  <c r="BN48" i="24"/>
  <c r="BN62" i="24" s="1"/>
  <c r="C300" i="32" s="1"/>
  <c r="BR48" i="24"/>
  <c r="BR62" i="24" s="1"/>
  <c r="H69" i="31" s="1"/>
  <c r="BV48" i="24"/>
  <c r="BV62" i="24" s="1"/>
  <c r="BZ48" i="24"/>
  <c r="BZ62" i="24" s="1"/>
  <c r="H77" i="31" s="1"/>
  <c r="CD48" i="24"/>
  <c r="H108" i="32"/>
  <c r="H52" i="31"/>
  <c r="O12" i="31"/>
  <c r="F51" i="32"/>
  <c r="O28" i="31"/>
  <c r="H115" i="32"/>
  <c r="O44" i="31"/>
  <c r="C211" i="32"/>
  <c r="O52" i="31"/>
  <c r="D243" i="32"/>
  <c r="O64" i="31"/>
  <c r="I275" i="32"/>
  <c r="O76" i="31"/>
  <c r="G339" i="32"/>
  <c r="AE2" i="31"/>
  <c r="C26" i="32"/>
  <c r="CE89" i="24"/>
  <c r="AE14" i="31"/>
  <c r="H58" i="32"/>
  <c r="AE30" i="31"/>
  <c r="C154" i="32"/>
  <c r="I384" i="32"/>
  <c r="L612" i="24"/>
  <c r="H10" i="31"/>
  <c r="I332" i="32"/>
  <c r="O5" i="31"/>
  <c r="F19" i="32"/>
  <c r="O9" i="31"/>
  <c r="C51" i="32"/>
  <c r="O13" i="31"/>
  <c r="G51" i="32"/>
  <c r="O17" i="31"/>
  <c r="D83" i="32"/>
  <c r="O21" i="31"/>
  <c r="H83" i="32"/>
  <c r="O25" i="31"/>
  <c r="E115" i="32"/>
  <c r="O29" i="31"/>
  <c r="I115" i="32"/>
  <c r="O33" i="31"/>
  <c r="F147" i="32"/>
  <c r="O37" i="31"/>
  <c r="C179" i="32"/>
  <c r="O41" i="31"/>
  <c r="G179" i="32"/>
  <c r="O45" i="31"/>
  <c r="D211" i="32"/>
  <c r="O49" i="31"/>
  <c r="H211" i="32"/>
  <c r="O53" i="31"/>
  <c r="E243" i="32"/>
  <c r="O57" i="31"/>
  <c r="I243" i="32"/>
  <c r="O61" i="31"/>
  <c r="F275" i="32"/>
  <c r="O65" i="31"/>
  <c r="C307" i="32"/>
  <c r="O69" i="31"/>
  <c r="G307" i="32"/>
  <c r="O73" i="31"/>
  <c r="D339" i="32"/>
  <c r="O77" i="31"/>
  <c r="H339" i="32"/>
  <c r="E371" i="32"/>
  <c r="C615" i="24"/>
  <c r="AE3" i="31"/>
  <c r="D26" i="32"/>
  <c r="AE7" i="31"/>
  <c r="H26" i="32"/>
  <c r="AE11" i="31"/>
  <c r="E58" i="32"/>
  <c r="AE15" i="31"/>
  <c r="I58" i="32"/>
  <c r="AE19" i="31"/>
  <c r="F90" i="32"/>
  <c r="AE23" i="31"/>
  <c r="C122" i="32"/>
  <c r="AE27" i="31"/>
  <c r="G122" i="32"/>
  <c r="AE35" i="31"/>
  <c r="H154" i="32"/>
  <c r="AE39" i="31"/>
  <c r="E186" i="32"/>
  <c r="AE43" i="31"/>
  <c r="I186" i="32"/>
  <c r="CF2" i="28"/>
  <c r="D5" i="7"/>
  <c r="D258" i="24"/>
  <c r="C113" i="8"/>
  <c r="E83" i="32"/>
  <c r="O4" i="31"/>
  <c r="E19" i="32"/>
  <c r="O16" i="31"/>
  <c r="C83" i="32"/>
  <c r="O20" i="31"/>
  <c r="G83" i="32"/>
  <c r="O32" i="31"/>
  <c r="E147" i="32"/>
  <c r="O36" i="31"/>
  <c r="I147" i="32"/>
  <c r="O48" i="31"/>
  <c r="G211" i="32"/>
  <c r="O60" i="31"/>
  <c r="E275" i="32"/>
  <c r="O68" i="31"/>
  <c r="F307" i="32"/>
  <c r="O72" i="31"/>
  <c r="C339" i="32"/>
  <c r="E373" i="32"/>
  <c r="C94" i="15"/>
  <c r="G94" i="15" s="1"/>
  <c r="AE10" i="31"/>
  <c r="D58" i="32"/>
  <c r="AE18" i="31"/>
  <c r="E90" i="32"/>
  <c r="AE26" i="31"/>
  <c r="F122" i="32"/>
  <c r="AE38" i="31"/>
  <c r="D186" i="32"/>
  <c r="D371" i="32"/>
  <c r="H14" i="31"/>
  <c r="H44" i="32"/>
  <c r="C140" i="32"/>
  <c r="I366" i="32"/>
  <c r="F612" i="24"/>
  <c r="O2" i="31"/>
  <c r="C19" i="32"/>
  <c r="O6" i="31"/>
  <c r="G19" i="32"/>
  <c r="O10" i="31"/>
  <c r="D51" i="32"/>
  <c r="O14" i="31"/>
  <c r="H51" i="32"/>
  <c r="O22" i="31"/>
  <c r="I83" i="32"/>
  <c r="O26" i="31"/>
  <c r="F115" i="32"/>
  <c r="O30" i="31"/>
  <c r="C147" i="32"/>
  <c r="O34" i="31"/>
  <c r="G147" i="32"/>
  <c r="O38" i="31"/>
  <c r="D179" i="32"/>
  <c r="O42" i="31"/>
  <c r="H179" i="32"/>
  <c r="O50" i="31"/>
  <c r="I211" i="32"/>
  <c r="O54" i="31"/>
  <c r="F243" i="32"/>
  <c r="O58" i="31"/>
  <c r="C275" i="32"/>
  <c r="O62" i="31"/>
  <c r="G275" i="32"/>
  <c r="O66" i="31"/>
  <c r="D307" i="32"/>
  <c r="O70" i="31"/>
  <c r="H307" i="32"/>
  <c r="O74" i="31"/>
  <c r="E339" i="32"/>
  <c r="O78" i="31"/>
  <c r="I339" i="32"/>
  <c r="I380" i="32"/>
  <c r="D612" i="24"/>
  <c r="CF90" i="24"/>
  <c r="F63" i="15"/>
  <c r="E211" i="32"/>
  <c r="H76" i="32"/>
  <c r="O8" i="31"/>
  <c r="I19" i="32"/>
  <c r="O24" i="31"/>
  <c r="D115" i="32"/>
  <c r="O40" i="31"/>
  <c r="F179" i="32"/>
  <c r="O56" i="31"/>
  <c r="H243" i="32"/>
  <c r="AE6" i="31"/>
  <c r="G26" i="32"/>
  <c r="AE22" i="31"/>
  <c r="I90" i="32"/>
  <c r="AE34" i="31"/>
  <c r="G154" i="32"/>
  <c r="C86" i="8"/>
  <c r="D341" i="24"/>
  <c r="C87" i="8" s="1"/>
  <c r="BK2" i="30"/>
  <c r="I362" i="32"/>
  <c r="H612" i="24"/>
  <c r="O3" i="31"/>
  <c r="D19" i="32"/>
  <c r="O7" i="31"/>
  <c r="H19" i="32"/>
  <c r="O11" i="31"/>
  <c r="E51" i="32"/>
  <c r="O15" i="31"/>
  <c r="I51" i="32"/>
  <c r="O19" i="31"/>
  <c r="F83" i="32"/>
  <c r="O23" i="31"/>
  <c r="C115" i="32"/>
  <c r="O27" i="31"/>
  <c r="G115" i="32"/>
  <c r="O31" i="31"/>
  <c r="D147" i="32"/>
  <c r="O35" i="31"/>
  <c r="H147" i="32"/>
  <c r="O39" i="31"/>
  <c r="E179" i="32"/>
  <c r="O43" i="31"/>
  <c r="I179" i="32"/>
  <c r="O47" i="31"/>
  <c r="F211" i="32"/>
  <c r="O51" i="31"/>
  <c r="C243" i="32"/>
  <c r="O55" i="31"/>
  <c r="G243" i="32"/>
  <c r="O59" i="31"/>
  <c r="D275" i="32"/>
  <c r="O63" i="31"/>
  <c r="H275" i="32"/>
  <c r="O67" i="31"/>
  <c r="E307" i="32"/>
  <c r="O71" i="31"/>
  <c r="I307" i="32"/>
  <c r="O75" i="31"/>
  <c r="F339" i="32"/>
  <c r="O79" i="31"/>
  <c r="C371" i="32"/>
  <c r="AE5" i="31"/>
  <c r="F26" i="32"/>
  <c r="AE9" i="31"/>
  <c r="C58" i="32"/>
  <c r="AE13" i="31"/>
  <c r="G58" i="32"/>
  <c r="AE17" i="31"/>
  <c r="D90" i="32"/>
  <c r="AE21" i="31"/>
  <c r="H90" i="32"/>
  <c r="AE25" i="31"/>
  <c r="E122" i="32"/>
  <c r="AE29" i="31"/>
  <c r="I122" i="32"/>
  <c r="AE33" i="31"/>
  <c r="F154" i="32"/>
  <c r="AE37" i="31"/>
  <c r="C186" i="32"/>
  <c r="AE41" i="31"/>
  <c r="G186" i="32"/>
  <c r="AE45" i="31"/>
  <c r="D218" i="32"/>
  <c r="F25" i="6"/>
  <c r="E233" i="24"/>
  <c r="F32" i="6" s="1"/>
  <c r="AE42" i="31"/>
  <c r="H186" i="32"/>
  <c r="AE46" i="31"/>
  <c r="E218" i="32"/>
  <c r="C363" i="24"/>
  <c r="DF2" i="30"/>
  <c r="C170" i="8"/>
  <c r="AE47" i="31"/>
  <c r="F218" i="32"/>
  <c r="G19" i="4"/>
  <c r="E19" i="4"/>
  <c r="E220" i="24"/>
  <c r="BP2" i="30"/>
  <c r="C119" i="8"/>
  <c r="F420" i="24"/>
  <c r="I612" i="24"/>
  <c r="I26" i="32"/>
  <c r="C253" i="32"/>
  <c r="AE4" i="31"/>
  <c r="E26" i="32"/>
  <c r="AE12" i="31"/>
  <c r="F58" i="32"/>
  <c r="AE16" i="31"/>
  <c r="C90" i="32"/>
  <c r="AE24" i="31"/>
  <c r="D122" i="32"/>
  <c r="AE32" i="31"/>
  <c r="E154" i="32"/>
  <c r="AE36" i="31"/>
  <c r="I154" i="32"/>
  <c r="AE40" i="31"/>
  <c r="F186" i="32"/>
  <c r="AE44" i="31"/>
  <c r="C218" i="32"/>
  <c r="CE91" i="24"/>
  <c r="G28" i="4"/>
  <c r="E28" i="4"/>
  <c r="D308" i="24"/>
  <c r="D383" i="24"/>
  <c r="C137" i="8" s="1"/>
  <c r="D416" i="24"/>
  <c r="J612" i="24"/>
  <c r="F30" i="15"/>
  <c r="F34" i="15"/>
  <c r="F48" i="15"/>
  <c r="G90" i="32"/>
  <c r="H122" i="32"/>
  <c r="F59" i="15"/>
  <c r="F65" i="15"/>
  <c r="F69" i="15"/>
  <c r="F64" i="15"/>
  <c r="C648" i="34"/>
  <c r="M716" i="34" s="1"/>
  <c r="D615" i="34"/>
  <c r="C715" i="34"/>
  <c r="H80" i="31" l="1"/>
  <c r="AA2" i="29"/>
  <c r="D7" i="4"/>
  <c r="E156" i="24"/>
  <c r="D10" i="4" s="1"/>
  <c r="D9" i="4"/>
  <c r="AK2" i="29"/>
  <c r="AF2" i="29"/>
  <c r="D8" i="4"/>
  <c r="E172" i="32"/>
  <c r="H140" i="32"/>
  <c r="E76" i="32"/>
  <c r="I108" i="32"/>
  <c r="D300" i="32"/>
  <c r="I300" i="32"/>
  <c r="D350" i="24"/>
  <c r="D12" i="33"/>
  <c r="CC52" i="24"/>
  <c r="CC67" i="24" s="1"/>
  <c r="BY52" i="24"/>
  <c r="BY67" i="24" s="1"/>
  <c r="BU52" i="24"/>
  <c r="BU67" i="24" s="1"/>
  <c r="BQ52" i="24"/>
  <c r="BQ67" i="24" s="1"/>
  <c r="BM52" i="24"/>
  <c r="BM67" i="24" s="1"/>
  <c r="BI52" i="24"/>
  <c r="BI67" i="24" s="1"/>
  <c r="BI85" i="24" s="1"/>
  <c r="C634" i="24" s="1"/>
  <c r="BE52" i="24"/>
  <c r="BE67" i="24" s="1"/>
  <c r="BA52" i="24"/>
  <c r="BA67" i="24" s="1"/>
  <c r="AW52" i="24"/>
  <c r="AW67" i="24" s="1"/>
  <c r="AS52" i="24"/>
  <c r="AS67" i="24" s="1"/>
  <c r="AO52" i="24"/>
  <c r="AO67" i="24" s="1"/>
  <c r="AK52" i="24"/>
  <c r="AK67" i="24" s="1"/>
  <c r="AG52" i="24"/>
  <c r="AG67" i="24" s="1"/>
  <c r="AG85" i="24" s="1"/>
  <c r="AC52" i="24"/>
  <c r="AC67" i="24" s="1"/>
  <c r="AC85" i="24" s="1"/>
  <c r="Y52" i="24"/>
  <c r="Y67" i="24" s="1"/>
  <c r="U52" i="24"/>
  <c r="U67" i="24" s="1"/>
  <c r="Q52" i="24"/>
  <c r="Q67" i="24" s="1"/>
  <c r="M52" i="24"/>
  <c r="M67" i="24" s="1"/>
  <c r="I52" i="24"/>
  <c r="I67" i="24" s="1"/>
  <c r="E52" i="24"/>
  <c r="E67" i="24" s="1"/>
  <c r="L52" i="24"/>
  <c r="L67" i="24" s="1"/>
  <c r="D52" i="24"/>
  <c r="D67" i="24" s="1"/>
  <c r="CA52" i="24"/>
  <c r="CA67" i="24" s="1"/>
  <c r="BO52" i="24"/>
  <c r="BO67" i="24" s="1"/>
  <c r="BO85" i="24" s="1"/>
  <c r="D309" i="32" s="1"/>
  <c r="BG52" i="24"/>
  <c r="BG67" i="24" s="1"/>
  <c r="AY52" i="24"/>
  <c r="AY67" i="24" s="1"/>
  <c r="AQ52" i="24"/>
  <c r="AQ67" i="24" s="1"/>
  <c r="AI52" i="24"/>
  <c r="AI67" i="24" s="1"/>
  <c r="AA52" i="24"/>
  <c r="AA67" i="24" s="1"/>
  <c r="S52" i="24"/>
  <c r="S67" i="24" s="1"/>
  <c r="K52" i="24"/>
  <c r="K67" i="24" s="1"/>
  <c r="C52" i="24"/>
  <c r="CD52" i="24"/>
  <c r="BR52" i="24"/>
  <c r="BR67" i="24" s="1"/>
  <c r="BJ52" i="24"/>
  <c r="BJ67" i="24" s="1"/>
  <c r="BB52" i="24"/>
  <c r="BB67" i="24" s="1"/>
  <c r="AT52" i="24"/>
  <c r="AT67" i="24" s="1"/>
  <c r="AL52" i="24"/>
  <c r="AL67" i="24" s="1"/>
  <c r="AL85" i="24" s="1"/>
  <c r="Z52" i="24"/>
  <c r="Z67" i="24" s="1"/>
  <c r="Z85" i="24" s="1"/>
  <c r="R52" i="24"/>
  <c r="R67" i="24" s="1"/>
  <c r="J52" i="24"/>
  <c r="J67" i="24" s="1"/>
  <c r="CB52" i="24"/>
  <c r="CB67" i="24" s="1"/>
  <c r="BX52" i="24"/>
  <c r="BX67" i="24" s="1"/>
  <c r="BT52" i="24"/>
  <c r="BT67" i="24" s="1"/>
  <c r="BP52" i="24"/>
  <c r="BP67" i="24" s="1"/>
  <c r="BL52" i="24"/>
  <c r="BL67" i="24" s="1"/>
  <c r="BL85" i="24" s="1"/>
  <c r="H277" i="32" s="1"/>
  <c r="BH52" i="24"/>
  <c r="BH67" i="24" s="1"/>
  <c r="BH85" i="24" s="1"/>
  <c r="BD52" i="24"/>
  <c r="BD67" i="24" s="1"/>
  <c r="AZ52" i="24"/>
  <c r="AZ67" i="24" s="1"/>
  <c r="AV52" i="24"/>
  <c r="AV67" i="24" s="1"/>
  <c r="AR52" i="24"/>
  <c r="AR67" i="24" s="1"/>
  <c r="AN52" i="24"/>
  <c r="AN67" i="24" s="1"/>
  <c r="AN85" i="24" s="1"/>
  <c r="E181" i="32" s="1"/>
  <c r="AJ52" i="24"/>
  <c r="AJ67" i="24" s="1"/>
  <c r="AF52" i="24"/>
  <c r="AF67" i="24" s="1"/>
  <c r="AF85" i="24" s="1"/>
  <c r="AB52" i="24"/>
  <c r="AB67" i="24" s="1"/>
  <c r="AB85" i="24" s="1"/>
  <c r="X52" i="24"/>
  <c r="X67" i="24" s="1"/>
  <c r="T52" i="24"/>
  <c r="T67" i="24" s="1"/>
  <c r="P52" i="24"/>
  <c r="P67" i="24" s="1"/>
  <c r="P85" i="24" s="1"/>
  <c r="C28" i="15" s="1"/>
  <c r="H52" i="24"/>
  <c r="H67" i="24" s="1"/>
  <c r="BW52" i="24"/>
  <c r="BW67" i="24" s="1"/>
  <c r="BW85" i="24" s="1"/>
  <c r="E341" i="32" s="1"/>
  <c r="BK52" i="24"/>
  <c r="BK67" i="24" s="1"/>
  <c r="BC52" i="24"/>
  <c r="BC67" i="24" s="1"/>
  <c r="BC85" i="24" s="1"/>
  <c r="AU52" i="24"/>
  <c r="AU67" i="24" s="1"/>
  <c r="AM52" i="24"/>
  <c r="AM67" i="24" s="1"/>
  <c r="AM85" i="24" s="1"/>
  <c r="C704" i="24" s="1"/>
  <c r="AE52" i="24"/>
  <c r="AE67" i="24" s="1"/>
  <c r="W52" i="24"/>
  <c r="W67" i="24" s="1"/>
  <c r="O52" i="24"/>
  <c r="O67" i="24" s="1"/>
  <c r="G52" i="24"/>
  <c r="G67" i="24" s="1"/>
  <c r="BZ52" i="24"/>
  <c r="BZ67" i="24" s="1"/>
  <c r="BV52" i="24"/>
  <c r="BV67" i="24" s="1"/>
  <c r="BN52" i="24"/>
  <c r="BN67" i="24" s="1"/>
  <c r="BF52" i="24"/>
  <c r="BF67" i="24" s="1"/>
  <c r="BF85" i="24" s="1"/>
  <c r="AX52" i="24"/>
  <c r="AX67" i="24" s="1"/>
  <c r="AP52" i="24"/>
  <c r="AP67" i="24" s="1"/>
  <c r="AH52" i="24"/>
  <c r="AH67" i="24" s="1"/>
  <c r="V52" i="24"/>
  <c r="V67" i="24" s="1"/>
  <c r="V85" i="24" s="1"/>
  <c r="H85" i="32" s="1"/>
  <c r="N52" i="24"/>
  <c r="N67" i="24" s="1"/>
  <c r="F52" i="24"/>
  <c r="F67" i="24" s="1"/>
  <c r="F85" i="24" s="1"/>
  <c r="F21" i="32" s="1"/>
  <c r="BS52" i="24"/>
  <c r="BS67" i="24" s="1"/>
  <c r="AD52" i="24"/>
  <c r="AD67" i="24" s="1"/>
  <c r="BX85" i="24"/>
  <c r="C88" i="15" s="1"/>
  <c r="G88" i="15" s="1"/>
  <c r="AV85" i="24"/>
  <c r="F213" i="32" s="1"/>
  <c r="H46" i="31"/>
  <c r="H57" i="31"/>
  <c r="H9" i="31"/>
  <c r="H62" i="31"/>
  <c r="E332" i="32"/>
  <c r="F12" i="32"/>
  <c r="BM85" i="24"/>
  <c r="C638" i="24" s="1"/>
  <c r="H16" i="31"/>
  <c r="E236" i="32"/>
  <c r="I85" i="24"/>
  <c r="C21" i="15" s="1"/>
  <c r="G21" i="15" s="1"/>
  <c r="H48" i="31"/>
  <c r="H23" i="31"/>
  <c r="W85" i="24"/>
  <c r="C35" i="15" s="1"/>
  <c r="G85" i="24"/>
  <c r="G21" i="32" s="1"/>
  <c r="H11" i="31"/>
  <c r="F140" i="32"/>
  <c r="H25" i="31"/>
  <c r="H68" i="31"/>
  <c r="H36" i="31"/>
  <c r="H12" i="31"/>
  <c r="I236" i="32"/>
  <c r="C44" i="32"/>
  <c r="H32" i="31"/>
  <c r="H63" i="31"/>
  <c r="H31" i="31"/>
  <c r="C12" i="32"/>
  <c r="H2" i="31"/>
  <c r="AS85" i="24"/>
  <c r="C213" i="32" s="1"/>
  <c r="G12" i="32"/>
  <c r="BZ85" i="24"/>
  <c r="H341" i="32" s="1"/>
  <c r="I204" i="32"/>
  <c r="H65" i="31"/>
  <c r="H40" i="31"/>
  <c r="BY85" i="24"/>
  <c r="C645" i="24" s="1"/>
  <c r="H60" i="31"/>
  <c r="F204" i="32"/>
  <c r="D204" i="32"/>
  <c r="G44" i="32"/>
  <c r="G140" i="32"/>
  <c r="D76" i="32"/>
  <c r="CC85" i="24"/>
  <c r="C93" i="15" s="1"/>
  <c r="G93" i="15" s="1"/>
  <c r="H72" i="31"/>
  <c r="H56" i="31"/>
  <c r="D108" i="32"/>
  <c r="E300" i="32"/>
  <c r="H43" i="31"/>
  <c r="D332" i="32"/>
  <c r="H45" i="31"/>
  <c r="H13" i="31"/>
  <c r="U85" i="24"/>
  <c r="C33" i="15" s="1"/>
  <c r="H4" i="31"/>
  <c r="F332" i="32"/>
  <c r="H33" i="31"/>
  <c r="R85" i="24"/>
  <c r="D85" i="32" s="1"/>
  <c r="H300" i="32"/>
  <c r="F236" i="32"/>
  <c r="G332" i="32"/>
  <c r="C204" i="32"/>
  <c r="H24" i="31"/>
  <c r="H75" i="31"/>
  <c r="H47" i="31"/>
  <c r="I76" i="32"/>
  <c r="H70" i="31"/>
  <c r="H54" i="31"/>
  <c r="E85" i="24"/>
  <c r="C670" i="24" s="1"/>
  <c r="I44" i="32"/>
  <c r="D172" i="32"/>
  <c r="H204" i="32"/>
  <c r="H49" i="31"/>
  <c r="H15" i="31"/>
  <c r="E108" i="32"/>
  <c r="G172" i="32"/>
  <c r="BQ85" i="24"/>
  <c r="C623" i="24" s="1"/>
  <c r="BA85" i="24"/>
  <c r="D245" i="32" s="1"/>
  <c r="AK85" i="24"/>
  <c r="C49" i="15" s="1"/>
  <c r="E140" i="32"/>
  <c r="M85" i="24"/>
  <c r="C364" i="32"/>
  <c r="D268" i="32"/>
  <c r="G108" i="32"/>
  <c r="AP85" i="24"/>
  <c r="G181" i="32" s="1"/>
  <c r="H79" i="31"/>
  <c r="H59" i="31"/>
  <c r="H27" i="31"/>
  <c r="H73" i="31"/>
  <c r="BB85" i="24"/>
  <c r="C632" i="24" s="1"/>
  <c r="H74" i="31"/>
  <c r="I268" i="32"/>
  <c r="H28" i="31"/>
  <c r="I12" i="32"/>
  <c r="BD85" i="24"/>
  <c r="C624" i="24" s="1"/>
  <c r="C236" i="32"/>
  <c r="T85" i="24"/>
  <c r="C685" i="24" s="1"/>
  <c r="BG85" i="24"/>
  <c r="C277" i="32" s="1"/>
  <c r="AA85" i="24"/>
  <c r="F117" i="32" s="1"/>
  <c r="G300" i="32"/>
  <c r="C172" i="32"/>
  <c r="C268" i="32"/>
  <c r="H172" i="32"/>
  <c r="F108" i="32"/>
  <c r="BR85" i="24"/>
  <c r="C82" i="15" s="1"/>
  <c r="G82" i="15" s="1"/>
  <c r="AW85" i="24"/>
  <c r="Q85" i="24"/>
  <c r="C85" i="32" s="1"/>
  <c r="G236" i="32"/>
  <c r="X85" i="24"/>
  <c r="C36" i="15" s="1"/>
  <c r="F76" i="32"/>
  <c r="H37" i="31"/>
  <c r="H332" i="32"/>
  <c r="F268" i="32"/>
  <c r="BE85" i="24"/>
  <c r="C614" i="24" s="1"/>
  <c r="G76" i="32"/>
  <c r="H12" i="32"/>
  <c r="BP85" i="24"/>
  <c r="E309" i="32" s="1"/>
  <c r="AJ85" i="24"/>
  <c r="C48" i="15" s="1"/>
  <c r="H7" i="31"/>
  <c r="H3" i="31"/>
  <c r="L85" i="24"/>
  <c r="C24" i="15" s="1"/>
  <c r="G24" i="15" s="1"/>
  <c r="CE48" i="24"/>
  <c r="CE62" i="24"/>
  <c r="I364" i="32" s="1"/>
  <c r="C81" i="15"/>
  <c r="G81" i="15" s="1"/>
  <c r="F309" i="32"/>
  <c r="G245" i="32"/>
  <c r="I381" i="32"/>
  <c r="G612" i="24"/>
  <c r="CF91" i="24"/>
  <c r="F16" i="6"/>
  <c r="F234" i="24"/>
  <c r="F341" i="32"/>
  <c r="E53" i="32"/>
  <c r="D716" i="34"/>
  <c r="D712" i="34"/>
  <c r="D708" i="34"/>
  <c r="D704" i="34"/>
  <c r="D700" i="34"/>
  <c r="D696" i="34"/>
  <c r="D692" i="34"/>
  <c r="D688" i="34"/>
  <c r="D684" i="34"/>
  <c r="D710" i="34"/>
  <c r="D709" i="34"/>
  <c r="D702" i="34"/>
  <c r="D701" i="34"/>
  <c r="D694" i="34"/>
  <c r="D693" i="34"/>
  <c r="D686" i="34"/>
  <c r="D685" i="34"/>
  <c r="D680" i="34"/>
  <c r="D676" i="34"/>
  <c r="D713" i="34"/>
  <c r="D705" i="34"/>
  <c r="D697" i="34"/>
  <c r="D689" i="34"/>
  <c r="D678" i="34"/>
  <c r="D677" i="34"/>
  <c r="D672" i="34"/>
  <c r="D668" i="34"/>
  <c r="D628" i="34"/>
  <c r="D622" i="34"/>
  <c r="D620" i="34"/>
  <c r="D618" i="34"/>
  <c r="D616" i="34"/>
  <c r="D711" i="34"/>
  <c r="D703" i="34"/>
  <c r="D695" i="34"/>
  <c r="D687" i="34"/>
  <c r="D673" i="34"/>
  <c r="D669" i="34"/>
  <c r="D627" i="34"/>
  <c r="D706" i="34"/>
  <c r="D698" i="34"/>
  <c r="D690" i="34"/>
  <c r="D682" i="34"/>
  <c r="D681" i="34"/>
  <c r="D674" i="34"/>
  <c r="D670" i="34"/>
  <c r="D647" i="34"/>
  <c r="D646" i="34"/>
  <c r="D645" i="34"/>
  <c r="D629" i="34"/>
  <c r="D626" i="34"/>
  <c r="D623" i="34"/>
  <c r="D621" i="34"/>
  <c r="D619" i="34"/>
  <c r="D617" i="34"/>
  <c r="D707" i="34"/>
  <c r="D699" i="34"/>
  <c r="D691" i="34"/>
  <c r="D683" i="34"/>
  <c r="D679" i="34"/>
  <c r="D675" i="34"/>
  <c r="D671" i="34"/>
  <c r="D644" i="34"/>
  <c r="D640" i="34"/>
  <c r="D636" i="34"/>
  <c r="D632" i="34"/>
  <c r="D625" i="34"/>
  <c r="D641" i="34"/>
  <c r="D637" i="34"/>
  <c r="D633" i="34"/>
  <c r="D642" i="34"/>
  <c r="D638" i="34"/>
  <c r="D634" i="34"/>
  <c r="D630" i="34"/>
  <c r="D624" i="34"/>
  <c r="D643" i="34"/>
  <c r="D635" i="34"/>
  <c r="D639" i="34"/>
  <c r="D631" i="34"/>
  <c r="C50" i="8"/>
  <c r="D352" i="24"/>
  <c r="C103" i="8" s="1"/>
  <c r="F309" i="24"/>
  <c r="K612" i="24"/>
  <c r="I378" i="32"/>
  <c r="F53" i="32"/>
  <c r="C25" i="15"/>
  <c r="G25" i="15" s="1"/>
  <c r="C678" i="24"/>
  <c r="C167" i="8"/>
  <c r="D26" i="33"/>
  <c r="E414" i="24"/>
  <c r="BN2" i="30"/>
  <c r="C117" i="8"/>
  <c r="D366" i="24"/>
  <c r="C686" i="24"/>
  <c r="I85" i="32"/>
  <c r="C707" i="24"/>
  <c r="E380" i="24"/>
  <c r="C683" i="24"/>
  <c r="C620" i="24"/>
  <c r="D373" i="32"/>
  <c r="G213" i="32"/>
  <c r="C631" i="24"/>
  <c r="C61" i="15"/>
  <c r="D149" i="32" l="1"/>
  <c r="C44" i="15"/>
  <c r="G44" i="15" s="1"/>
  <c r="C181" i="32"/>
  <c r="C50" i="15"/>
  <c r="C703" i="24"/>
  <c r="H117" i="32"/>
  <c r="C694" i="24"/>
  <c r="C41" i="15"/>
  <c r="G41" i="15" s="1"/>
  <c r="C698" i="24"/>
  <c r="E149" i="32"/>
  <c r="C45" i="15"/>
  <c r="F245" i="32"/>
  <c r="C67" i="15"/>
  <c r="G67" i="15" s="1"/>
  <c r="C633" i="24"/>
  <c r="C713" i="24"/>
  <c r="C68" i="15"/>
  <c r="G68" i="15" s="1"/>
  <c r="C66" i="15"/>
  <c r="G66" i="15" s="1"/>
  <c r="C32" i="15"/>
  <c r="G32" i="15" s="1"/>
  <c r="C54" i="15"/>
  <c r="G54" i="15" s="1"/>
  <c r="C60" i="15"/>
  <c r="C677" i="24"/>
  <c r="C90" i="15"/>
  <c r="G90" i="15" s="1"/>
  <c r="F85" i="32"/>
  <c r="C681" i="24"/>
  <c r="C643" i="24"/>
  <c r="C70" i="15"/>
  <c r="G70" i="15" s="1"/>
  <c r="C629" i="24"/>
  <c r="I245" i="32"/>
  <c r="G117" i="32"/>
  <c r="C40" i="15"/>
  <c r="G40" i="15" s="1"/>
  <c r="C693" i="24"/>
  <c r="C636" i="24"/>
  <c r="D277" i="32"/>
  <c r="C72" i="15"/>
  <c r="G72" i="15" s="1"/>
  <c r="C38" i="15"/>
  <c r="G38" i="15" s="1"/>
  <c r="C691" i="24"/>
  <c r="E117" i="32"/>
  <c r="M65" i="31"/>
  <c r="C305" i="32"/>
  <c r="E209" i="32"/>
  <c r="AU85" i="24"/>
  <c r="M46" i="31"/>
  <c r="I177" i="32"/>
  <c r="M43" i="31"/>
  <c r="F337" i="32"/>
  <c r="M75" i="31"/>
  <c r="F273" i="32"/>
  <c r="M61" i="31"/>
  <c r="K85" i="24"/>
  <c r="M10" i="31"/>
  <c r="D49" i="32"/>
  <c r="M42" i="31"/>
  <c r="H177" i="32"/>
  <c r="M24" i="31"/>
  <c r="D113" i="32"/>
  <c r="M40" i="31"/>
  <c r="F177" i="32"/>
  <c r="M56" i="31"/>
  <c r="H241" i="32"/>
  <c r="M72" i="31"/>
  <c r="C337" i="32"/>
  <c r="I53" i="32"/>
  <c r="C627" i="24"/>
  <c r="C87" i="15"/>
  <c r="G87" i="15" s="1"/>
  <c r="BU85" i="24"/>
  <c r="C341" i="32" s="1"/>
  <c r="BN85" i="24"/>
  <c r="C309" i="32" s="1"/>
  <c r="Y85" i="24"/>
  <c r="F17" i="32"/>
  <c r="M5" i="31"/>
  <c r="M41" i="31"/>
  <c r="G177" i="32"/>
  <c r="M73" i="31"/>
  <c r="D337" i="32"/>
  <c r="I81" i="32"/>
  <c r="M22" i="31"/>
  <c r="F241" i="32"/>
  <c r="M54" i="31"/>
  <c r="I49" i="32"/>
  <c r="M15" i="31"/>
  <c r="D145" i="32"/>
  <c r="M31" i="31"/>
  <c r="F209" i="32"/>
  <c r="M47" i="31"/>
  <c r="H273" i="32"/>
  <c r="M63" i="31"/>
  <c r="C369" i="32"/>
  <c r="M79" i="31"/>
  <c r="C177" i="32"/>
  <c r="M37" i="31"/>
  <c r="G305" i="32"/>
  <c r="M69" i="31"/>
  <c r="M18" i="31"/>
  <c r="E81" i="32"/>
  <c r="S85" i="24"/>
  <c r="M50" i="31"/>
  <c r="I209" i="32"/>
  <c r="AY85" i="24"/>
  <c r="M3" i="31"/>
  <c r="D17" i="32"/>
  <c r="F49" i="32"/>
  <c r="M12" i="31"/>
  <c r="H113" i="32"/>
  <c r="M28" i="31"/>
  <c r="C209" i="32"/>
  <c r="M44" i="31"/>
  <c r="E273" i="32"/>
  <c r="M60" i="31"/>
  <c r="G337" i="32"/>
  <c r="M76" i="31"/>
  <c r="D85" i="24"/>
  <c r="M33" i="31"/>
  <c r="F145" i="32"/>
  <c r="M7" i="31"/>
  <c r="H17" i="32"/>
  <c r="I337" i="32"/>
  <c r="CA85" i="24"/>
  <c r="M78" i="31"/>
  <c r="C79" i="15"/>
  <c r="G79" i="15" s="1"/>
  <c r="C644" i="24"/>
  <c r="BJ85" i="24"/>
  <c r="C74" i="15" s="1"/>
  <c r="G74" i="15" s="1"/>
  <c r="AH85" i="24"/>
  <c r="G49" i="32"/>
  <c r="M13" i="31"/>
  <c r="M49" i="31"/>
  <c r="H209" i="32"/>
  <c r="H337" i="32"/>
  <c r="M77" i="31"/>
  <c r="C145" i="32"/>
  <c r="M30" i="31"/>
  <c r="AE85" i="24"/>
  <c r="G273" i="32"/>
  <c r="BK85" i="24"/>
  <c r="M62" i="31"/>
  <c r="M19" i="31"/>
  <c r="F81" i="32"/>
  <c r="M35" i="31"/>
  <c r="H145" i="32"/>
  <c r="AZ85" i="24"/>
  <c r="M51" i="31"/>
  <c r="C241" i="32"/>
  <c r="M67" i="31"/>
  <c r="E305" i="32"/>
  <c r="M9" i="31"/>
  <c r="C49" i="32"/>
  <c r="D209" i="32"/>
  <c r="M45" i="31"/>
  <c r="M26" i="31"/>
  <c r="F113" i="32"/>
  <c r="M58" i="31"/>
  <c r="C273" i="32"/>
  <c r="E49" i="32"/>
  <c r="M11" i="31"/>
  <c r="C81" i="32"/>
  <c r="M16" i="31"/>
  <c r="E145" i="32"/>
  <c r="M32" i="31"/>
  <c r="G209" i="32"/>
  <c r="M48" i="31"/>
  <c r="I273" i="32"/>
  <c r="M64" i="31"/>
  <c r="D369" i="32"/>
  <c r="M80" i="31"/>
  <c r="BV85" i="24"/>
  <c r="N85" i="24"/>
  <c r="H305" i="32"/>
  <c r="M70" i="31"/>
  <c r="H49" i="32"/>
  <c r="O85" i="24"/>
  <c r="M14" i="31"/>
  <c r="G113" i="32"/>
  <c r="M27" i="31"/>
  <c r="D273" i="32"/>
  <c r="M59" i="31"/>
  <c r="M25" i="31"/>
  <c r="E113" i="32"/>
  <c r="M8" i="31"/>
  <c r="I17" i="32"/>
  <c r="AO85" i="24"/>
  <c r="AQ85" i="24"/>
  <c r="AR85" i="24"/>
  <c r="BS85" i="24"/>
  <c r="AX85" i="24"/>
  <c r="I113" i="32"/>
  <c r="AD85" i="24"/>
  <c r="M29" i="31"/>
  <c r="H81" i="32"/>
  <c r="M21" i="31"/>
  <c r="M57" i="31"/>
  <c r="I241" i="32"/>
  <c r="G17" i="32"/>
  <c r="M6" i="31"/>
  <c r="D177" i="32"/>
  <c r="M38" i="31"/>
  <c r="M74" i="31"/>
  <c r="E337" i="32"/>
  <c r="M23" i="31"/>
  <c r="C113" i="32"/>
  <c r="M39" i="31"/>
  <c r="E177" i="32"/>
  <c r="M55" i="31"/>
  <c r="G241" i="32"/>
  <c r="M71" i="31"/>
  <c r="I305" i="32"/>
  <c r="BT85" i="24"/>
  <c r="M17" i="31"/>
  <c r="D81" i="32"/>
  <c r="E241" i="32"/>
  <c r="M53" i="31"/>
  <c r="C67" i="24"/>
  <c r="CE52" i="24"/>
  <c r="AI85" i="24"/>
  <c r="M34" i="31"/>
  <c r="G145" i="32"/>
  <c r="M66" i="31"/>
  <c r="D305" i="32"/>
  <c r="M4" i="31"/>
  <c r="E17" i="32"/>
  <c r="M20" i="31"/>
  <c r="G81" i="32"/>
  <c r="M36" i="31"/>
  <c r="I145" i="32"/>
  <c r="M52" i="31"/>
  <c r="D241" i="32"/>
  <c r="M68" i="31"/>
  <c r="F305" i="32"/>
  <c r="CB85" i="24"/>
  <c r="J85" i="24"/>
  <c r="H85" i="24"/>
  <c r="AT85" i="24"/>
  <c r="I21" i="32"/>
  <c r="C688" i="24"/>
  <c r="C77" i="15"/>
  <c r="G77" i="15" s="1"/>
  <c r="G85" i="32"/>
  <c r="C51" i="15"/>
  <c r="G51" i="15" s="1"/>
  <c r="C687" i="24"/>
  <c r="C34" i="15"/>
  <c r="G34" i="15" s="1"/>
  <c r="I277" i="32"/>
  <c r="C671" i="24"/>
  <c r="C672" i="24"/>
  <c r="C19" i="15"/>
  <c r="G19" i="15" s="1"/>
  <c r="C674" i="24"/>
  <c r="C710" i="24"/>
  <c r="C89" i="15"/>
  <c r="G89" i="15" s="1"/>
  <c r="H149" i="32"/>
  <c r="G309" i="32"/>
  <c r="C69" i="15"/>
  <c r="C701" i="24"/>
  <c r="C30" i="15"/>
  <c r="H30" i="15" s="1"/>
  <c r="I30" i="15" s="1"/>
  <c r="C17" i="15"/>
  <c r="G17" i="15" s="1"/>
  <c r="H17" i="15" s="1"/>
  <c r="E21" i="32"/>
  <c r="C705" i="24"/>
  <c r="G341" i="32"/>
  <c r="C52" i="15"/>
  <c r="G52" i="15" s="1"/>
  <c r="C630" i="24"/>
  <c r="C73" i="15"/>
  <c r="G73" i="15" s="1"/>
  <c r="C646" i="24"/>
  <c r="C682" i="24"/>
  <c r="C637" i="24"/>
  <c r="C78" i="15"/>
  <c r="G78" i="15" s="1"/>
  <c r="H245" i="32"/>
  <c r="C18" i="15"/>
  <c r="G18" i="15" s="1"/>
  <c r="C76" i="15"/>
  <c r="G76" i="15" s="1"/>
  <c r="C57" i="15"/>
  <c r="G57" i="15" s="1"/>
  <c r="D181" i="32"/>
  <c r="C621" i="24"/>
  <c r="C626" i="24"/>
  <c r="C80" i="15"/>
  <c r="G80" i="15" s="1"/>
  <c r="C29" i="15"/>
  <c r="H29" i="15" s="1"/>
  <c r="I29" i="15" s="1"/>
  <c r="C65" i="15"/>
  <c r="G65" i="15" s="1"/>
  <c r="E277" i="32"/>
  <c r="I149" i="32"/>
  <c r="E245" i="32"/>
  <c r="C692" i="24"/>
  <c r="C697" i="24"/>
  <c r="C641" i="24"/>
  <c r="C689" i="24"/>
  <c r="C702" i="24"/>
  <c r="C618" i="24"/>
  <c r="C85" i="15"/>
  <c r="G85" i="15" s="1"/>
  <c r="C117" i="32"/>
  <c r="C71" i="15"/>
  <c r="G71" i="15" s="1"/>
  <c r="C39" i="15"/>
  <c r="G39" i="15" s="1"/>
  <c r="D615" i="24"/>
  <c r="E612" i="34"/>
  <c r="G36" i="15"/>
  <c r="H36" i="15"/>
  <c r="I36" i="15" s="1"/>
  <c r="G49" i="15"/>
  <c r="H49" i="15"/>
  <c r="I49" i="15" s="1"/>
  <c r="G35" i="15"/>
  <c r="H35" i="15"/>
  <c r="I35" i="15" s="1"/>
  <c r="C120" i="8"/>
  <c r="D367" i="24"/>
  <c r="G28" i="15"/>
  <c r="H28" i="15"/>
  <c r="I28" i="15" s="1"/>
  <c r="G48" i="15"/>
  <c r="H48" i="15"/>
  <c r="I48" i="15" s="1"/>
  <c r="G45" i="15"/>
  <c r="H45" i="15"/>
  <c r="I45" i="15" s="1"/>
  <c r="G50" i="15"/>
  <c r="H50" i="15"/>
  <c r="I50" i="15" s="1"/>
  <c r="G33" i="15"/>
  <c r="H33" i="15"/>
  <c r="I33" i="15" s="1"/>
  <c r="D715" i="34"/>
  <c r="E623" i="34"/>
  <c r="H41" i="15" l="1"/>
  <c r="I41" i="15" s="1"/>
  <c r="G30" i="15"/>
  <c r="C617" i="24"/>
  <c r="C619" i="24"/>
  <c r="F277" i="32"/>
  <c r="C711" i="24"/>
  <c r="D213" i="32"/>
  <c r="C58" i="15"/>
  <c r="G58" i="15" s="1"/>
  <c r="M2" i="31"/>
  <c r="C17" i="32"/>
  <c r="CE67" i="24"/>
  <c r="I369" i="32" s="1"/>
  <c r="C85" i="24"/>
  <c r="H309" i="32"/>
  <c r="C83" i="15"/>
  <c r="G83" i="15" s="1"/>
  <c r="C639" i="24"/>
  <c r="F149" i="32"/>
  <c r="C699" i="24"/>
  <c r="C46" i="15"/>
  <c r="G46" i="15" s="1"/>
  <c r="C63" i="15"/>
  <c r="C625" i="24"/>
  <c r="I213" i="32"/>
  <c r="D53" i="32"/>
  <c r="C23" i="15"/>
  <c r="G23" i="15" s="1"/>
  <c r="C676" i="24"/>
  <c r="E213" i="32"/>
  <c r="C59" i="15"/>
  <c r="G59" i="15" s="1"/>
  <c r="C712" i="24"/>
  <c r="C673" i="24"/>
  <c r="H21" i="32"/>
  <c r="C20" i="15"/>
  <c r="G20" i="15" s="1"/>
  <c r="H20" i="15" s="1"/>
  <c r="I20" i="15" s="1"/>
  <c r="C84" i="15"/>
  <c r="G84" i="15" s="1"/>
  <c r="C640" i="24"/>
  <c r="I309" i="32"/>
  <c r="I117" i="32"/>
  <c r="C42" i="15"/>
  <c r="G42" i="15" s="1"/>
  <c r="C695" i="24"/>
  <c r="I181" i="32"/>
  <c r="C709" i="24"/>
  <c r="C56" i="15"/>
  <c r="G56" i="15" s="1"/>
  <c r="C680" i="24"/>
  <c r="H53" i="32"/>
  <c r="C27" i="15"/>
  <c r="G53" i="32"/>
  <c r="C26" i="15"/>
  <c r="G26" i="15" s="1"/>
  <c r="C679" i="24"/>
  <c r="G277" i="32"/>
  <c r="C75" i="15"/>
  <c r="G75" i="15" s="1"/>
  <c r="C635" i="24"/>
  <c r="C647" i="24"/>
  <c r="C91" i="15"/>
  <c r="G91" i="15" s="1"/>
  <c r="I341" i="32"/>
  <c r="C22" i="15"/>
  <c r="G22" i="15" s="1"/>
  <c r="C53" i="32"/>
  <c r="C675" i="24"/>
  <c r="C700" i="24"/>
  <c r="C47" i="15"/>
  <c r="G47" i="15" s="1"/>
  <c r="G149" i="32"/>
  <c r="H181" i="32"/>
  <c r="C55" i="15"/>
  <c r="G55" i="15" s="1"/>
  <c r="C708" i="24"/>
  <c r="C642" i="24"/>
  <c r="D341" i="32"/>
  <c r="C86" i="15"/>
  <c r="G86" i="15" s="1"/>
  <c r="C690" i="24"/>
  <c r="D117" i="32"/>
  <c r="C37" i="15"/>
  <c r="C622" i="24"/>
  <c r="C373" i="32"/>
  <c r="C92" i="15"/>
  <c r="G92" i="15" s="1"/>
  <c r="C62" i="15"/>
  <c r="H213" i="32"/>
  <c r="C616" i="24"/>
  <c r="F181" i="32"/>
  <c r="C53" i="15"/>
  <c r="G53" i="15" s="1"/>
  <c r="C706" i="24"/>
  <c r="C64" i="15"/>
  <c r="G64" i="15" s="1"/>
  <c r="C628" i="24"/>
  <c r="C245" i="32"/>
  <c r="C43" i="15"/>
  <c r="C696" i="24"/>
  <c r="C149" i="32"/>
  <c r="D21" i="32"/>
  <c r="C16" i="15"/>
  <c r="G16" i="15" s="1"/>
  <c r="C669" i="24"/>
  <c r="E85" i="32"/>
  <c r="C684" i="24"/>
  <c r="C31" i="15"/>
  <c r="G31" i="15" s="1"/>
  <c r="H34" i="15"/>
  <c r="I34" i="15" s="1"/>
  <c r="G69" i="15"/>
  <c r="H69" i="15" s="1"/>
  <c r="I69" i="15" s="1"/>
  <c r="G29" i="15"/>
  <c r="E713" i="34"/>
  <c r="E709" i="34"/>
  <c r="E705" i="34"/>
  <c r="E701" i="34"/>
  <c r="E697" i="34"/>
  <c r="E693" i="34"/>
  <c r="E689" i="34"/>
  <c r="E685" i="34"/>
  <c r="E708" i="34"/>
  <c r="E707" i="34"/>
  <c r="E700" i="34"/>
  <c r="E699" i="34"/>
  <c r="E692" i="34"/>
  <c r="E691" i="34"/>
  <c r="E684" i="34"/>
  <c r="E683" i="34"/>
  <c r="E681" i="34"/>
  <c r="E677" i="34"/>
  <c r="E716" i="34"/>
  <c r="E711" i="34"/>
  <c r="E710" i="34"/>
  <c r="E703" i="34"/>
  <c r="E702" i="34"/>
  <c r="E695" i="34"/>
  <c r="E694" i="34"/>
  <c r="E687" i="34"/>
  <c r="E686" i="34"/>
  <c r="E676" i="34"/>
  <c r="E673" i="34"/>
  <c r="E669" i="34"/>
  <c r="E627" i="34"/>
  <c r="E706" i="34"/>
  <c r="E698" i="34"/>
  <c r="E690" i="34"/>
  <c r="E682" i="34"/>
  <c r="E674" i="34"/>
  <c r="E670" i="34"/>
  <c r="E647" i="34"/>
  <c r="E646" i="34"/>
  <c r="E645" i="34"/>
  <c r="E629" i="34"/>
  <c r="E626" i="34"/>
  <c r="E712" i="34"/>
  <c r="E704" i="34"/>
  <c r="E696" i="34"/>
  <c r="E688" i="34"/>
  <c r="E680" i="34"/>
  <c r="E679" i="34"/>
  <c r="E675" i="34"/>
  <c r="E671" i="34"/>
  <c r="E644" i="34"/>
  <c r="E643" i="34"/>
  <c r="E642" i="34"/>
  <c r="E641" i="34"/>
  <c r="E640" i="34"/>
  <c r="E639" i="34"/>
  <c r="E638" i="34"/>
  <c r="E637" i="34"/>
  <c r="E636" i="34"/>
  <c r="E635" i="34"/>
  <c r="E634" i="34"/>
  <c r="E633" i="34"/>
  <c r="E632" i="34"/>
  <c r="E631" i="34"/>
  <c r="E630" i="34"/>
  <c r="E625" i="34"/>
  <c r="E624" i="34"/>
  <c r="E678" i="34"/>
  <c r="E672" i="34"/>
  <c r="E668" i="34"/>
  <c r="E628" i="34"/>
  <c r="C121" i="8"/>
  <c r="D384" i="24"/>
  <c r="D716" i="24"/>
  <c r="D711" i="24"/>
  <c r="D707" i="24"/>
  <c r="D703" i="24"/>
  <c r="D699" i="24"/>
  <c r="D695" i="24"/>
  <c r="D691" i="24"/>
  <c r="D687" i="24"/>
  <c r="D683" i="24"/>
  <c r="D712" i="24"/>
  <c r="D708" i="24"/>
  <c r="D704" i="24"/>
  <c r="D700" i="24"/>
  <c r="D696" i="24"/>
  <c r="D692" i="24"/>
  <c r="D688" i="24"/>
  <c r="D713" i="24"/>
  <c r="D705" i="24"/>
  <c r="D697" i="24"/>
  <c r="D689" i="24"/>
  <c r="D679" i="24"/>
  <c r="D675" i="24"/>
  <c r="D671" i="24"/>
  <c r="D644" i="24"/>
  <c r="D643" i="24"/>
  <c r="D642" i="24"/>
  <c r="D641" i="24"/>
  <c r="D640" i="24"/>
  <c r="D639" i="24"/>
  <c r="D638" i="24"/>
  <c r="D637" i="24"/>
  <c r="D636" i="24"/>
  <c r="D635" i="24"/>
  <c r="D634" i="24"/>
  <c r="D633" i="24"/>
  <c r="D632" i="24"/>
  <c r="D631" i="24"/>
  <c r="D630" i="24"/>
  <c r="D625" i="24"/>
  <c r="D624" i="24"/>
  <c r="D710" i="24"/>
  <c r="D702" i="24"/>
  <c r="D694" i="24"/>
  <c r="D686" i="24"/>
  <c r="D684" i="24"/>
  <c r="D680" i="24"/>
  <c r="D676" i="24"/>
  <c r="D672" i="24"/>
  <c r="D668" i="24"/>
  <c r="D628" i="24"/>
  <c r="D622" i="24"/>
  <c r="D620" i="24"/>
  <c r="D618" i="24"/>
  <c r="D616" i="24"/>
  <c r="D709" i="24"/>
  <c r="D701" i="24"/>
  <c r="D693" i="24"/>
  <c r="D685" i="24"/>
  <c r="D682" i="24"/>
  <c r="D681" i="24"/>
  <c r="D677" i="24"/>
  <c r="D673" i="24"/>
  <c r="D669" i="24"/>
  <c r="D627" i="24"/>
  <c r="D698" i="24"/>
  <c r="D670" i="24"/>
  <c r="D647" i="24"/>
  <c r="D645" i="24"/>
  <c r="D629" i="24"/>
  <c r="D626" i="24"/>
  <c r="D621" i="24"/>
  <c r="D690" i="24"/>
  <c r="D623" i="24"/>
  <c r="D706" i="24"/>
  <c r="D674" i="24"/>
  <c r="D619" i="24"/>
  <c r="D678" i="24"/>
  <c r="D646" i="24"/>
  <c r="D617" i="24"/>
  <c r="C648" i="24" l="1"/>
  <c r="M716" i="24" s="1"/>
  <c r="C21" i="32"/>
  <c r="C668" i="24"/>
  <c r="C715" i="24" s="1"/>
  <c r="C15" i="15"/>
  <c r="G15" i="15" s="1"/>
  <c r="H15" i="15" s="1"/>
  <c r="CE85" i="24"/>
  <c r="G63" i="15"/>
  <c r="H63" i="15"/>
  <c r="I63" i="15" s="1"/>
  <c r="H43" i="15"/>
  <c r="I43" i="15" s="1"/>
  <c r="G43" i="15"/>
  <c r="G37" i="15"/>
  <c r="H37" i="15"/>
  <c r="I37" i="15" s="1"/>
  <c r="H27" i="15"/>
  <c r="I27" i="15" s="1"/>
  <c r="G27" i="15"/>
  <c r="D715" i="24"/>
  <c r="E623" i="24"/>
  <c r="E715" i="34"/>
  <c r="F624" i="34"/>
  <c r="C138" i="8"/>
  <c r="D417" i="24"/>
  <c r="E612" i="24" l="1"/>
  <c r="E712" i="24" s="1"/>
  <c r="C716" i="24"/>
  <c r="I373" i="32"/>
  <c r="F716" i="34"/>
  <c r="F710" i="34"/>
  <c r="F706" i="34"/>
  <c r="F702" i="34"/>
  <c r="F698" i="34"/>
  <c r="F694" i="34"/>
  <c r="F690" i="34"/>
  <c r="F686" i="34"/>
  <c r="F682" i="34"/>
  <c r="F678" i="34"/>
  <c r="F708" i="34"/>
  <c r="F700" i="34"/>
  <c r="F692" i="34"/>
  <c r="F684" i="34"/>
  <c r="F674" i="34"/>
  <c r="F670" i="34"/>
  <c r="F647" i="34"/>
  <c r="F646" i="34"/>
  <c r="F645" i="34"/>
  <c r="F629" i="34"/>
  <c r="F626" i="34"/>
  <c r="F712" i="34"/>
  <c r="F704" i="34"/>
  <c r="F696" i="34"/>
  <c r="F688" i="34"/>
  <c r="F681" i="34"/>
  <c r="F680" i="34"/>
  <c r="F679" i="34"/>
  <c r="F675" i="34"/>
  <c r="F671" i="34"/>
  <c r="F644" i="34"/>
  <c r="F643" i="34"/>
  <c r="F642" i="34"/>
  <c r="F641" i="34"/>
  <c r="F640" i="34"/>
  <c r="F639" i="34"/>
  <c r="F638" i="34"/>
  <c r="F637" i="34"/>
  <c r="F636" i="34"/>
  <c r="F635" i="34"/>
  <c r="F634" i="34"/>
  <c r="F633" i="34"/>
  <c r="F632" i="34"/>
  <c r="F631" i="34"/>
  <c r="F630" i="34"/>
  <c r="F625" i="34"/>
  <c r="F709" i="34"/>
  <c r="F707" i="34"/>
  <c r="F701" i="34"/>
  <c r="F699" i="34"/>
  <c r="F693" i="34"/>
  <c r="F691" i="34"/>
  <c r="F685" i="34"/>
  <c r="F683" i="34"/>
  <c r="F672" i="34"/>
  <c r="F668" i="34"/>
  <c r="F628" i="34"/>
  <c r="F713" i="34"/>
  <c r="F711" i="34"/>
  <c r="F705" i="34"/>
  <c r="F703" i="34"/>
  <c r="F697" i="34"/>
  <c r="F695" i="34"/>
  <c r="F689" i="34"/>
  <c r="F687" i="34"/>
  <c r="F677" i="34"/>
  <c r="F676" i="34"/>
  <c r="F673" i="34"/>
  <c r="F669" i="34"/>
  <c r="F627" i="34"/>
  <c r="C168" i="8"/>
  <c r="D421" i="24"/>
  <c r="E708" i="24"/>
  <c r="E704" i="24"/>
  <c r="E705" i="24"/>
  <c r="E701" i="24"/>
  <c r="E693" i="24"/>
  <c r="E689" i="24"/>
  <c r="E685" i="24"/>
  <c r="E702" i="24"/>
  <c r="E694" i="24"/>
  <c r="E686" i="24"/>
  <c r="E676" i="24"/>
  <c r="E672" i="24"/>
  <c r="E668" i="24"/>
  <c r="E716" i="24"/>
  <c r="E707" i="24"/>
  <c r="E699" i="24"/>
  <c r="E683" i="24"/>
  <c r="E682" i="24"/>
  <c r="E681" i="24"/>
  <c r="E673" i="24"/>
  <c r="E669" i="24"/>
  <c r="E627" i="24"/>
  <c r="E698" i="24"/>
  <c r="E690" i="24"/>
  <c r="E678" i="24"/>
  <c r="E670" i="24"/>
  <c r="E647" i="24"/>
  <c r="E646" i="24"/>
  <c r="E629" i="24"/>
  <c r="E626" i="24"/>
  <c r="E695" i="24"/>
  <c r="E641" i="24"/>
  <c r="E639" i="24"/>
  <c r="E637" i="24"/>
  <c r="E633" i="24"/>
  <c r="E631" i="24"/>
  <c r="E703" i="24"/>
  <c r="E671" i="24"/>
  <c r="E625" i="24"/>
  <c r="E679" i="24"/>
  <c r="E711" i="24"/>
  <c r="E675" i="24"/>
  <c r="E644" i="24"/>
  <c r="E642" i="24"/>
  <c r="E640" i="24"/>
  <c r="E638" i="24"/>
  <c r="E636" i="24"/>
  <c r="E634" i="24"/>
  <c r="E632" i="24"/>
  <c r="E630" i="24"/>
  <c r="E624" i="24"/>
  <c r="F624" i="24" s="1"/>
  <c r="F713" i="24" s="1"/>
  <c r="E687" i="24"/>
  <c r="E709" i="24" l="1"/>
  <c r="E684" i="24"/>
  <c r="E688" i="24"/>
  <c r="E692" i="24"/>
  <c r="E700" i="24"/>
  <c r="E635" i="24"/>
  <c r="E643" i="24"/>
  <c r="E645" i="24"/>
  <c r="E674" i="24"/>
  <c r="E706" i="24"/>
  <c r="E677" i="24"/>
  <c r="E691" i="24"/>
  <c r="E628" i="24"/>
  <c r="E680" i="24"/>
  <c r="E710" i="24"/>
  <c r="E697" i="24"/>
  <c r="E713" i="24"/>
  <c r="E696" i="24"/>
  <c r="F680" i="24"/>
  <c r="F635" i="24"/>
  <c r="F639" i="24"/>
  <c r="F679" i="24"/>
  <c r="F646" i="24"/>
  <c r="F712" i="24"/>
  <c r="F691" i="24"/>
  <c r="F702" i="24"/>
  <c r="F701" i="24"/>
  <c r="F628" i="24"/>
  <c r="F632" i="24"/>
  <c r="F640" i="24"/>
  <c r="F687" i="24"/>
  <c r="F647" i="24"/>
  <c r="F627" i="24"/>
  <c r="F699" i="24"/>
  <c r="F706" i="24"/>
  <c r="F705" i="24"/>
  <c r="F672" i="24"/>
  <c r="F668" i="24"/>
  <c r="F625" i="24"/>
  <c r="F633" i="24"/>
  <c r="F637" i="24"/>
  <c r="F641" i="24"/>
  <c r="F671" i="24"/>
  <c r="F695" i="24"/>
  <c r="F629" i="24"/>
  <c r="F670" i="24"/>
  <c r="F696" i="24"/>
  <c r="F669" i="24"/>
  <c r="F683" i="24"/>
  <c r="F707" i="24"/>
  <c r="F694" i="24"/>
  <c r="F710" i="24"/>
  <c r="F693" i="24"/>
  <c r="F709" i="24"/>
  <c r="G625" i="24"/>
  <c r="F676" i="24"/>
  <c r="F631" i="24"/>
  <c r="F643" i="24"/>
  <c r="F711" i="24"/>
  <c r="F678" i="24"/>
  <c r="F677" i="24"/>
  <c r="F686" i="24"/>
  <c r="F685" i="24"/>
  <c r="F692" i="24"/>
  <c r="F636" i="24"/>
  <c r="F644" i="24"/>
  <c r="F626" i="24"/>
  <c r="F688" i="24"/>
  <c r="F682" i="24"/>
  <c r="F690" i="24"/>
  <c r="F689" i="24"/>
  <c r="F708" i="24"/>
  <c r="F700" i="24"/>
  <c r="F630" i="24"/>
  <c r="F634" i="24"/>
  <c r="F638" i="24"/>
  <c r="F642" i="24"/>
  <c r="F675" i="24"/>
  <c r="F703" i="24"/>
  <c r="F645" i="24"/>
  <c r="F674" i="24"/>
  <c r="F704" i="24"/>
  <c r="F673" i="24"/>
  <c r="F684" i="24"/>
  <c r="F716" i="24"/>
  <c r="F698" i="24"/>
  <c r="F681" i="24"/>
  <c r="F697" i="24"/>
  <c r="C172" i="8"/>
  <c r="D424" i="24"/>
  <c r="C177" i="8" s="1"/>
  <c r="F715" i="34"/>
  <c r="G625" i="34"/>
  <c r="E715" i="24" l="1"/>
  <c r="F715" i="24"/>
  <c r="G702" i="24"/>
  <c r="G686" i="24"/>
  <c r="G707" i="24"/>
  <c r="G691" i="24"/>
  <c r="G698" i="24"/>
  <c r="G682" i="24"/>
  <c r="G703" i="24"/>
  <c r="G687" i="24"/>
  <c r="G688" i="24"/>
  <c r="G670" i="24"/>
  <c r="G629" i="24"/>
  <c r="G693" i="24"/>
  <c r="G671" i="24"/>
  <c r="G641" i="24"/>
  <c r="G710" i="24"/>
  <c r="G716" i="24"/>
  <c r="G712" i="24"/>
  <c r="G678" i="24"/>
  <c r="G645" i="24"/>
  <c r="G685" i="24"/>
  <c r="G643" i="24"/>
  <c r="G638" i="24"/>
  <c r="G634" i="24"/>
  <c r="G630" i="24"/>
  <c r="G680" i="24"/>
  <c r="G628" i="24"/>
  <c r="G683" i="24"/>
  <c r="G705" i="24"/>
  <c r="G694" i="24"/>
  <c r="G699" i="24"/>
  <c r="G647" i="24"/>
  <c r="G709" i="24"/>
  <c r="G640" i="24"/>
  <c r="G632" i="24"/>
  <c r="G672" i="24"/>
  <c r="G677" i="24"/>
  <c r="G627" i="24"/>
  <c r="G706" i="24"/>
  <c r="G711" i="24"/>
  <c r="G704" i="24"/>
  <c r="G674" i="24"/>
  <c r="G626" i="24"/>
  <c r="G679" i="24"/>
  <c r="G642" i="24"/>
  <c r="G637" i="24"/>
  <c r="G633" i="24"/>
  <c r="G708" i="24"/>
  <c r="G676" i="24"/>
  <c r="G689" i="24"/>
  <c r="G713" i="24"/>
  <c r="G669" i="24"/>
  <c r="G696" i="24"/>
  <c r="G675" i="24"/>
  <c r="G636" i="24"/>
  <c r="G700" i="24"/>
  <c r="G684" i="24"/>
  <c r="G690" i="24"/>
  <c r="G701" i="24"/>
  <c r="G631" i="24"/>
  <c r="G673" i="24"/>
  <c r="G695" i="24"/>
  <c r="G692" i="24"/>
  <c r="G646" i="24"/>
  <c r="G644" i="24"/>
  <c r="G681" i="24"/>
  <c r="G639" i="24"/>
  <c r="G668" i="24"/>
  <c r="G635" i="24"/>
  <c r="G697" i="24"/>
  <c r="G711" i="34"/>
  <c r="G707" i="34"/>
  <c r="G703" i="34"/>
  <c r="G699" i="34"/>
  <c r="G695" i="34"/>
  <c r="G691" i="34"/>
  <c r="G687" i="34"/>
  <c r="G683" i="34"/>
  <c r="G713" i="34"/>
  <c r="G712" i="34"/>
  <c r="G706" i="34"/>
  <c r="G705" i="34"/>
  <c r="G704" i="34"/>
  <c r="G698" i="34"/>
  <c r="G697" i="34"/>
  <c r="G696" i="34"/>
  <c r="G690" i="34"/>
  <c r="G689" i="34"/>
  <c r="G688" i="34"/>
  <c r="G682" i="34"/>
  <c r="G679" i="34"/>
  <c r="G681" i="34"/>
  <c r="G680" i="34"/>
  <c r="G675" i="34"/>
  <c r="G671" i="34"/>
  <c r="G644" i="34"/>
  <c r="G643" i="34"/>
  <c r="G642" i="34"/>
  <c r="G641" i="34"/>
  <c r="G640" i="34"/>
  <c r="G639" i="34"/>
  <c r="G638" i="34"/>
  <c r="G637" i="34"/>
  <c r="G636" i="34"/>
  <c r="G635" i="34"/>
  <c r="G634" i="34"/>
  <c r="G633" i="34"/>
  <c r="G632" i="34"/>
  <c r="G631" i="34"/>
  <c r="G630" i="34"/>
  <c r="G709" i="34"/>
  <c r="G701" i="34"/>
  <c r="G693" i="34"/>
  <c r="G685" i="34"/>
  <c r="G672" i="34"/>
  <c r="G668" i="34"/>
  <c r="G628" i="34"/>
  <c r="H628" i="34" s="1"/>
  <c r="G678" i="34"/>
  <c r="G677" i="34"/>
  <c r="G676" i="34"/>
  <c r="G673" i="34"/>
  <c r="G669" i="34"/>
  <c r="G627" i="34"/>
  <c r="G716" i="34"/>
  <c r="G710" i="34"/>
  <c r="G708" i="34"/>
  <c r="G702" i="34"/>
  <c r="G700" i="34"/>
  <c r="G694" i="34"/>
  <c r="G692" i="34"/>
  <c r="G686" i="34"/>
  <c r="G684" i="34"/>
  <c r="G674" i="34"/>
  <c r="G670" i="34"/>
  <c r="G647" i="34"/>
  <c r="G646" i="34"/>
  <c r="G629" i="34"/>
  <c r="G645" i="34"/>
  <c r="G626" i="34"/>
  <c r="G715" i="24" l="1"/>
  <c r="H628" i="24"/>
  <c r="H716" i="34"/>
  <c r="H712" i="34"/>
  <c r="H708" i="34"/>
  <c r="H704" i="34"/>
  <c r="H700" i="34"/>
  <c r="H696" i="34"/>
  <c r="H692" i="34"/>
  <c r="H688" i="34"/>
  <c r="H684" i="34"/>
  <c r="H711" i="34"/>
  <c r="H703" i="34"/>
  <c r="H695" i="34"/>
  <c r="H687" i="34"/>
  <c r="H680" i="34"/>
  <c r="H676" i="34"/>
  <c r="H709" i="34"/>
  <c r="H706" i="34"/>
  <c r="H701" i="34"/>
  <c r="H698" i="34"/>
  <c r="H693" i="34"/>
  <c r="H690" i="34"/>
  <c r="H685" i="34"/>
  <c r="H682" i="34"/>
  <c r="H679" i="34"/>
  <c r="H672" i="34"/>
  <c r="H668" i="34"/>
  <c r="H707" i="34"/>
  <c r="H699" i="34"/>
  <c r="H691" i="34"/>
  <c r="H683" i="34"/>
  <c r="H678" i="34"/>
  <c r="H677" i="34"/>
  <c r="H673" i="34"/>
  <c r="H669" i="34"/>
  <c r="H713" i="34"/>
  <c r="H710" i="34"/>
  <c r="H705" i="34"/>
  <c r="H702" i="34"/>
  <c r="H697" i="34"/>
  <c r="H694" i="34"/>
  <c r="H689" i="34"/>
  <c r="H686" i="34"/>
  <c r="H674" i="34"/>
  <c r="H670" i="34"/>
  <c r="H647" i="34"/>
  <c r="H646" i="34"/>
  <c r="H645" i="34"/>
  <c r="H629" i="34"/>
  <c r="H681" i="34"/>
  <c r="H675" i="34"/>
  <c r="H671" i="34"/>
  <c r="H641" i="34"/>
  <c r="H637" i="34"/>
  <c r="H633" i="34"/>
  <c r="H642" i="34"/>
  <c r="H638" i="34"/>
  <c r="H634" i="34"/>
  <c r="H630" i="34"/>
  <c r="H643" i="34"/>
  <c r="H639" i="34"/>
  <c r="H635" i="34"/>
  <c r="H631" i="34"/>
  <c r="H640" i="34"/>
  <c r="H632" i="34"/>
  <c r="H644" i="34"/>
  <c r="H636" i="34"/>
  <c r="G715" i="34"/>
  <c r="H707" i="24" l="1"/>
  <c r="H691" i="24"/>
  <c r="H708" i="24"/>
  <c r="H692" i="24"/>
  <c r="H693" i="24"/>
  <c r="H671" i="24"/>
  <c r="H641" i="24"/>
  <c r="H637" i="24"/>
  <c r="H633" i="24"/>
  <c r="H706" i="24"/>
  <c r="H676" i="24"/>
  <c r="H705" i="24"/>
  <c r="H677" i="24"/>
  <c r="H674" i="24"/>
  <c r="H678" i="24"/>
  <c r="H702" i="24"/>
  <c r="H703" i="24"/>
  <c r="H687" i="24"/>
  <c r="H704" i="24"/>
  <c r="H688" i="24"/>
  <c r="H685" i="24"/>
  <c r="H644" i="24"/>
  <c r="H640" i="24"/>
  <c r="H636" i="24"/>
  <c r="H632" i="24"/>
  <c r="H698" i="24"/>
  <c r="H672" i="24"/>
  <c r="H697" i="24"/>
  <c r="H673" i="24"/>
  <c r="H682" i="24"/>
  <c r="H646" i="24"/>
  <c r="H710" i="24"/>
  <c r="H699" i="24"/>
  <c r="H700" i="24"/>
  <c r="H679" i="24"/>
  <c r="H639" i="24"/>
  <c r="H631" i="24"/>
  <c r="H668" i="24"/>
  <c r="H669" i="24"/>
  <c r="H647" i="24"/>
  <c r="H695" i="24"/>
  <c r="H696" i="24"/>
  <c r="H675" i="24"/>
  <c r="H638" i="24"/>
  <c r="H630" i="24"/>
  <c r="H713" i="24"/>
  <c r="H686" i="24"/>
  <c r="H629" i="24"/>
  <c r="H716" i="24"/>
  <c r="H683" i="24"/>
  <c r="H709" i="24"/>
  <c r="H643" i="24"/>
  <c r="H635" i="24"/>
  <c r="H690" i="24"/>
  <c r="H689" i="24"/>
  <c r="H694" i="24"/>
  <c r="H670" i="24"/>
  <c r="H701" i="24"/>
  <c r="H684" i="24"/>
  <c r="H642" i="24"/>
  <c r="H681" i="24"/>
  <c r="H712" i="24"/>
  <c r="H711" i="24"/>
  <c r="H634" i="24"/>
  <c r="H645" i="24"/>
  <c r="H680" i="24"/>
  <c r="H715" i="34"/>
  <c r="I629" i="34"/>
  <c r="H715" i="24" l="1"/>
  <c r="I629" i="24"/>
  <c r="I713" i="34"/>
  <c r="I709" i="34"/>
  <c r="I705" i="34"/>
  <c r="I701" i="34"/>
  <c r="I697" i="34"/>
  <c r="I693" i="34"/>
  <c r="I689" i="34"/>
  <c r="I685" i="34"/>
  <c r="I710" i="34"/>
  <c r="I702" i="34"/>
  <c r="I694" i="34"/>
  <c r="I686" i="34"/>
  <c r="I681" i="34"/>
  <c r="I677" i="34"/>
  <c r="I712" i="34"/>
  <c r="I707" i="34"/>
  <c r="I704" i="34"/>
  <c r="I699" i="34"/>
  <c r="I696" i="34"/>
  <c r="I691" i="34"/>
  <c r="I688" i="34"/>
  <c r="I683" i="34"/>
  <c r="I678" i="34"/>
  <c r="I673" i="34"/>
  <c r="I669" i="34"/>
  <c r="I676" i="34"/>
  <c r="I674" i="34"/>
  <c r="I670" i="34"/>
  <c r="I647" i="34"/>
  <c r="I646" i="34"/>
  <c r="I645" i="34"/>
  <c r="I716" i="34"/>
  <c r="I711" i="34"/>
  <c r="I708" i="34"/>
  <c r="I703" i="34"/>
  <c r="I700" i="34"/>
  <c r="I695" i="34"/>
  <c r="I692" i="34"/>
  <c r="I687" i="34"/>
  <c r="I684" i="34"/>
  <c r="I675" i="34"/>
  <c r="I671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632" i="34"/>
  <c r="I631" i="34"/>
  <c r="I630" i="34"/>
  <c r="I706" i="34"/>
  <c r="I698" i="34"/>
  <c r="I690" i="34"/>
  <c r="I682" i="34"/>
  <c r="I680" i="34"/>
  <c r="I679" i="34"/>
  <c r="I672" i="34"/>
  <c r="I668" i="34"/>
  <c r="I704" i="24" l="1"/>
  <c r="M704" i="24" s="1"/>
  <c r="D183" i="32" s="1"/>
  <c r="I688" i="24"/>
  <c r="M688" i="24" s="1"/>
  <c r="I87" i="32" s="1"/>
  <c r="I705" i="24"/>
  <c r="M705" i="24" s="1"/>
  <c r="E183" i="32" s="1"/>
  <c r="I689" i="24"/>
  <c r="M689" i="24" s="1"/>
  <c r="C119" i="32" s="1"/>
  <c r="I690" i="24"/>
  <c r="I668" i="24"/>
  <c r="M668" i="24" s="1"/>
  <c r="I687" i="24"/>
  <c r="M687" i="24" s="1"/>
  <c r="H87" i="32" s="1"/>
  <c r="I710" i="24"/>
  <c r="I683" i="24"/>
  <c r="M683" i="24" s="1"/>
  <c r="D87" i="32" s="1"/>
  <c r="I674" i="24"/>
  <c r="M674" i="24" s="1"/>
  <c r="I23" i="32" s="1"/>
  <c r="I645" i="24"/>
  <c r="I633" i="24"/>
  <c r="I642" i="24"/>
  <c r="I634" i="24"/>
  <c r="I637" i="24"/>
  <c r="I639" i="24"/>
  <c r="I700" i="24"/>
  <c r="M700" i="24" s="1"/>
  <c r="G151" i="32" s="1"/>
  <c r="I684" i="24"/>
  <c r="I701" i="24"/>
  <c r="I685" i="24"/>
  <c r="M685" i="24" s="1"/>
  <c r="F87" i="32" s="1"/>
  <c r="I680" i="24"/>
  <c r="M680" i="24" s="1"/>
  <c r="H55" i="32" s="1"/>
  <c r="I711" i="24"/>
  <c r="I677" i="24"/>
  <c r="M677" i="24" s="1"/>
  <c r="I702" i="24"/>
  <c r="M702" i="24" s="1"/>
  <c r="I151" i="32" s="1"/>
  <c r="I682" i="24"/>
  <c r="I670" i="24"/>
  <c r="M670" i="24" s="1"/>
  <c r="E23" i="32" s="1"/>
  <c r="I716" i="24"/>
  <c r="I691" i="24"/>
  <c r="M691" i="24" s="1"/>
  <c r="I640" i="24"/>
  <c r="I632" i="24"/>
  <c r="I699" i="24"/>
  <c r="I635" i="24"/>
  <c r="I696" i="24"/>
  <c r="M696" i="24" s="1"/>
  <c r="C151" i="32" s="1"/>
  <c r="I697" i="24"/>
  <c r="M697" i="24" s="1"/>
  <c r="D151" i="32" s="1"/>
  <c r="I676" i="24"/>
  <c r="M676" i="24" s="1"/>
  <c r="D55" i="32" s="1"/>
  <c r="I673" i="24"/>
  <c r="M673" i="24" s="1"/>
  <c r="H23" i="32" s="1"/>
  <c r="I681" i="24"/>
  <c r="M681" i="24" s="1"/>
  <c r="I55" i="32" s="1"/>
  <c r="I671" i="24"/>
  <c r="M671" i="24" s="1"/>
  <c r="F23" i="32" s="1"/>
  <c r="I638" i="24"/>
  <c r="I679" i="24"/>
  <c r="M679" i="24" s="1"/>
  <c r="I706" i="24"/>
  <c r="M706" i="24" s="1"/>
  <c r="F183" i="32" s="1"/>
  <c r="I694" i="24"/>
  <c r="M694" i="24" s="1"/>
  <c r="H119" i="32" s="1"/>
  <c r="I675" i="24"/>
  <c r="M675" i="24" s="1"/>
  <c r="C55" i="32" s="1"/>
  <c r="I692" i="24"/>
  <c r="M692" i="24" s="1"/>
  <c r="I693" i="24"/>
  <c r="M693" i="24" s="1"/>
  <c r="I672" i="24"/>
  <c r="I669" i="24"/>
  <c r="M669" i="24" s="1"/>
  <c r="D23" i="32" s="1"/>
  <c r="I678" i="24"/>
  <c r="I643" i="24"/>
  <c r="I636" i="24"/>
  <c r="I707" i="24"/>
  <c r="M707" i="24" s="1"/>
  <c r="G183" i="32" s="1"/>
  <c r="I712" i="24"/>
  <c r="M712" i="24" s="1"/>
  <c r="E215" i="32" s="1"/>
  <c r="I713" i="24"/>
  <c r="M713" i="24" s="1"/>
  <c r="F215" i="32" s="1"/>
  <c r="I703" i="24"/>
  <c r="I647" i="24"/>
  <c r="I630" i="24"/>
  <c r="J630" i="24" s="1"/>
  <c r="I631" i="24"/>
  <c r="K644" i="24" s="1"/>
  <c r="I695" i="24"/>
  <c r="I641" i="24"/>
  <c r="I708" i="24"/>
  <c r="I686" i="24"/>
  <c r="M686" i="24" s="1"/>
  <c r="G87" i="32" s="1"/>
  <c r="I709" i="24"/>
  <c r="I646" i="24"/>
  <c r="I698" i="24"/>
  <c r="I644" i="24"/>
  <c r="I715" i="34"/>
  <c r="J630" i="34"/>
  <c r="J690" i="24" l="1"/>
  <c r="J674" i="24"/>
  <c r="J640" i="24"/>
  <c r="J676" i="24"/>
  <c r="J686" i="24"/>
  <c r="J670" i="24"/>
  <c r="J639" i="24"/>
  <c r="J680" i="24"/>
  <c r="J682" i="24"/>
  <c r="J672" i="24"/>
  <c r="J673" i="24"/>
  <c r="J633" i="24"/>
  <c r="J711" i="24"/>
  <c r="J712" i="24"/>
  <c r="J709" i="24"/>
  <c r="J637" i="24"/>
  <c r="J632" i="24"/>
  <c r="J631" i="24"/>
  <c r="J699" i="24"/>
  <c r="J647" i="24"/>
  <c r="L647" i="24" s="1"/>
  <c r="J671" i="24"/>
  <c r="J702" i="24"/>
  <c r="J694" i="24"/>
  <c r="J675" i="24"/>
  <c r="J705" i="24"/>
  <c r="J695" i="24"/>
  <c r="J645" i="24"/>
  <c r="J636" i="24"/>
  <c r="J701" i="24"/>
  <c r="J687" i="24"/>
  <c r="J716" i="24"/>
  <c r="J635" i="24"/>
  <c r="J697" i="24"/>
  <c r="J707" i="24"/>
  <c r="J638" i="24"/>
  <c r="J678" i="24"/>
  <c r="J696" i="24"/>
  <c r="J700" i="24"/>
  <c r="J692" i="24"/>
  <c r="J710" i="24"/>
  <c r="J689" i="24"/>
  <c r="J691" i="24"/>
  <c r="J685" i="24"/>
  <c r="J708" i="24"/>
  <c r="J679" i="24"/>
  <c r="J698" i="24"/>
  <c r="J693" i="24"/>
  <c r="J713" i="24"/>
  <c r="J668" i="24"/>
  <c r="J706" i="24"/>
  <c r="J644" i="24"/>
  <c r="J643" i="24"/>
  <c r="J677" i="24"/>
  <c r="J641" i="24"/>
  <c r="J703" i="24"/>
  <c r="J669" i="24"/>
  <c r="J642" i="24"/>
  <c r="J684" i="24"/>
  <c r="J704" i="24"/>
  <c r="J683" i="24"/>
  <c r="J688" i="24"/>
  <c r="J634" i="24"/>
  <c r="J681" i="24"/>
  <c r="J646" i="24"/>
  <c r="E55" i="32"/>
  <c r="E119" i="32"/>
  <c r="M715" i="24"/>
  <c r="C23" i="32"/>
  <c r="F119" i="32"/>
  <c r="F55" i="32"/>
  <c r="K706" i="24"/>
  <c r="K700" i="24"/>
  <c r="K704" i="24"/>
  <c r="K702" i="24"/>
  <c r="K692" i="24"/>
  <c r="K696" i="24"/>
  <c r="K682" i="24"/>
  <c r="K668" i="24"/>
  <c r="K715" i="24" s="1"/>
  <c r="K710" i="24"/>
  <c r="K712" i="24"/>
  <c r="K669" i="24"/>
  <c r="K680" i="24"/>
  <c r="K695" i="24"/>
  <c r="K679" i="24"/>
  <c r="K693" i="24"/>
  <c r="K675" i="24"/>
  <c r="K671" i="24"/>
  <c r="K689" i="24"/>
  <c r="K690" i="24"/>
  <c r="K678" i="24"/>
  <c r="K676" i="24"/>
  <c r="K686" i="24"/>
  <c r="K674" i="24"/>
  <c r="K672" i="24"/>
  <c r="K687" i="24"/>
  <c r="K698" i="24"/>
  <c r="K716" i="24"/>
  <c r="K709" i="24"/>
  <c r="K683" i="24"/>
  <c r="K699" i="24"/>
  <c r="K711" i="24"/>
  <c r="K705" i="24"/>
  <c r="K677" i="24"/>
  <c r="K707" i="24"/>
  <c r="K685" i="24"/>
  <c r="K670" i="24"/>
  <c r="K684" i="24"/>
  <c r="K708" i="24"/>
  <c r="K703" i="24"/>
  <c r="K681" i="24"/>
  <c r="K701" i="24"/>
  <c r="K688" i="24"/>
  <c r="K697" i="24"/>
  <c r="K691" i="24"/>
  <c r="K673" i="24"/>
  <c r="K713" i="24"/>
  <c r="K694" i="24"/>
  <c r="G55" i="32"/>
  <c r="G119" i="32"/>
  <c r="I715" i="24"/>
  <c r="J710" i="34"/>
  <c r="J706" i="34"/>
  <c r="J702" i="34"/>
  <c r="J698" i="34"/>
  <c r="J694" i="34"/>
  <c r="J690" i="34"/>
  <c r="J686" i="34"/>
  <c r="J682" i="34"/>
  <c r="J716" i="34"/>
  <c r="J709" i="34"/>
  <c r="J708" i="34"/>
  <c r="J707" i="34"/>
  <c r="J701" i="34"/>
  <c r="J700" i="34"/>
  <c r="J699" i="34"/>
  <c r="J693" i="34"/>
  <c r="J692" i="34"/>
  <c r="J691" i="34"/>
  <c r="J685" i="34"/>
  <c r="J684" i="34"/>
  <c r="J683" i="34"/>
  <c r="J678" i="34"/>
  <c r="J677" i="34"/>
  <c r="J676" i="34"/>
  <c r="J674" i="34"/>
  <c r="J670" i="34"/>
  <c r="J647" i="34"/>
  <c r="L647" i="34" s="1"/>
  <c r="J646" i="34"/>
  <c r="J645" i="34"/>
  <c r="J713" i="34"/>
  <c r="J711" i="34"/>
  <c r="J705" i="34"/>
  <c r="J703" i="34"/>
  <c r="J697" i="34"/>
  <c r="J695" i="34"/>
  <c r="J689" i="34"/>
  <c r="J687" i="34"/>
  <c r="J675" i="34"/>
  <c r="J671" i="34"/>
  <c r="J644" i="34"/>
  <c r="K644" i="34" s="1"/>
  <c r="J643" i="34"/>
  <c r="J642" i="34"/>
  <c r="J641" i="34"/>
  <c r="J640" i="34"/>
  <c r="J639" i="34"/>
  <c r="J638" i="34"/>
  <c r="J637" i="34"/>
  <c r="J636" i="34"/>
  <c r="J635" i="34"/>
  <c r="J634" i="34"/>
  <c r="J633" i="34"/>
  <c r="J632" i="34"/>
  <c r="J631" i="34"/>
  <c r="J681" i="34"/>
  <c r="J680" i="34"/>
  <c r="J679" i="34"/>
  <c r="J672" i="34"/>
  <c r="J668" i="34"/>
  <c r="J712" i="34"/>
  <c r="J704" i="34"/>
  <c r="J696" i="34"/>
  <c r="J688" i="34"/>
  <c r="J673" i="34"/>
  <c r="J669" i="34"/>
  <c r="J715" i="24" l="1"/>
  <c r="L712" i="24"/>
  <c r="L671" i="24"/>
  <c r="L706" i="24"/>
  <c r="L697" i="24"/>
  <c r="L708" i="24"/>
  <c r="M708" i="24" s="1"/>
  <c r="H183" i="32" s="1"/>
  <c r="L710" i="24"/>
  <c r="M710" i="24" s="1"/>
  <c r="C215" i="32" s="1"/>
  <c r="L678" i="24"/>
  <c r="M678" i="24" s="1"/>
  <c r="L702" i="24"/>
  <c r="L673" i="24"/>
  <c r="L670" i="24"/>
  <c r="L675" i="24"/>
  <c r="L693" i="24"/>
  <c r="L698" i="24"/>
  <c r="M698" i="24" s="1"/>
  <c r="E151" i="32" s="1"/>
  <c r="L692" i="24"/>
  <c r="L680" i="24"/>
  <c r="L716" i="24"/>
  <c r="L689" i="24"/>
  <c r="L699" i="24"/>
  <c r="M699" i="24" s="1"/>
  <c r="F151" i="32" s="1"/>
  <c r="L707" i="24"/>
  <c r="L687" i="24"/>
  <c r="L669" i="24"/>
  <c r="L695" i="24"/>
  <c r="M695" i="24" s="1"/>
  <c r="I119" i="32" s="1"/>
  <c r="L685" i="24"/>
  <c r="L691" i="24"/>
  <c r="L688" i="24"/>
  <c r="L683" i="24"/>
  <c r="L696" i="24"/>
  <c r="L686" i="24"/>
  <c r="L679" i="24"/>
  <c r="L674" i="24"/>
  <c r="L701" i="24"/>
  <c r="M701" i="24" s="1"/>
  <c r="H151" i="32" s="1"/>
  <c r="L709" i="24"/>
  <c r="M709" i="24" s="1"/>
  <c r="I183" i="32" s="1"/>
  <c r="L672" i="24"/>
  <c r="M672" i="24" s="1"/>
  <c r="G23" i="32" s="1"/>
  <c r="L690" i="24"/>
  <c r="M690" i="24" s="1"/>
  <c r="D119" i="32" s="1"/>
  <c r="L704" i="24"/>
  <c r="L677" i="24"/>
  <c r="L694" i="24"/>
  <c r="L700" i="24"/>
  <c r="L711" i="24"/>
  <c r="M711" i="24" s="1"/>
  <c r="D215" i="32" s="1"/>
  <c r="L713" i="24"/>
  <c r="L668" i="24"/>
  <c r="L715" i="24" s="1"/>
  <c r="L703" i="24"/>
  <c r="M703" i="24" s="1"/>
  <c r="C183" i="32" s="1"/>
  <c r="L705" i="24"/>
  <c r="L684" i="24"/>
  <c r="M684" i="24" s="1"/>
  <c r="E87" i="32" s="1"/>
  <c r="L682" i="24"/>
  <c r="M682" i="24" s="1"/>
  <c r="C87" i="32" s="1"/>
  <c r="L681" i="24"/>
  <c r="L676" i="24"/>
  <c r="K716" i="34"/>
  <c r="K711" i="34"/>
  <c r="K707" i="34"/>
  <c r="K703" i="34"/>
  <c r="K699" i="34"/>
  <c r="K695" i="34"/>
  <c r="K691" i="34"/>
  <c r="K687" i="34"/>
  <c r="K683" i="34"/>
  <c r="K679" i="34"/>
  <c r="K713" i="34"/>
  <c r="K705" i="34"/>
  <c r="K697" i="34"/>
  <c r="K689" i="34"/>
  <c r="K675" i="34"/>
  <c r="K671" i="34"/>
  <c r="K710" i="34"/>
  <c r="K708" i="34"/>
  <c r="K702" i="34"/>
  <c r="K700" i="34"/>
  <c r="K694" i="34"/>
  <c r="K692" i="34"/>
  <c r="K686" i="34"/>
  <c r="K684" i="34"/>
  <c r="K681" i="34"/>
  <c r="K680" i="34"/>
  <c r="K672" i="34"/>
  <c r="K668" i="34"/>
  <c r="K715" i="34" s="1"/>
  <c r="K712" i="34"/>
  <c r="K706" i="34"/>
  <c r="K704" i="34"/>
  <c r="K698" i="34"/>
  <c r="K696" i="34"/>
  <c r="K690" i="34"/>
  <c r="K688" i="34"/>
  <c r="K682" i="34"/>
  <c r="K673" i="34"/>
  <c r="K669" i="34"/>
  <c r="K709" i="34"/>
  <c r="K701" i="34"/>
  <c r="K693" i="34"/>
  <c r="K685" i="34"/>
  <c r="K678" i="34"/>
  <c r="K677" i="34"/>
  <c r="K676" i="34"/>
  <c r="K674" i="34"/>
  <c r="K670" i="34"/>
  <c r="L716" i="34"/>
  <c r="L712" i="34"/>
  <c r="M712" i="34" s="1"/>
  <c r="L708" i="34"/>
  <c r="M708" i="34" s="1"/>
  <c r="L704" i="34"/>
  <c r="M704" i="34" s="1"/>
  <c r="L700" i="34"/>
  <c r="M700" i="34" s="1"/>
  <c r="L696" i="34"/>
  <c r="M696" i="34" s="1"/>
  <c r="L692" i="34"/>
  <c r="M692" i="34" s="1"/>
  <c r="L688" i="34"/>
  <c r="M688" i="34" s="1"/>
  <c r="L684" i="34"/>
  <c r="M684" i="34" s="1"/>
  <c r="L713" i="34"/>
  <c r="M713" i="34" s="1"/>
  <c r="L706" i="34"/>
  <c r="M706" i="34" s="1"/>
  <c r="L705" i="34"/>
  <c r="M705" i="34" s="1"/>
  <c r="L698" i="34"/>
  <c r="M698" i="34" s="1"/>
  <c r="L697" i="34"/>
  <c r="M697" i="34" s="1"/>
  <c r="L690" i="34"/>
  <c r="M690" i="34" s="1"/>
  <c r="L689" i="34"/>
  <c r="M689" i="34" s="1"/>
  <c r="L682" i="34"/>
  <c r="M682" i="34" s="1"/>
  <c r="L680" i="34"/>
  <c r="M680" i="34" s="1"/>
  <c r="L676" i="34"/>
  <c r="M676" i="34" s="1"/>
  <c r="L711" i="34"/>
  <c r="M711" i="34" s="1"/>
  <c r="L710" i="34"/>
  <c r="M710" i="34" s="1"/>
  <c r="L703" i="34"/>
  <c r="M703" i="34" s="1"/>
  <c r="L702" i="34"/>
  <c r="M702" i="34" s="1"/>
  <c r="L695" i="34"/>
  <c r="M695" i="34" s="1"/>
  <c r="L694" i="34"/>
  <c r="M694" i="34" s="1"/>
  <c r="L687" i="34"/>
  <c r="M687" i="34" s="1"/>
  <c r="L686" i="34"/>
  <c r="M686" i="34" s="1"/>
  <c r="L681" i="34"/>
  <c r="M681" i="34" s="1"/>
  <c r="L672" i="34"/>
  <c r="M672" i="34" s="1"/>
  <c r="L668" i="34"/>
  <c r="L679" i="34"/>
  <c r="M679" i="34" s="1"/>
  <c r="L673" i="34"/>
  <c r="M673" i="34" s="1"/>
  <c r="L669" i="34"/>
  <c r="M669" i="34" s="1"/>
  <c r="L709" i="34"/>
  <c r="M709" i="34" s="1"/>
  <c r="L701" i="34"/>
  <c r="M701" i="34" s="1"/>
  <c r="L693" i="34"/>
  <c r="M693" i="34" s="1"/>
  <c r="L685" i="34"/>
  <c r="M685" i="34" s="1"/>
  <c r="L678" i="34"/>
  <c r="M678" i="34" s="1"/>
  <c r="L677" i="34"/>
  <c r="M677" i="34" s="1"/>
  <c r="L674" i="34"/>
  <c r="M674" i="34" s="1"/>
  <c r="L670" i="34"/>
  <c r="M670" i="34" s="1"/>
  <c r="L707" i="34"/>
  <c r="M707" i="34" s="1"/>
  <c r="L699" i="34"/>
  <c r="M699" i="34" s="1"/>
  <c r="L691" i="34"/>
  <c r="M691" i="34" s="1"/>
  <c r="L683" i="34"/>
  <c r="M683" i="34" s="1"/>
  <c r="L675" i="34"/>
  <c r="M675" i="34" s="1"/>
  <c r="L671" i="34"/>
  <c r="M671" i="34" s="1"/>
  <c r="J715" i="34"/>
  <c r="L715" i="34" l="1"/>
  <c r="M668" i="34"/>
  <c r="M715" i="34" s="1"/>
</calcChain>
</file>

<file path=xl/sharedStrings.xml><?xml version="1.0" encoding="utf-8"?>
<sst xmlns="http://schemas.openxmlformats.org/spreadsheetml/2006/main" count="4868" uniqueCount="1381">
  <si>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</si>
  <si>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</si>
  <si>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</si>
  <si>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</si>
  <si>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</si>
  <si>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</si>
  <si>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</si>
  <si>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</si>
  <si>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</si>
  <si>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</si>
  <si>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</si>
  <si>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</si>
  <si>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</si>
  <si>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</si>
  <si>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</si>
  <si>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</si>
  <si>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</si>
  <si>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</si>
  <si>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</si>
  <si>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</si>
  <si>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</si>
  <si>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</si>
  <si>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</si>
  <si>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</si>
  <si>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</si>
  <si>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</si>
  <si>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</si>
  <si>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</si>
  <si>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</si>
  <si>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</si>
  <si>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</si>
  <si>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</si>
  <si>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</si>
  <si>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</si>
  <si>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</si>
  <si>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</si>
  <si>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</si>
  <si>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</si>
  <si>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</si>
  <si>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</si>
  <si>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</si>
  <si>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</si>
  <si>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</si>
  <si>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</si>
  <si>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</si>
  <si>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</si>
  <si>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</si>
  <si>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</si>
  <si>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</si>
  <si>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</si>
  <si>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</si>
  <si>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</si>
  <si>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</si>
  <si>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</si>
  <si>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</si>
  <si>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</si>
  <si>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</si>
  <si>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</si>
  <si>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</si>
  <si>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</si>
  <si>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</si>
  <si>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</si>
  <si>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</si>
  <si>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</si>
  <si>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</si>
  <si>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</si>
  <si>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</si>
  <si>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</si>
  <si>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</si>
  <si>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</si>
  <si>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</si>
  <si>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</si>
  <si>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</si>
  <si>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</si>
  <si>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</si>
  <si>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</si>
  <si>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</si>
  <si>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</si>
  <si>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</si>
  <si>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</si>
  <si>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</si>
  <si>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</si>
  <si>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</si>
  <si>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</si>
  <si>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</si>
  <si>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</si>
  <si>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</si>
  <si>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</si>
  <si>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</si>
  <si>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</si>
  <si>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</si>
  <si>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</si>
  <si>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</si>
  <si>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</si>
  <si>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</si>
  <si>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</si>
  <si>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</si>
  <si>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</si>
  <si>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</si>
  <si>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</si>
  <si>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</si>
  <si>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</si>
  <si>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</si>
  <si>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</si>
  <si>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</si>
  <si>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</si>
  <si>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</si>
  <si>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</si>
  <si>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</si>
  <si>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</si>
  <si>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</si>
  <si>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</si>
  <si>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</si>
  <si>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</si>
  <si>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</si>
  <si>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</si>
  <si>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</si>
  <si>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</si>
  <si>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</si>
  <si>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</si>
  <si>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</si>
  <si>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</si>
  <si>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</si>
  <si>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</si>
  <si>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</si>
  <si>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</si>
  <si>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</si>
  <si>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</si>
  <si>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</si>
  <si>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</si>
  <si>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</si>
  <si>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</si>
  <si>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</si>
  <si>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</si>
  <si>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</si>
  <si>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</si>
  <si>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</si>
  <si>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</si>
  <si>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</si>
  <si>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</si>
  <si>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</si>
  <si>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</si>
  <si>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</si>
  <si>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</si>
  <si>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</si>
  <si>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</si>
  <si>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</si>
  <si>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</si>
  <si>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</si>
  <si>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</si>
  <si>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</si>
  <si>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</si>
  <si>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</si>
  <si>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</si>
  <si>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</si>
  <si>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</si>
  <si>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</si>
  <si>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</si>
  <si>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</si>
  <si>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</si>
  <si>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</si>
  <si>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</si>
  <si>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</si>
  <si>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</si>
  <si>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</si>
  <si>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</si>
  <si>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</si>
  <si>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</si>
  <si>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</si>
  <si>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</si>
  <si>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</si>
  <si>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</si>
  <si>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</si>
  <si>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</si>
  <si>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</si>
  <si>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</si>
  <si>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</si>
  <si>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</si>
  <si>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</si>
  <si>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</si>
  <si>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</si>
  <si>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</si>
  <si>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</si>
  <si>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</si>
  <si>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</si>
  <si>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</si>
  <si>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</si>
  <si>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</si>
  <si>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</si>
  <si>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</si>
  <si>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</si>
  <si>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</si>
  <si>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</si>
  <si>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</si>
  <si>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</si>
  <si>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</si>
  <si>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</si>
  <si>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</si>
  <si>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</si>
  <si>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</si>
  <si>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</si>
  <si>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</si>
  <si>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</si>
  <si>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</si>
  <si>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</si>
  <si>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</si>
  <si>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</si>
  <si>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</si>
  <si>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</si>
  <si>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</si>
  <si>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</si>
  <si>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</si>
  <si>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</si>
  <si>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</si>
  <si>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</si>
  <si>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</si>
  <si>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</si>
  <si>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</si>
  <si>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</si>
  <si>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</si>
  <si>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</si>
  <si>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</si>
  <si>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</si>
  <si>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</si>
  <si>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</si>
  <si>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</si>
  <si>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</si>
  <si>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</si>
  <si>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</si>
  <si>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</si>
  <si>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</si>
  <si>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</si>
  <si>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</si>
  <si>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</si>
  <si>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</si>
  <si>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</si>
  <si>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</si>
  <si>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</si>
  <si>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</si>
  <si>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</si>
  <si>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</si>
  <si>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</si>
  <si>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</si>
  <si>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</si>
  <si>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</si>
  <si>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</si>
  <si>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</si>
  <si>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</si>
  <si>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</si>
  <si>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</si>
  <si>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</si>
  <si>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</si>
  <si>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</si>
  <si>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</si>
  <si>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</si>
  <si>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</si>
  <si>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</si>
  <si>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</si>
  <si>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</si>
  <si>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</si>
  <si>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</si>
  <si>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</si>
  <si>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</si>
  <si>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</si>
  <si>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</si>
  <si>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</si>
  <si>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</si>
  <si>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</si>
  <si>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</si>
  <si>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</si>
  <si>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</si>
  <si>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</si>
  <si>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</si>
  <si>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</si>
  <si>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</si>
  <si>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</si>
  <si>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</si>
  <si>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</si>
  <si>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</si>
  <si>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</si>
  <si>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</si>
  <si>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</si>
  <si>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</si>
  <si>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</si>
  <si>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</si>
  <si>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</si>
  <si>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</si>
  <si>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</si>
  <si>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</si>
  <si>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</si>
  <si>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</si>
  <si>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</si>
  <si>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</si>
  <si>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</si>
  <si>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</si>
  <si>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</si>
  <si>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</si>
  <si>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</si>
  <si>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</si>
  <si>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</si>
  <si>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199</t>
  </si>
  <si>
    <t>Hospital Name</t>
  </si>
  <si>
    <t>ASTRIA TOPPENISH HOSPITAL</t>
  </si>
  <si>
    <t>Mailing Address</t>
  </si>
  <si>
    <t>502 W 4th Ave</t>
  </si>
  <si>
    <t>City</t>
  </si>
  <si>
    <t>Toppenish</t>
  </si>
  <si>
    <t>State</t>
  </si>
  <si>
    <t>Washington</t>
  </si>
  <si>
    <t>Zip</t>
  </si>
  <si>
    <t>County</t>
  </si>
  <si>
    <t>Yakima</t>
  </si>
  <si>
    <t>Chief Executive Officer</t>
  </si>
  <si>
    <t>Chief Financial Officer</t>
  </si>
  <si>
    <t>Chair of Governing Board</t>
  </si>
  <si>
    <t>Telephone Number</t>
  </si>
  <si>
    <t>509-865-3105</t>
  </si>
  <si>
    <t>Facsimile Number</t>
  </si>
  <si>
    <t>509-865-1519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</si>
  <si>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</si>
  <si>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</si>
  <si>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</si>
  <si>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</si>
  <si>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</si>
  <si>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</si>
  <si>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</si>
  <si>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</si>
  <si>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</si>
  <si>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</si>
  <si>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</si>
  <si>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</si>
  <si>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</si>
  <si>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</si>
  <si>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</si>
  <si>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</si>
  <si>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</si>
  <si>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</si>
  <si>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</si>
  <si>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</si>
  <si>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</si>
  <si>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</si>
  <si>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</si>
  <si>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</si>
  <si>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</si>
  <si>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</si>
  <si>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</si>
  <si>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</si>
  <si>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</si>
  <si>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</si>
  <si>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</si>
  <si>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</si>
  <si>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</si>
  <si>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</si>
  <si>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</si>
  <si>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</si>
  <si>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</si>
  <si>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</si>
  <si>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</si>
  <si>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</si>
  <si>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</si>
  <si>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</si>
  <si>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</si>
  <si>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</si>
  <si>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</si>
  <si>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</si>
  <si>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</si>
  <si>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</si>
  <si>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</si>
  <si>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</si>
  <si>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</si>
  <si>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</si>
  <si>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</si>
  <si>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</si>
  <si>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</si>
  <si>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</si>
  <si>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</si>
  <si>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</si>
  <si>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</si>
  <si>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</si>
  <si>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</si>
  <si>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</si>
  <si>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</si>
  <si>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</si>
  <si>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</si>
  <si>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</si>
  <si>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</si>
  <si>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</si>
  <si>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</si>
  <si>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</si>
  <si>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</si>
  <si>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</si>
  <si>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</si>
  <si>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</si>
  <si>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</si>
  <si>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</si>
  <si>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</si>
  <si>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</si>
  <si>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</si>
  <si>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</si>
  <si>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</si>
  <si>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</si>
  <si>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</si>
  <si>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</si>
  <si>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</si>
  <si>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</si>
  <si>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</si>
  <si>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</si>
  <si>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</si>
  <si>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</si>
  <si>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</si>
  <si>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</si>
  <si>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</si>
  <si>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</si>
  <si>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</si>
  <si>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</si>
  <si>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</si>
  <si>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</si>
  <si>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</si>
  <si>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</si>
  <si>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</si>
  <si>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</si>
  <si>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</si>
  <si>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</si>
  <si>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</si>
  <si>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</si>
  <si>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</si>
  <si>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</si>
  <si>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</si>
  <si>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</si>
  <si>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</si>
  <si>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</si>
  <si>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</si>
  <si>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</si>
  <si>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</si>
  <si>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</si>
  <si>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</si>
  <si>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</si>
  <si>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</si>
  <si>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</si>
  <si>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</si>
  <si>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</si>
  <si>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</si>
  <si>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</si>
  <si>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</si>
  <si>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</si>
  <si>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</si>
  <si>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</si>
  <si>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</si>
  <si>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</si>
  <si>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</si>
  <si>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</si>
  <si>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</si>
  <si>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</si>
  <si>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</si>
  <si>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</si>
  <si>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</si>
  <si>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</si>
  <si>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</si>
  <si>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</si>
  <si>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</si>
  <si>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</si>
  <si>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</si>
  <si>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</si>
  <si>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</si>
  <si>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</si>
  <si>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</si>
  <si>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</si>
  <si>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</si>
  <si>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</si>
  <si>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</si>
  <si>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</si>
  <si>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</si>
  <si>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</si>
  <si>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</si>
  <si>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</si>
  <si>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</si>
  <si>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</si>
  <si>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</si>
  <si>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</si>
  <si>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</si>
  <si>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</si>
  <si>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</si>
  <si>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</si>
  <si>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</si>
  <si>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</si>
  <si>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</si>
  <si>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</si>
  <si>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</si>
  <si>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</si>
  <si>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</si>
  <si>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</si>
  <si>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</si>
  <si>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</si>
  <si>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</si>
  <si>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</si>
  <si>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</si>
  <si>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</si>
  <si>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</si>
  <si>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</si>
  <si>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</si>
  <si>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</si>
  <si>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</si>
  <si>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</si>
  <si>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</si>
  <si>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</si>
  <si>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</si>
  <si>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</si>
  <si>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</si>
  <si>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</si>
  <si>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</si>
  <si>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</si>
  <si>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</si>
  <si>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</si>
  <si>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</si>
  <si>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</si>
  <si>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</si>
  <si>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</si>
  <si>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</si>
  <si>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</si>
  <si>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</si>
  <si>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</si>
  <si>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</si>
  <si>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</si>
  <si>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</si>
  <si>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</si>
  <si>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</si>
  <si>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</si>
  <si>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</si>
  <si>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</si>
  <si>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</si>
  <si>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</si>
  <si>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</si>
  <si>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</si>
  <si>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</si>
  <si>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</si>
  <si>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</si>
  <si>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</si>
  <si>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</si>
  <si>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</si>
  <si>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</si>
  <si>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</si>
  <si>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</si>
  <si>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</si>
  <si>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</si>
  <si>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</si>
  <si>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</si>
  <si>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</si>
  <si>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</si>
  <si>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</si>
  <si>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</si>
  <si>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</si>
  <si>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</si>
  <si>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</si>
  <si>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</si>
  <si>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</si>
  <si>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</si>
  <si>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</si>
  <si>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</si>
  <si>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</si>
  <si>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</si>
  <si>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</si>
  <si>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</si>
  <si>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</si>
  <si>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</si>
  <si>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</si>
  <si>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</si>
  <si>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</si>
  <si>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</si>
  <si>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</si>
  <si>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</si>
  <si>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</si>
  <si>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</si>
  <si>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</si>
  <si>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</si>
  <si>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</si>
  <si>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</si>
  <si>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</si>
  <si>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</si>
  <si>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</si>
  <si>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</si>
  <si>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</si>
  <si>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</si>
  <si>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</si>
  <si>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</si>
  <si>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</si>
  <si>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</si>
  <si>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</si>
  <si>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</si>
  <si>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</si>
  <si>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</si>
  <si>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</si>
  <si>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</si>
  <si>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</si>
  <si>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</si>
  <si>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</si>
  <si>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</si>
  <si>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</si>
  <si>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</si>
  <si>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</si>
  <si>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</si>
  <si>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</si>
  <si>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</si>
  <si>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</si>
  <si>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</si>
  <si>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</si>
  <si>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</si>
  <si>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</si>
  <si>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</si>
  <si>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</si>
  <si>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</si>
  <si>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</si>
  <si>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</si>
  <si>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</si>
  <si>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</si>
  <si>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</si>
  <si>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</si>
  <si>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</si>
  <si>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</si>
  <si>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</si>
  <si>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</si>
  <si>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</si>
  <si>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</si>
  <si>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</si>
  <si>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</si>
  <si>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</si>
  <si>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</si>
  <si>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</si>
  <si>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</si>
  <si>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</si>
  <si>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</si>
  <si>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</si>
  <si>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</si>
  <si>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</si>
  <si>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</si>
  <si>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</si>
  <si>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</si>
  <si>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</si>
  <si>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</si>
  <si>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</si>
  <si>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</si>
  <si>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</si>
  <si>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</si>
  <si>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</si>
  <si>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</si>
  <si>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</si>
  <si>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</si>
  <si>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</si>
  <si>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</si>
  <si>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</si>
  <si>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</si>
  <si>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</si>
  <si>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</si>
  <si>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</si>
  <si>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</si>
  <si>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</si>
  <si>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</si>
  <si>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</si>
  <si>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</si>
  <si>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</si>
  <si>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</si>
  <si>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</si>
  <si>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</si>
  <si>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</si>
  <si>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</si>
  <si>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</si>
  <si>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</si>
  <si>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</si>
  <si>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</si>
  <si>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</si>
  <si>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</si>
  <si>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</si>
  <si>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</si>
  <si>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</si>
  <si>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</si>
  <si>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</si>
  <si>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</si>
  <si>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</si>
  <si>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</si>
  <si>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</si>
  <si>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</si>
  <si>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</si>
  <si>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</si>
  <si>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</si>
  <si>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</si>
  <si>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</si>
  <si>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</si>
  <si>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</si>
  <si>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</si>
  <si>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</si>
  <si>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</si>
  <si>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</si>
  <si>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</si>
  <si>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</si>
  <si>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</si>
  <si>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</si>
  <si>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</si>
  <si>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</si>
  <si>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</si>
  <si>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</si>
  <si>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</si>
  <si>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</si>
  <si>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</si>
  <si>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</si>
  <si>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</si>
  <si>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</si>
  <si>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</si>
  <si>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</si>
  <si>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</si>
  <si>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</si>
  <si>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</si>
  <si>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</si>
  <si>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</si>
  <si>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</si>
  <si>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</si>
  <si>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</si>
  <si>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</si>
  <si>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</si>
  <si>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</si>
  <si>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</si>
  <si>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</si>
  <si>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</si>
  <si>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</si>
  <si>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</si>
  <si>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</si>
  <si>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</si>
  <si>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</si>
  <si>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</si>
  <si>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</si>
  <si>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</si>
  <si>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</si>
  <si>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</si>
  <si>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</si>
  <si>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</si>
  <si>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</si>
  <si>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</si>
  <si>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</si>
  <si>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</si>
  <si>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</si>
  <si>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</si>
  <si>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</si>
  <si>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</si>
  <si>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</si>
  <si>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</si>
  <si>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</si>
  <si>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</si>
  <si>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</si>
  <si>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</si>
  <si>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</si>
  <si>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</si>
  <si>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</si>
  <si>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</si>
  <si>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</si>
  <si>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</si>
  <si>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</si>
  <si>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</si>
  <si>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</si>
  <si>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</si>
  <si>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</si>
  <si>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</si>
  <si>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</si>
  <si>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</si>
  <si>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</si>
  <si>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</si>
  <si>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</si>
  <si>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</si>
  <si>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</si>
  <si>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</si>
  <si>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</si>
  <si>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</si>
  <si>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</si>
  <si>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</si>
  <si>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</si>
  <si>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</si>
  <si>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</si>
  <si>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</si>
  <si>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</si>
  <si>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</si>
  <si>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</si>
  <si>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</si>
  <si>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</si>
  <si>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</si>
  <si>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</si>
  <si>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</si>
  <si>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</si>
  <si>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</si>
  <si>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</si>
  <si>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</si>
  <si>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</si>
  <si>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</si>
  <si>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</si>
  <si>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</si>
  <si>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</si>
  <si>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</si>
  <si>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</si>
  <si>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</si>
  <si>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</si>
  <si>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</si>
  <si>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</si>
  <si>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</si>
  <si>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</si>
  <si>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</si>
  <si>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</si>
  <si>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</si>
  <si>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</si>
  <si>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</si>
  <si>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</si>
  <si>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</si>
  <si>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</si>
  <si>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</si>
  <si>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</si>
  <si>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</si>
  <si>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</si>
  <si>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</si>
  <si>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</si>
  <si>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</si>
  <si>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</si>
  <si>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</si>
  <si>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</si>
  <si>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</si>
  <si>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</si>
  <si>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</si>
  <si>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</si>
  <si>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</si>
  <si>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</si>
  <si>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</si>
  <si>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</si>
  <si>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</si>
  <si>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</si>
  <si>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</si>
  <si>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</si>
  <si>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</si>
  <si>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</si>
  <si>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</si>
  <si>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</si>
  <si>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</si>
  <si>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</si>
  <si>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</si>
  <si>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</si>
  <si>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</si>
  <si>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</si>
  <si>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</si>
  <si>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</si>
  <si>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</si>
  <si>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</si>
  <si>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</si>
  <si>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</si>
  <si>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</si>
  <si>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</si>
  <si>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</si>
  <si>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</si>
  <si>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</si>
  <si>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</si>
  <si>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</si>
  <si>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</si>
  <si>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</si>
  <si>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</si>
  <si>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</si>
  <si>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</si>
  <si>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</si>
  <si>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</si>
  <si>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</si>
  <si>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</si>
  <si>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</si>
  <si>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</si>
  <si>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</si>
  <si>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</si>
  <si>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</si>
  <si>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</si>
  <si>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</si>
  <si>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</si>
  <si>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</si>
  <si>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</si>
  <si>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</si>
  <si>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</si>
  <si>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</si>
  <si>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</si>
  <si>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</si>
  <si>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</si>
  <si>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</si>
  <si>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</si>
  <si>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</si>
  <si>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</si>
  <si>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</si>
  <si>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</si>
  <si>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</si>
  <si>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</si>
  <si>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</si>
  <si>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</si>
  <si>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</si>
  <si>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</si>
  <si>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</si>
  <si>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</si>
  <si>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</si>
  <si>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</si>
  <si>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</si>
  <si>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</si>
  <si>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</si>
  <si>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</si>
  <si>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</si>
  <si>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</si>
  <si>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</si>
  <si>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</si>
  <si>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</si>
  <si>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</si>
  <si>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</si>
  <si>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</si>
  <si>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</si>
  <si>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</si>
  <si>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</si>
  <si>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</si>
  <si>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</si>
  <si>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</si>
  <si>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</si>
  <si>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</si>
  <si>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</si>
  <si>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</si>
  <si>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</si>
  <si>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</si>
  <si>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</si>
  <si>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</si>
  <si>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</si>
  <si>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</si>
  <si>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</si>
  <si>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</si>
  <si>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</si>
  <si>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</si>
  <si>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</si>
  <si>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</si>
  <si>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</si>
  <si>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</si>
  <si>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</si>
  <si>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</si>
  <si>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</si>
  <si>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</si>
  <si>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</si>
  <si>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</si>
  <si>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</si>
  <si>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</si>
  <si>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</si>
  <si>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</si>
  <si>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</si>
  <si>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</si>
  <si>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</si>
  <si>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</si>
  <si>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</si>
  <si>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</si>
  <si>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</si>
  <si>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</si>
  <si>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</si>
  <si>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</si>
  <si>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</si>
  <si>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</si>
  <si>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</si>
  <si>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</si>
  <si>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</si>
  <si>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</si>
  <si>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</si>
  <si>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</si>
  <si>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</si>
  <si>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</si>
  <si>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</si>
  <si>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</si>
  <si>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</si>
  <si>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</si>
  <si>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</si>
  <si>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</si>
  <si>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</si>
  <si>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</si>
  <si>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</si>
  <si>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</si>
  <si>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</si>
  <si>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</si>
  <si>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</si>
  <si>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</si>
  <si>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</si>
  <si>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</si>
  <si>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</si>
  <si>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</si>
  <si>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</si>
  <si>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</si>
  <si>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</si>
  <si>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</si>
  <si>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</si>
  <si>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</si>
  <si>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</si>
  <si>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</si>
  <si>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</si>
  <si>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</si>
  <si>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</si>
  <si>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</si>
  <si>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</si>
  <si>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</si>
  <si>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</si>
  <si>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</si>
  <si>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</si>
  <si>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</si>
  <si>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</si>
  <si>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</si>
  <si>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</si>
  <si>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</si>
  <si>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</si>
  <si>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</si>
  <si>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</si>
  <si>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</si>
  <si>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</si>
  <si>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</si>
  <si>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</si>
  <si>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</si>
  <si>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</si>
  <si>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</si>
  <si>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</si>
  <si>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</si>
  <si>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</si>
  <si>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</si>
  <si>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</si>
  <si>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</si>
  <si>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</si>
  <si>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</si>
  <si>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</si>
  <si>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</si>
  <si>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</si>
  <si>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</si>
  <si>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</si>
  <si>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</si>
  <si>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</si>
  <si>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</si>
  <si>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</si>
  <si>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</si>
  <si>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</si>
  <si>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</si>
  <si>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</si>
  <si>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</si>
  <si>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</si>
  <si>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</si>
  <si>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</si>
  <si>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</si>
  <si>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</si>
  <si>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</si>
  <si>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</si>
  <si>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</si>
  <si>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</si>
  <si>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</si>
  <si>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</si>
  <si>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</si>
  <si>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</si>
  <si>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</si>
  <si>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</si>
  <si>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</si>
  <si>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</si>
  <si>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</si>
  <si>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</si>
  <si>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</si>
  <si>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</si>
  <si>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</si>
  <si>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</si>
  <si>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</si>
  <si>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</si>
  <si>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</si>
  <si>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#VALUE!</t>
  </si>
  <si>
    <t>12/31/2023</t>
  </si>
  <si>
    <t>Cathy Bambrick</t>
  </si>
  <si>
    <t>Maxwell Owens</t>
  </si>
  <si>
    <t>Bertha Ortega</t>
  </si>
  <si>
    <t>Tamara Wagner</t>
  </si>
  <si>
    <t>Tamara.Wagner@astria.health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</si>
  <si>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</si>
  <si>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</si>
  <si>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</si>
  <si>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</si>
  <si>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</si>
  <si>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</si>
  <si>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</si>
  <si>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</si>
  <si>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</si>
  <si>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</si>
  <si>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</si>
  <si>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</si>
  <si>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</si>
  <si>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</si>
  <si>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</si>
  <si>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</si>
  <si>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</si>
  <si>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</si>
  <si>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</si>
  <si>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</si>
  <si>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</si>
  <si>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</si>
  <si>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</si>
  <si>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</si>
  <si>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</si>
  <si>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</si>
  <si>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</si>
  <si>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</si>
  <si>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</si>
  <si>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</si>
  <si>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</si>
  <si>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</si>
  <si>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</si>
  <si>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</si>
  <si>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</si>
  <si>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</si>
  <si>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</si>
  <si>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</si>
  <si>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</si>
  <si>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</si>
  <si>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</si>
  <si>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</si>
  <si>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</si>
  <si>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</si>
  <si>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</si>
  <si>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</si>
  <si>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</si>
  <si>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</si>
  <si>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</si>
  <si>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</si>
  <si>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</si>
  <si>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</si>
  <si>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</si>
  <si>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</si>
  <si>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</si>
  <si>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</si>
  <si>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</si>
  <si>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</si>
  <si>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</si>
  <si>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</si>
  <si>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</si>
  <si>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</si>
  <si>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</si>
  <si>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</si>
  <si>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</si>
  <si>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</si>
  <si>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</si>
  <si>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</si>
  <si>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</si>
  <si>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</si>
  <si>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</si>
  <si>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</si>
  <si>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</si>
  <si>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</si>
  <si>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</si>
  <si>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</si>
  <si>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</si>
  <si>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</si>
  <si>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</si>
  <si>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</si>
  <si>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</si>
  <si>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</si>
  <si>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</si>
  <si>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</si>
  <si>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</si>
  <si>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</si>
  <si>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</si>
  <si>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</si>
  <si>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</si>
  <si>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</si>
  <si>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</si>
  <si>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</si>
  <si>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</si>
  <si>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</si>
  <si>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</si>
  <si>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</si>
  <si>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</si>
  <si>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</si>
  <si>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</si>
  <si>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</si>
  <si>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</si>
  <si>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</si>
  <si>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</si>
  <si>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</si>
  <si>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</si>
  <si>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</si>
  <si>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</si>
  <si>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</si>
  <si>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</si>
  <si>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</si>
  <si>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</si>
  <si>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</si>
  <si>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</si>
  <si>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</si>
  <si>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</si>
  <si>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</si>
  <si>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</si>
  <si>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</si>
  <si>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</si>
  <si>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</si>
  <si>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</si>
  <si>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</si>
  <si>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</si>
  <si>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</si>
  <si>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</si>
  <si>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</si>
  <si>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</si>
  <si>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</si>
  <si>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</si>
  <si>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</si>
  <si>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</si>
  <si>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</si>
  <si>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</si>
  <si>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</si>
  <si>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</si>
  <si>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</si>
  <si>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</si>
  <si>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</si>
  <si>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</si>
  <si>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</si>
  <si>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</si>
  <si>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</si>
  <si>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</si>
  <si>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</si>
  <si>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</si>
  <si>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</si>
  <si>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</si>
  <si>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</si>
  <si>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</si>
  <si>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</si>
  <si>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</si>
  <si>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</si>
  <si>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</si>
  <si>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</si>
  <si>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</si>
  <si>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</si>
  <si>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</si>
  <si>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</si>
  <si>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</si>
  <si>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</si>
  <si>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</si>
  <si>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</si>
  <si>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</si>
  <si>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</si>
  <si>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</si>
  <si>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</si>
  <si>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</si>
  <si>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</si>
  <si>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</si>
  <si>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</si>
  <si>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</si>
  <si>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</si>
  <si>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</si>
  <si>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</si>
  <si>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</si>
  <si>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</si>
  <si>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</si>
  <si>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</si>
  <si>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</si>
  <si>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</si>
  <si>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</si>
  <si>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</si>
  <si>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</si>
  <si>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</si>
  <si>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</si>
  <si>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</si>
  <si>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</si>
  <si>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</si>
  <si>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</si>
  <si>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</si>
  <si>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</si>
  <si>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</si>
  <si>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</si>
  <si>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</si>
  <si>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</si>
  <si>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</si>
  <si>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</si>
  <si>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</si>
  <si>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</si>
  <si>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</si>
  <si>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</si>
  <si>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</si>
  <si>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</si>
  <si>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</si>
  <si>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</si>
  <si>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</si>
  <si>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</si>
  <si>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</si>
  <si>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</si>
  <si>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</si>
  <si>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</si>
  <si>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</si>
  <si>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</si>
  <si>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</si>
  <si>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</si>
  <si>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</si>
  <si>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</si>
  <si>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</si>
  <si>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</si>
  <si>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</si>
  <si>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</si>
  <si>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</si>
  <si>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</si>
  <si>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</si>
  <si>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</si>
  <si>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</si>
  <si>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</si>
  <si>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</si>
  <si>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</si>
  <si>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</si>
  <si>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</si>
  <si>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</si>
  <si>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</si>
  <si>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</si>
  <si>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</si>
  <si>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</si>
  <si>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</si>
  <si>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</si>
  <si>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</si>
  <si>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</si>
  <si>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</si>
  <si>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</si>
  <si>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</si>
  <si>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</si>
  <si>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</si>
  <si>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</si>
  <si>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</si>
  <si>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</si>
  <si>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</si>
  <si>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</si>
  <si>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</si>
  <si>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</si>
  <si>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</si>
  <si>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</si>
  <si>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</si>
  <si>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</si>
  <si>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</si>
  <si>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</si>
  <si>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</si>
  <si>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</si>
  <si>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</si>
  <si>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</si>
  <si>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</si>
  <si>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</si>
  <si>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</si>
  <si>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</si>
  <si>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</si>
  <si>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</si>
  <si>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</si>
  <si>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</si>
  <si>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</si>
  <si>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</si>
  <si>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</si>
  <si>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</si>
  <si>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</si>
  <si>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</si>
  <si>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</si>
  <si>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</si>
  <si>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</si>
  <si>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</si>
  <si>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</si>
  <si>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</si>
  <si>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</si>
  <si>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</si>
  <si>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</si>
  <si>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</si>
  <si>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</si>
  <si>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</si>
  <si>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</si>
  <si>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</si>
  <si>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</si>
  <si>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</si>
  <si>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</si>
  <si>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</si>
  <si>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</si>
  <si>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</si>
  <si>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</si>
  <si>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</si>
  <si>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</si>
  <si>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</si>
  <si>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</si>
  <si>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</si>
  <si>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</si>
  <si>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</si>
  <si>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</si>
  <si>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Medical Records Sales</t>
  </si>
  <si>
    <t>Vending Sales</t>
  </si>
  <si>
    <t>Sale of Certificate of Need</t>
  </si>
  <si>
    <t>Interest Income</t>
  </si>
  <si>
    <t>Misc</t>
  </si>
  <si>
    <t>Recycling revenue</t>
  </si>
  <si>
    <t>ICU unit was combined with Acute Care unit in 2024</t>
  </si>
  <si>
    <t>2023 total included Hospitalist services $1.3M; 2024 Hospitalist $1.9M reported with Med Staff</t>
  </si>
  <si>
    <t>Matthew Matthiessen</t>
  </si>
  <si>
    <t>Sandra Cortez</t>
  </si>
  <si>
    <t>Sandra.Cortez@astria.health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</si>
</sst>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5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name val="Calibri"/>
      <family val="2"/>
    </font>
    <font>
      <b/>
      <sz val="11"/>
      <color rgb="FFD2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77">
    <xf numFmtId="37" fontId="0" fillId="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38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8" borderId="0"/>
    <xf numFmtId="0" fontId="41" fillId="28" borderId="0"/>
    <xf numFmtId="0" fontId="37" fillId="2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</cellStyleXfs>
  <cellXfs count="344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6" borderId="0" xfId="0" applyFont="1" applyFill="1"/>
    <xf numFmtId="37" fontId="16" fillId="6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6" borderId="0" xfId="0" quotePrefix="1" applyFont="1" applyFill="1" applyAlignment="1">
      <alignment horizontal="left"/>
    </xf>
    <xf numFmtId="37" fontId="16" fillId="6" borderId="0" xfId="0" applyFont="1" applyFill="1" applyAlignment="1">
      <alignment horizontal="right"/>
    </xf>
    <xf numFmtId="37" fontId="16" fillId="6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6" borderId="0" xfId="0" applyFont="1" applyFill="1" applyAlignment="1">
      <alignment horizontal="centerContinuous"/>
    </xf>
    <xf numFmtId="37" fontId="16" fillId="6" borderId="0" xfId="0" applyFont="1" applyFill="1" applyAlignment="1">
      <alignment horizontal="left" indent="1"/>
    </xf>
    <xf numFmtId="10" fontId="16" fillId="0" borderId="0" xfId="939" applyNumberFormat="1" applyFont="1"/>
    <xf numFmtId="37" fontId="16" fillId="6" borderId="0" xfId="0" applyFont="1" applyFill="1" applyAlignment="1">
      <alignment horizontal="left" indent="2"/>
    </xf>
    <xf numFmtId="37" fontId="16" fillId="6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6" borderId="0" xfId="547" applyFont="1" applyFill="1"/>
    <xf numFmtId="37" fontId="21" fillId="6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7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8" borderId="0" xfId="0" applyFont="1" applyFill="1"/>
    <xf numFmtId="37" fontId="27" fillId="8" borderId="0" xfId="0" applyFont="1" applyFill="1" applyAlignment="1">
      <alignment horizontal="center"/>
    </xf>
    <xf numFmtId="37" fontId="27" fillId="9" borderId="0" xfId="0" applyFont="1" applyFill="1"/>
    <xf numFmtId="37" fontId="27" fillId="9" borderId="0" xfId="0" applyFont="1" applyFill="1" applyAlignment="1">
      <alignment horizontal="left"/>
    </xf>
    <xf numFmtId="37" fontId="27" fillId="9" borderId="0" xfId="0" applyFont="1" applyFill="1" applyAlignment="1">
      <alignment horizontal="center"/>
    </xf>
    <xf numFmtId="39" fontId="27" fillId="9" borderId="0" xfId="0" applyNumberFormat="1" applyFont="1" applyFill="1"/>
    <xf numFmtId="39" fontId="27" fillId="8" borderId="0" xfId="0" applyNumberFormat="1" applyFont="1" applyFill="1"/>
    <xf numFmtId="37" fontId="16" fillId="6" borderId="0" xfId="0" quotePrefix="1" applyFont="1" applyFill="1" applyAlignment="1">
      <alignment horizontal="fill"/>
    </xf>
    <xf numFmtId="38" fontId="16" fillId="6" borderId="0" xfId="0" applyNumberFormat="1" applyFont="1" applyFill="1"/>
    <xf numFmtId="39" fontId="16" fillId="6" borderId="0" xfId="0" applyNumberFormat="1" applyFont="1" applyFill="1"/>
    <xf numFmtId="2" fontId="16" fillId="6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4" borderId="2" xfId="0" applyFont="1" applyFill="1" applyBorder="1"/>
    <xf numFmtId="37" fontId="28" fillId="5" borderId="2" xfId="0" applyFont="1" applyFill="1" applyBorder="1"/>
    <xf numFmtId="37" fontId="31" fillId="0" borderId="0" xfId="0" applyFont="1"/>
    <xf numFmtId="37" fontId="28" fillId="5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5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5" borderId="2" xfId="0" quotePrefix="1" applyFont="1" applyFill="1" applyBorder="1"/>
    <xf numFmtId="39" fontId="28" fillId="5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5" borderId="2" xfId="0" applyNumberFormat="1" applyFont="1" applyFill="1" applyBorder="1"/>
    <xf numFmtId="2" fontId="28" fillId="0" borderId="2" xfId="0" applyNumberFormat="1" applyFont="1" applyBorder="1"/>
    <xf numFmtId="3" fontId="28" fillId="5" borderId="2" xfId="0" applyNumberFormat="1" applyFont="1" applyFill="1" applyBorder="1"/>
    <xf numFmtId="37" fontId="16" fillId="6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0" borderId="1" xfId="0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2" fontId="18" fillId="30" borderId="1" xfId="547" quotePrefix="1" applyNumberFormat="1" applyFont="1" applyFill="1" applyBorder="1" applyProtection="1">
      <protection locked="0"/>
    </xf>
    <xf numFmtId="37" fontId="18" fillId="30" borderId="1" xfId="547" quotePrefix="1" applyNumberFormat="1" applyFont="1" applyFill="1" applyBorder="1" applyProtection="1">
      <protection locked="0"/>
    </xf>
    <xf numFmtId="37" fontId="18" fillId="30" borderId="1" xfId="547" applyNumberFormat="1" applyFont="1" applyFill="1" applyBorder="1" applyProtection="1">
      <protection locked="0"/>
    </xf>
    <xf numFmtId="2" fontId="18" fillId="30" borderId="1" xfId="0" quotePrefix="1" applyNumberFormat="1" applyFont="1" applyFill="1" applyBorder="1" applyProtection="1">
      <protection locked="0"/>
    </xf>
    <xf numFmtId="2" fontId="18" fillId="30" borderId="1" xfId="939" quotePrefix="1" applyNumberFormat="1" applyFont="1" applyFill="1" applyBorder="1" applyProtection="1">
      <protection locked="0"/>
    </xf>
    <xf numFmtId="2" fontId="18" fillId="30" borderId="1" xfId="547" applyNumberFormat="1" applyFont="1" applyFill="1" applyBorder="1" applyProtection="1">
      <protection locked="0"/>
    </xf>
    <xf numFmtId="37" fontId="18" fillId="30" borderId="1" xfId="939" quotePrefix="1" applyNumberFormat="1" applyFont="1" applyFill="1" applyBorder="1" applyProtection="1">
      <protection locked="0"/>
    </xf>
    <xf numFmtId="1" fontId="18" fillId="30" borderId="1" xfId="0" quotePrefix="1" applyNumberFormat="1" applyFont="1" applyFill="1" applyBorder="1" applyProtection="1">
      <protection locked="0"/>
    </xf>
    <xf numFmtId="37" fontId="18" fillId="29" borderId="1" xfId="0" quotePrefix="1" applyFont="1" applyFill="1" applyBorder="1" applyProtection="1">
      <protection locked="0"/>
    </xf>
    <xf numFmtId="167" fontId="18" fillId="29" borderId="1" xfId="0" quotePrefix="1" applyNumberFormat="1" applyFont="1" applyFill="1" applyBorder="1" applyProtection="1">
      <protection locked="0"/>
    </xf>
    <xf numFmtId="38" fontId="18" fillId="29" borderId="8" xfId="0" applyNumberFormat="1" applyFont="1" applyFill="1" applyBorder="1" applyProtection="1">
      <protection locked="0"/>
    </xf>
    <xf numFmtId="38" fontId="18" fillId="29" borderId="2" xfId="0" applyNumberFormat="1" applyFont="1" applyFill="1" applyBorder="1" applyProtection="1">
      <protection locked="0"/>
    </xf>
    <xf numFmtId="3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4" xfId="0" applyNumberFormat="1" applyFont="1" applyFill="1" applyBorder="1" applyProtection="1">
      <protection locked="0"/>
    </xf>
    <xf numFmtId="38" fontId="18" fillId="29" borderId="14" xfId="0" quotePrefix="1" applyNumberFormat="1" applyFont="1" applyFill="1" applyBorder="1" applyProtection="1">
      <protection locked="0"/>
    </xf>
    <xf numFmtId="166" fontId="18" fillId="29" borderId="14" xfId="0" applyNumberFormat="1" applyFont="1" applyFill="1" applyBorder="1" applyAlignment="1" applyProtection="1">
      <alignment horizontal="left"/>
      <protection locked="0"/>
    </xf>
    <xf numFmtId="49" fontId="18" fillId="29" borderId="1" xfId="0" quotePrefix="1" applyNumberFormat="1" applyFont="1" applyFill="1" applyBorder="1" applyProtection="1">
      <protection locked="0"/>
    </xf>
    <xf numFmtId="16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right"/>
      <protection locked="0"/>
    </xf>
    <xf numFmtId="38" fontId="18" fillId="30" borderId="1" xfId="0" applyNumberFormat="1" applyFont="1" applyFill="1" applyBorder="1" applyProtection="1">
      <protection locked="0"/>
    </xf>
    <xf numFmtId="37" fontId="18" fillId="29" borderId="1" xfId="0" applyFont="1" applyFill="1" applyBorder="1" applyProtection="1">
      <protection locked="0"/>
    </xf>
    <xf numFmtId="38" fontId="26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center"/>
      <protection locked="0"/>
    </xf>
    <xf numFmtId="37" fontId="16" fillId="29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48" fillId="0" borderId="0" xfId="0" applyFont="1"/>
    <xf numFmtId="0" fontId="49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50" fillId="0" borderId="0" xfId="0" applyFont="1"/>
    <xf numFmtId="37" fontId="51" fillId="0" borderId="0" xfId="0" applyFont="1"/>
    <xf numFmtId="0" fontId="17" fillId="0" borderId="0" xfId="630" applyNumberFormat="1" applyFont="1" applyAlignment="1" applyProtection="1">
      <alignment vertical="top"/>
      <protection locked="0"/>
    </xf>
    <xf numFmtId="37" fontId="17" fillId="0" borderId="0" xfId="630" applyNumberFormat="1" applyFont="1"/>
    <xf numFmtId="37" fontId="33" fillId="30" borderId="34" xfId="0" quotePrefix="1" applyFont="1" applyFill="1" applyBorder="1" applyAlignment="1">
      <alignment horizontal="left"/>
    </xf>
    <xf numFmtId="37" fontId="2" fillId="30" borderId="35" xfId="0" applyFont="1" applyFill="1" applyBorder="1"/>
    <xf numFmtId="38" fontId="2" fillId="30" borderId="35" xfId="0" applyNumberFormat="1" applyFont="1" applyFill="1" applyBorder="1"/>
    <xf numFmtId="37" fontId="2" fillId="30" borderId="36" xfId="0" applyFont="1" applyFill="1" applyBorder="1"/>
    <xf numFmtId="37" fontId="2" fillId="30" borderId="37" xfId="0" quotePrefix="1" applyFont="1" applyFill="1" applyBorder="1" applyAlignment="1">
      <alignment vertical="center" readingOrder="1"/>
    </xf>
    <xf numFmtId="37" fontId="2" fillId="30" borderId="0" xfId="0" quotePrefix="1" applyFont="1" applyFill="1" applyAlignment="1">
      <alignment horizontal="left"/>
    </xf>
    <xf numFmtId="38" fontId="2" fillId="30" borderId="0" xfId="0" applyNumberFormat="1" applyFont="1" applyFill="1"/>
    <xf numFmtId="37" fontId="2" fillId="30" borderId="0" xfId="0" applyFont="1" applyFill="1"/>
    <xf numFmtId="37" fontId="2" fillId="30" borderId="38" xfId="0" applyFont="1" applyFill="1" applyBorder="1"/>
    <xf numFmtId="37" fontId="2" fillId="30" borderId="37" xfId="0" quotePrefix="1" applyFont="1" applyFill="1" applyBorder="1"/>
    <xf numFmtId="37" fontId="2" fillId="30" borderId="37" xfId="0" applyFont="1" applyFill="1" applyBorder="1" applyAlignment="1">
      <alignment vertical="center" readingOrder="1"/>
    </xf>
    <xf numFmtId="37" fontId="2" fillId="30" borderId="39" xfId="0" quotePrefix="1" applyFont="1" applyFill="1" applyBorder="1"/>
    <xf numFmtId="37" fontId="2" fillId="30" borderId="40" xfId="0" applyFont="1" applyFill="1" applyBorder="1"/>
    <xf numFmtId="38" fontId="2" fillId="30" borderId="40" xfId="0" applyNumberFormat="1" applyFont="1" applyFill="1" applyBorder="1"/>
    <xf numFmtId="37" fontId="2" fillId="30" borderId="41" xfId="0" applyFont="1" applyFill="1" applyBorder="1"/>
    <xf numFmtId="38" fontId="16" fillId="3" borderId="0" xfId="0" quotePrefix="1" applyNumberFormat="1" applyFont="1" applyFill="1" applyAlignment="1">
      <alignment horizontal="center"/>
    </xf>
    <xf numFmtId="37" fontId="52" fillId="30" borderId="1" xfId="0" applyFont="1" applyFill="1" applyBorder="1" applyProtection="1">
      <protection locked="0"/>
    </xf>
    <xf numFmtId="37" fontId="18" fillId="30" borderId="1" xfId="546" quotePrefix="1" applyNumberFormat="1" applyFont="1" applyFill="1" applyBorder="1" applyProtection="1">
      <protection locked="0"/>
    </xf>
    <xf numFmtId="37" fontId="16" fillId="6" borderId="0" xfId="546" applyNumberFormat="1" applyFont="1" applyFill="1"/>
    <xf numFmtId="37" fontId="18" fillId="30" borderId="1" xfId="546" applyNumberFormat="1" applyFont="1" applyFill="1" applyBorder="1" applyProtection="1">
      <protection locked="0"/>
    </xf>
    <xf numFmtId="2" fontId="18" fillId="30" borderId="1" xfId="546" quotePrefix="1" applyNumberFormat="1" applyFont="1" applyFill="1" applyBorder="1" applyProtection="1">
      <protection locked="0"/>
    </xf>
    <xf numFmtId="2" fontId="18" fillId="30" borderId="1" xfId="546" applyNumberFormat="1" applyFont="1" applyFill="1" applyBorder="1" applyProtection="1">
      <protection locked="0"/>
    </xf>
    <xf numFmtId="43" fontId="16" fillId="3" borderId="0" xfId="546" applyNumberFormat="1" applyFont="1" applyFill="1"/>
    <xf numFmtId="43" fontId="16" fillId="6" borderId="0" xfId="546" applyNumberFormat="1" applyFont="1" applyFill="1"/>
    <xf numFmtId="37" fontId="16" fillId="3" borderId="0" xfId="546" quotePrefix="1" applyNumberFormat="1" applyFont="1" applyFill="1" applyAlignment="1">
      <alignment horizontal="fill"/>
    </xf>
    <xf numFmtId="0" fontId="11" fillId="0" borderId="0" xfId="630" applyNumberFormat="1" applyFont="1"/>
    <xf numFmtId="37" fontId="16" fillId="0" borderId="0" xfId="0" applyFont="1" applyProtection="1">
      <protection locked="0"/>
    </xf>
    <xf numFmtId="37" fontId="18" fillId="3" borderId="0" xfId="0" applyFont="1" applyFill="1" applyAlignment="1">
      <alignment horizontal="center" vertical="center"/>
    </xf>
    <xf numFmtId="0" fontId="49" fillId="0" borderId="0" xfId="631" applyFont="1" applyAlignment="1">
      <alignment horizontal="left" vertical="top" wrapText="1"/>
      <protection locked="0"/>
    </xf>
    <xf numFmtId="0" fontId="49" fillId="0" borderId="0" xfId="631" applyFont="1" applyAlignment="1">
      <alignment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mailto:Tamara.Wagner@astria.health" TargetMode="External"/><Relationship Id="rId9" Type="http://schemas.openxmlformats.org/officeDocument/2006/relationships/hyperlink" Target="mailto:doh.information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80" zoomScaleNormal="80" workbookViewId="0"/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2731747.92</v>
      </c>
      <c r="C47" s="273">
        <v>14902.77</v>
      </c>
      <c r="D47" s="273"/>
      <c r="E47" s="273">
        <v>144387.69</v>
      </c>
      <c r="F47" s="273"/>
      <c r="G47" s="273"/>
      <c r="H47" s="273">
        <v>331947</v>
      </c>
      <c r="I47" s="273"/>
      <c r="J47" s="273"/>
      <c r="K47" s="273"/>
      <c r="L47" s="273"/>
      <c r="M47" s="273"/>
      <c r="N47" s="273"/>
      <c r="O47" s="273"/>
      <c r="P47" s="273">
        <v>290367</v>
      </c>
      <c r="Q47" s="273">
        <v>66872.98</v>
      </c>
      <c r="R47" s="273"/>
      <c r="S47" s="273">
        <v>73.36</v>
      </c>
      <c r="T47" s="273"/>
      <c r="U47" s="273">
        <v>119059.75</v>
      </c>
      <c r="V47" s="273">
        <v>10999.81</v>
      </c>
      <c r="W47" s="273">
        <v>96.78</v>
      </c>
      <c r="X47" s="273">
        <v>26136.71</v>
      </c>
      <c r="Y47" s="273">
        <v>133909</v>
      </c>
      <c r="Z47" s="273"/>
      <c r="AA47" s="273"/>
      <c r="AB47" s="273">
        <v>63038.879999999997</v>
      </c>
      <c r="AC47" s="273"/>
      <c r="AD47" s="273"/>
      <c r="AE47" s="273">
        <v>37122.019999999997</v>
      </c>
      <c r="AF47" s="273"/>
      <c r="AG47" s="273">
        <v>337761.78</v>
      </c>
      <c r="AH47" s="273"/>
      <c r="AI47" s="273"/>
      <c r="AJ47" s="273">
        <v>771506.35</v>
      </c>
      <c r="AK47" s="273">
        <v>856.87</v>
      </c>
      <c r="AL47" s="273">
        <v>6419.48</v>
      </c>
      <c r="AM47" s="273"/>
      <c r="AN47" s="273"/>
      <c r="AO47" s="273"/>
      <c r="AP47" s="273"/>
      <c r="AQ47" s="273"/>
      <c r="AR47" s="273"/>
      <c r="AS47" s="273"/>
      <c r="AT47" s="273"/>
      <c r="AU47" s="273"/>
      <c r="AV47" s="273"/>
      <c r="AW47" s="273"/>
      <c r="AX47" s="273"/>
      <c r="AY47" s="273">
        <v>42205.760000000002</v>
      </c>
      <c r="AZ47" s="273"/>
      <c r="BA47" s="273"/>
      <c r="BB47" s="273"/>
      <c r="BC47" s="273"/>
      <c r="BD47" s="273">
        <v>16323.94</v>
      </c>
      <c r="BE47" s="273">
        <v>28807.84</v>
      </c>
      <c r="BF47" s="273">
        <v>51062.64</v>
      </c>
      <c r="BG47" s="273"/>
      <c r="BH47" s="273"/>
      <c r="BI47" s="273"/>
      <c r="BJ47" s="273">
        <v>8997.8700000000008</v>
      </c>
      <c r="BK47" s="273"/>
      <c r="BL47" s="273">
        <v>90676.71</v>
      </c>
      <c r="BM47" s="273"/>
      <c r="BN47" s="273">
        <v>587.74</v>
      </c>
      <c r="BO47" s="273"/>
      <c r="BP47" s="273"/>
      <c r="BQ47" s="273"/>
      <c r="BR47" s="273"/>
      <c r="BS47" s="273"/>
      <c r="BT47" s="273"/>
      <c r="BU47" s="273"/>
      <c r="BV47" s="273">
        <v>26</v>
      </c>
      <c r="BW47" s="273">
        <v>18122</v>
      </c>
      <c r="BX47" s="273">
        <v>18133.599999999999</v>
      </c>
      <c r="BY47" s="273">
        <v>101289</v>
      </c>
      <c r="BZ47" s="273"/>
      <c r="CA47" s="273">
        <v>54.86</v>
      </c>
      <c r="CB47" s="273"/>
      <c r="CC47" s="273"/>
      <c r="CD47" s="16"/>
      <c r="CE47" s="25">
        <f>SUM(C47:CC47)</f>
        <v>2731746.19</v>
      </c>
    </row>
    <row r="48" spans="1:83" x14ac:dyDescent="0.25">
      <c r="A48" s="25" t="s">
        <v>231</v>
      </c>
      <c r="B48" s="272">
        <v>2249422</v>
      </c>
      <c r="C48" s="25">
        <f t="shared" ref="C48:AH48" si="0">IF($B$48,(ROUND((($B$48/$CE$61)*C61),0)))</f>
        <v>11443</v>
      </c>
      <c r="D48" s="25">
        <f t="shared" si="0"/>
        <v>0</v>
      </c>
      <c r="E48" s="25">
        <f t="shared" si="0"/>
        <v>103744</v>
      </c>
      <c r="F48" s="25">
        <f t="shared" si="0"/>
        <v>0</v>
      </c>
      <c r="G48" s="25">
        <f t="shared" si="0"/>
        <v>0</v>
      </c>
      <c r="H48" s="25">
        <f t="shared" si="0"/>
        <v>244648</v>
      </c>
      <c r="I48" s="25">
        <f t="shared" si="0"/>
        <v>0</v>
      </c>
      <c r="J48" s="25">
        <f t="shared" si="0"/>
        <v>0</v>
      </c>
      <c r="K48" s="25">
        <f t="shared" si="0"/>
        <v>0</v>
      </c>
      <c r="L48" s="25">
        <f t="shared" si="0"/>
        <v>0</v>
      </c>
      <c r="M48" s="25">
        <f t="shared" si="0"/>
        <v>0</v>
      </c>
      <c r="N48" s="25">
        <f t="shared" si="0"/>
        <v>0</v>
      </c>
      <c r="O48" s="25">
        <f t="shared" si="0"/>
        <v>0</v>
      </c>
      <c r="P48" s="25">
        <f t="shared" si="0"/>
        <v>195739</v>
      </c>
      <c r="Q48" s="25">
        <f t="shared" si="0"/>
        <v>49333</v>
      </c>
      <c r="R48" s="25">
        <f t="shared" si="0"/>
        <v>0</v>
      </c>
      <c r="S48" s="25">
        <f t="shared" si="0"/>
        <v>44</v>
      </c>
      <c r="T48" s="25">
        <f t="shared" si="0"/>
        <v>0</v>
      </c>
      <c r="U48" s="25">
        <f t="shared" si="0"/>
        <v>81998</v>
      </c>
      <c r="V48" s="25">
        <f t="shared" si="0"/>
        <v>10449</v>
      </c>
      <c r="W48" s="25">
        <f t="shared" si="0"/>
        <v>-24</v>
      </c>
      <c r="X48" s="25">
        <f t="shared" si="0"/>
        <v>17930</v>
      </c>
      <c r="Y48" s="25">
        <f t="shared" si="0"/>
        <v>93610</v>
      </c>
      <c r="Z48" s="25">
        <f t="shared" si="0"/>
        <v>0</v>
      </c>
      <c r="AA48" s="25">
        <f t="shared" si="0"/>
        <v>0</v>
      </c>
      <c r="AB48" s="25">
        <f t="shared" si="0"/>
        <v>44208</v>
      </c>
      <c r="AC48" s="25">
        <f t="shared" si="0"/>
        <v>0</v>
      </c>
      <c r="AD48" s="25">
        <f t="shared" si="0"/>
        <v>0</v>
      </c>
      <c r="AE48" s="25">
        <f t="shared" si="0"/>
        <v>24301</v>
      </c>
      <c r="AF48" s="25">
        <f t="shared" si="0"/>
        <v>0</v>
      </c>
      <c r="AG48" s="25">
        <f t="shared" si="0"/>
        <v>242126</v>
      </c>
      <c r="AH48" s="25">
        <f t="shared" si="0"/>
        <v>0</v>
      </c>
      <c r="AI48" s="25">
        <f t="shared" ref="AI48:BN48" si="1">IF($B$48,(ROUND((($B$48/$CE$61)*AI61),0)))</f>
        <v>0</v>
      </c>
      <c r="AJ48" s="25">
        <f t="shared" si="1"/>
        <v>858657</v>
      </c>
      <c r="AK48" s="25">
        <f t="shared" si="1"/>
        <v>672</v>
      </c>
      <c r="AL48" s="25">
        <f t="shared" si="1"/>
        <v>5219</v>
      </c>
      <c r="AM48" s="25">
        <f t="shared" si="1"/>
        <v>0</v>
      </c>
      <c r="AN48" s="25">
        <f t="shared" si="1"/>
        <v>0</v>
      </c>
      <c r="AO48" s="25">
        <f t="shared" si="1"/>
        <v>0</v>
      </c>
      <c r="AP48" s="25">
        <f t="shared" si="1"/>
        <v>0</v>
      </c>
      <c r="AQ48" s="25">
        <f t="shared" si="1"/>
        <v>0</v>
      </c>
      <c r="AR48" s="25">
        <f t="shared" si="1"/>
        <v>0</v>
      </c>
      <c r="AS48" s="25">
        <f t="shared" si="1"/>
        <v>0</v>
      </c>
      <c r="AT48" s="25">
        <f t="shared" si="1"/>
        <v>0</v>
      </c>
      <c r="AU48" s="25">
        <f t="shared" si="1"/>
        <v>0</v>
      </c>
      <c r="AV48" s="25">
        <f t="shared" si="1"/>
        <v>0</v>
      </c>
      <c r="AW48" s="25">
        <f t="shared" si="1"/>
        <v>0</v>
      </c>
      <c r="AX48" s="25">
        <f t="shared" si="1"/>
        <v>0</v>
      </c>
      <c r="AY48" s="25">
        <f t="shared" si="1"/>
        <v>27100</v>
      </c>
      <c r="AZ48" s="25">
        <f t="shared" si="1"/>
        <v>0</v>
      </c>
      <c r="BA48" s="25">
        <f t="shared" si="1"/>
        <v>0</v>
      </c>
      <c r="BB48" s="25">
        <f t="shared" si="1"/>
        <v>0</v>
      </c>
      <c r="BC48" s="25">
        <f t="shared" si="1"/>
        <v>0</v>
      </c>
      <c r="BD48" s="25">
        <f t="shared" si="1"/>
        <v>9884</v>
      </c>
      <c r="BE48" s="25">
        <f t="shared" si="1"/>
        <v>14486</v>
      </c>
      <c r="BF48" s="25">
        <f t="shared" si="1"/>
        <v>31269</v>
      </c>
      <c r="BG48" s="25">
        <f t="shared" si="1"/>
        <v>0</v>
      </c>
      <c r="BH48" s="25">
        <f t="shared" si="1"/>
        <v>0</v>
      </c>
      <c r="BI48" s="25">
        <f t="shared" si="1"/>
        <v>0</v>
      </c>
      <c r="BJ48" s="25">
        <f t="shared" si="1"/>
        <v>8275</v>
      </c>
      <c r="BK48" s="25">
        <f t="shared" si="1"/>
        <v>0</v>
      </c>
      <c r="BL48" s="25">
        <f t="shared" si="1"/>
        <v>58580</v>
      </c>
      <c r="BM48" s="25">
        <f t="shared" si="1"/>
        <v>0</v>
      </c>
      <c r="BN48" s="25">
        <f t="shared" si="1"/>
        <v>1</v>
      </c>
      <c r="BO48" s="25">
        <f t="shared" ref="BO48:CD48" si="2">IF($B$48,(ROUND((($B$48/$CE$61)*BO61),0)))</f>
        <v>0</v>
      </c>
      <c r="BP48" s="25">
        <f t="shared" si="2"/>
        <v>0</v>
      </c>
      <c r="BQ48" s="25">
        <f t="shared" si="2"/>
        <v>0</v>
      </c>
      <c r="BR48" s="25">
        <f t="shared" si="2"/>
        <v>0</v>
      </c>
      <c r="BS48" s="25">
        <f t="shared" si="2"/>
        <v>0</v>
      </c>
      <c r="BT48" s="25">
        <f t="shared" si="2"/>
        <v>0</v>
      </c>
      <c r="BU48" s="25">
        <f t="shared" si="2"/>
        <v>0</v>
      </c>
      <c r="BV48" s="25">
        <f t="shared" si="2"/>
        <v>-1633</v>
      </c>
      <c r="BW48" s="25">
        <f t="shared" si="2"/>
        <v>22465</v>
      </c>
      <c r="BX48" s="25">
        <f t="shared" si="2"/>
        <v>14147</v>
      </c>
      <c r="BY48" s="25">
        <f t="shared" si="2"/>
        <v>79964</v>
      </c>
      <c r="BZ48" s="25">
        <f t="shared" si="2"/>
        <v>0</v>
      </c>
      <c r="CA48" s="25">
        <f t="shared" si="2"/>
        <v>41</v>
      </c>
      <c r="CB48" s="25">
        <f t="shared" si="2"/>
        <v>0</v>
      </c>
      <c r="CC48" s="25">
        <f t="shared" si="2"/>
        <v>748</v>
      </c>
      <c r="CD48" s="25">
        <f t="shared" si="2"/>
        <v>0</v>
      </c>
      <c r="CE48" s="25">
        <f>SUM(C48:CD48)</f>
        <v>2249424</v>
      </c>
    </row>
    <row r="49" spans="1:83" x14ac:dyDescent="0.25">
      <c r="A49" s="16" t="s">
        <v>232</v>
      </c>
      <c r="B49" s="25">
        <f>B47+B48</f>
        <v>4981169.92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/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  <c r="AQ51" s="273"/>
      <c r="AR51" s="273"/>
      <c r="AS51" s="273"/>
      <c r="AT51" s="273"/>
      <c r="AU51" s="273"/>
      <c r="AV51" s="273"/>
      <c r="AW51" s="273"/>
      <c r="AX51" s="273"/>
      <c r="AY51" s="273"/>
      <c r="AZ51" s="273"/>
      <c r="BA51" s="273"/>
      <c r="BB51" s="273"/>
      <c r="BC51" s="273"/>
      <c r="BD51" s="273"/>
      <c r="BE51" s="273"/>
      <c r="BF51" s="273"/>
      <c r="BG51" s="273"/>
      <c r="BH51" s="273"/>
      <c r="BI51" s="273"/>
      <c r="BJ51" s="273"/>
      <c r="BK51" s="273"/>
      <c r="BL51" s="273"/>
      <c r="BM51" s="273"/>
      <c r="BN51" s="273"/>
      <c r="BO51" s="273"/>
      <c r="BP51" s="273"/>
      <c r="BQ51" s="273"/>
      <c r="BR51" s="273"/>
      <c r="BS51" s="273"/>
      <c r="BT51" s="273"/>
      <c r="BU51" s="273"/>
      <c r="BV51" s="273"/>
      <c r="BW51" s="273"/>
      <c r="BX51" s="273"/>
      <c r="BY51" s="273"/>
      <c r="BZ51" s="273"/>
      <c r="CA51" s="273"/>
      <c r="CB51" s="273"/>
      <c r="CC51" s="273"/>
      <c r="CD51" s="16"/>
      <c r="CE51" s="25">
        <f>SUM(C51:CD51)</f>
        <v>0</v>
      </c>
    </row>
    <row r="52" spans="1:83" x14ac:dyDescent="0.25">
      <c r="A52" s="31" t="s">
        <v>234</v>
      </c>
      <c r="B52" s="273">
        <v>783647.50999999989</v>
      </c>
      <c r="C52" s="25">
        <f t="shared" ref="C52:AH52" si="3">IF($B$52,ROUND(($B$52/($CE$90+$CF$90)*C90),0))</f>
        <v>26360</v>
      </c>
      <c r="D52" s="25">
        <f t="shared" si="3"/>
        <v>0</v>
      </c>
      <c r="E52" s="25">
        <f t="shared" si="3"/>
        <v>31136</v>
      </c>
      <c r="F52" s="25">
        <f t="shared" si="3"/>
        <v>0</v>
      </c>
      <c r="G52" s="25">
        <f t="shared" si="3"/>
        <v>0</v>
      </c>
      <c r="H52" s="25">
        <f t="shared" si="3"/>
        <v>49561</v>
      </c>
      <c r="I52" s="25">
        <f t="shared" si="3"/>
        <v>0</v>
      </c>
      <c r="J52" s="25">
        <f t="shared" si="3"/>
        <v>0</v>
      </c>
      <c r="K52" s="25">
        <f t="shared" si="3"/>
        <v>0</v>
      </c>
      <c r="L52" s="25">
        <f t="shared" si="3"/>
        <v>0</v>
      </c>
      <c r="M52" s="25">
        <f t="shared" si="3"/>
        <v>0</v>
      </c>
      <c r="N52" s="25">
        <f t="shared" si="3"/>
        <v>0</v>
      </c>
      <c r="O52" s="25">
        <f t="shared" si="3"/>
        <v>77054</v>
      </c>
      <c r="P52" s="25">
        <f t="shared" si="3"/>
        <v>138457</v>
      </c>
      <c r="Q52" s="25">
        <f t="shared" si="3"/>
        <v>0</v>
      </c>
      <c r="R52" s="25">
        <f t="shared" si="3"/>
        <v>0</v>
      </c>
      <c r="S52" s="25">
        <f t="shared" si="3"/>
        <v>0</v>
      </c>
      <c r="T52" s="25">
        <f t="shared" si="3"/>
        <v>0</v>
      </c>
      <c r="U52" s="25">
        <f t="shared" si="3"/>
        <v>31048</v>
      </c>
      <c r="V52" s="25">
        <f t="shared" si="3"/>
        <v>0</v>
      </c>
      <c r="W52" s="25">
        <f t="shared" si="3"/>
        <v>0</v>
      </c>
      <c r="X52" s="25">
        <f t="shared" si="3"/>
        <v>0</v>
      </c>
      <c r="Y52" s="25">
        <f t="shared" si="3"/>
        <v>37113</v>
      </c>
      <c r="Z52" s="25">
        <f t="shared" si="3"/>
        <v>0</v>
      </c>
      <c r="AA52" s="25">
        <f t="shared" si="3"/>
        <v>0</v>
      </c>
      <c r="AB52" s="25">
        <f t="shared" si="3"/>
        <v>14979</v>
      </c>
      <c r="AC52" s="25">
        <f t="shared" si="3"/>
        <v>12074</v>
      </c>
      <c r="AD52" s="25">
        <f t="shared" si="3"/>
        <v>0</v>
      </c>
      <c r="AE52" s="25">
        <f t="shared" si="3"/>
        <v>13328</v>
      </c>
      <c r="AF52" s="25">
        <f t="shared" si="3"/>
        <v>0</v>
      </c>
      <c r="AG52" s="25">
        <f t="shared" si="3"/>
        <v>50969</v>
      </c>
      <c r="AH52" s="25">
        <f t="shared" si="3"/>
        <v>0</v>
      </c>
      <c r="AI52" s="25">
        <f t="shared" ref="AI52:BN52" si="4">IF($B$52,ROUND(($B$52/($CE$90+$CF$90)*AI90),0))</f>
        <v>0</v>
      </c>
      <c r="AJ52" s="25">
        <f t="shared" si="4"/>
        <v>0</v>
      </c>
      <c r="AK52" s="25">
        <f t="shared" si="4"/>
        <v>0</v>
      </c>
      <c r="AL52" s="25">
        <f t="shared" si="4"/>
        <v>0</v>
      </c>
      <c r="AM52" s="25">
        <f t="shared" si="4"/>
        <v>0</v>
      </c>
      <c r="AN52" s="25">
        <f t="shared" si="4"/>
        <v>0</v>
      </c>
      <c r="AO52" s="25">
        <f t="shared" si="4"/>
        <v>0</v>
      </c>
      <c r="AP52" s="25">
        <f t="shared" si="4"/>
        <v>0</v>
      </c>
      <c r="AQ52" s="25">
        <f t="shared" si="4"/>
        <v>0</v>
      </c>
      <c r="AR52" s="25">
        <f t="shared" si="4"/>
        <v>0</v>
      </c>
      <c r="AS52" s="25">
        <f t="shared" si="4"/>
        <v>0</v>
      </c>
      <c r="AT52" s="25">
        <f t="shared" si="4"/>
        <v>0</v>
      </c>
      <c r="AU52" s="25">
        <f t="shared" si="4"/>
        <v>0</v>
      </c>
      <c r="AV52" s="25">
        <f t="shared" si="4"/>
        <v>0</v>
      </c>
      <c r="AW52" s="25">
        <f t="shared" si="4"/>
        <v>0</v>
      </c>
      <c r="AX52" s="25">
        <f t="shared" si="4"/>
        <v>0</v>
      </c>
      <c r="AY52" s="25">
        <f t="shared" si="4"/>
        <v>24676</v>
      </c>
      <c r="AZ52" s="25">
        <f t="shared" si="4"/>
        <v>0</v>
      </c>
      <c r="BA52" s="25">
        <f t="shared" si="4"/>
        <v>0</v>
      </c>
      <c r="BB52" s="25">
        <f t="shared" si="4"/>
        <v>0</v>
      </c>
      <c r="BC52" s="25">
        <f t="shared" si="4"/>
        <v>0</v>
      </c>
      <c r="BD52" s="25">
        <f t="shared" si="4"/>
        <v>36067</v>
      </c>
      <c r="BE52" s="25">
        <f t="shared" si="4"/>
        <v>14231</v>
      </c>
      <c r="BF52" s="25">
        <f t="shared" si="4"/>
        <v>5239</v>
      </c>
      <c r="BG52" s="25">
        <f t="shared" si="4"/>
        <v>1365</v>
      </c>
      <c r="BH52" s="25">
        <f t="shared" si="4"/>
        <v>0</v>
      </c>
      <c r="BI52" s="25">
        <f t="shared" si="4"/>
        <v>0</v>
      </c>
      <c r="BJ52" s="25">
        <f t="shared" si="4"/>
        <v>0</v>
      </c>
      <c r="BK52" s="25">
        <f t="shared" si="4"/>
        <v>0</v>
      </c>
      <c r="BL52" s="25">
        <f t="shared" si="4"/>
        <v>0</v>
      </c>
      <c r="BM52" s="25">
        <f t="shared" si="4"/>
        <v>0</v>
      </c>
      <c r="BN52" s="25">
        <f t="shared" si="4"/>
        <v>56979</v>
      </c>
      <c r="BO52" s="25">
        <f t="shared" ref="BO52:CD52" si="5">IF($B$52,ROUND(($B$52/($CE$90+$CF$90)*BO90),0))</f>
        <v>0</v>
      </c>
      <c r="BP52" s="25">
        <f t="shared" si="5"/>
        <v>0</v>
      </c>
      <c r="BQ52" s="25">
        <f t="shared" si="5"/>
        <v>0</v>
      </c>
      <c r="BR52" s="25">
        <f t="shared" si="5"/>
        <v>0</v>
      </c>
      <c r="BS52" s="25">
        <f t="shared" si="5"/>
        <v>0</v>
      </c>
      <c r="BT52" s="25">
        <f t="shared" si="5"/>
        <v>0</v>
      </c>
      <c r="BU52" s="25">
        <f t="shared" si="5"/>
        <v>0</v>
      </c>
      <c r="BV52" s="25">
        <f t="shared" si="5"/>
        <v>0</v>
      </c>
      <c r="BW52" s="25">
        <f t="shared" si="5"/>
        <v>0</v>
      </c>
      <c r="BX52" s="25">
        <f t="shared" si="5"/>
        <v>4557</v>
      </c>
      <c r="BY52" s="25">
        <f t="shared" si="5"/>
        <v>5756</v>
      </c>
      <c r="BZ52" s="25">
        <f t="shared" si="5"/>
        <v>0</v>
      </c>
      <c r="CA52" s="25">
        <f t="shared" si="5"/>
        <v>6152</v>
      </c>
      <c r="CB52" s="25">
        <f t="shared" si="5"/>
        <v>0</v>
      </c>
      <c r="CC52" s="25">
        <f t="shared" si="5"/>
        <v>146547</v>
      </c>
      <c r="CD52" s="25">
        <f t="shared" si="5"/>
        <v>0</v>
      </c>
      <c r="CE52" s="25">
        <f>SUM(C52:CD52)</f>
        <v>783648</v>
      </c>
    </row>
    <row r="53" spans="1:83" x14ac:dyDescent="0.25">
      <c r="A53" s="16" t="s">
        <v>232</v>
      </c>
      <c r="B53" s="25">
        <f>B51+B52</f>
        <v>783647.50999999989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316</v>
      </c>
      <c r="D59" s="273"/>
      <c r="E59" s="273">
        <v>1613</v>
      </c>
      <c r="F59" s="273"/>
      <c r="G59" s="273"/>
      <c r="H59" s="273">
        <v>5144</v>
      </c>
      <c r="I59" s="273"/>
      <c r="J59" s="273"/>
      <c r="K59" s="273"/>
      <c r="L59" s="273"/>
      <c r="M59" s="273"/>
      <c r="N59" s="273"/>
      <c r="O59" s="273"/>
      <c r="P59" s="274"/>
      <c r="Q59" s="275"/>
      <c r="R59" s="275"/>
      <c r="S59" s="263">
        <v>0</v>
      </c>
      <c r="T59" s="263">
        <v>0</v>
      </c>
      <c r="U59" s="276"/>
      <c r="V59" s="275"/>
      <c r="W59" s="275"/>
      <c r="X59" s="275"/>
      <c r="Y59" s="275"/>
      <c r="Z59" s="275"/>
      <c r="AA59" s="275"/>
      <c r="AB59" s="263">
        <v>0</v>
      </c>
      <c r="AC59" s="275"/>
      <c r="AD59" s="275"/>
      <c r="AE59" s="275"/>
      <c r="AF59" s="275"/>
      <c r="AG59" s="275"/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63">
        <v>0</v>
      </c>
      <c r="AW59" s="263">
        <v>0</v>
      </c>
      <c r="AX59" s="263">
        <v>0</v>
      </c>
      <c r="AY59" s="275"/>
      <c r="AZ59" s="275"/>
      <c r="BA59" s="263">
        <v>0</v>
      </c>
      <c r="BB59" s="263">
        <v>0</v>
      </c>
      <c r="BC59" s="263">
        <v>0</v>
      </c>
      <c r="BD59" s="263">
        <v>0</v>
      </c>
      <c r="BE59" s="275">
        <v>71201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>
        <v>0.77</v>
      </c>
      <c r="D60" s="277"/>
      <c r="E60" s="277">
        <v>12.89</v>
      </c>
      <c r="F60" s="277"/>
      <c r="G60" s="277"/>
      <c r="H60" s="277">
        <v>29.51</v>
      </c>
      <c r="I60" s="277"/>
      <c r="J60" s="277"/>
      <c r="K60" s="277"/>
      <c r="L60" s="277"/>
      <c r="M60" s="277"/>
      <c r="N60" s="277"/>
      <c r="O60" s="277"/>
      <c r="P60" s="274">
        <v>22.12</v>
      </c>
      <c r="Q60" s="274">
        <v>3.82</v>
      </c>
      <c r="R60" s="274"/>
      <c r="S60" s="278">
        <v>0.01</v>
      </c>
      <c r="T60" s="278"/>
      <c r="U60" s="279">
        <v>11.69</v>
      </c>
      <c r="V60" s="274">
        <v>1.07</v>
      </c>
      <c r="W60" s="274">
        <v>0.02</v>
      </c>
      <c r="X60" s="274">
        <v>2.02</v>
      </c>
      <c r="Y60" s="274">
        <v>12.6</v>
      </c>
      <c r="Z60" s="274"/>
      <c r="AA60" s="274"/>
      <c r="AB60" s="278">
        <v>4.4400000000000004</v>
      </c>
      <c r="AC60" s="274"/>
      <c r="AD60" s="274"/>
      <c r="AE60" s="274">
        <v>2.89</v>
      </c>
      <c r="AF60" s="274"/>
      <c r="AG60" s="274">
        <v>24.1</v>
      </c>
      <c r="AH60" s="274"/>
      <c r="AI60" s="274"/>
      <c r="AJ60" s="274">
        <v>59.01</v>
      </c>
      <c r="AK60" s="274">
        <v>0.08</v>
      </c>
      <c r="AL60" s="274">
        <v>0.46</v>
      </c>
      <c r="AM60" s="274"/>
      <c r="AN60" s="274"/>
      <c r="AO60" s="274"/>
      <c r="AP60" s="274"/>
      <c r="AQ60" s="274"/>
      <c r="AR60" s="274"/>
      <c r="AS60" s="274"/>
      <c r="AT60" s="274"/>
      <c r="AU60" s="274"/>
      <c r="AV60" s="278"/>
      <c r="AW60" s="278"/>
      <c r="AX60" s="278"/>
      <c r="AY60" s="274">
        <v>5.89</v>
      </c>
      <c r="AZ60" s="274"/>
      <c r="BA60" s="278"/>
      <c r="BB60" s="278"/>
      <c r="BC60" s="278"/>
      <c r="BD60" s="278">
        <v>2.69</v>
      </c>
      <c r="BE60" s="274">
        <v>2.71</v>
      </c>
      <c r="BF60" s="278">
        <v>7.39</v>
      </c>
      <c r="BG60" s="278"/>
      <c r="BH60" s="278"/>
      <c r="BI60" s="278"/>
      <c r="BJ60" s="278">
        <v>1</v>
      </c>
      <c r="BK60" s="278"/>
      <c r="BL60" s="278">
        <v>13.35</v>
      </c>
      <c r="BM60" s="278"/>
      <c r="BN60" s="278">
        <v>0.86</v>
      </c>
      <c r="BO60" s="278"/>
      <c r="BP60" s="278"/>
      <c r="BQ60" s="278"/>
      <c r="BR60" s="278"/>
      <c r="BS60" s="278"/>
      <c r="BT60" s="278"/>
      <c r="BU60" s="278"/>
      <c r="BV60" s="278"/>
      <c r="BW60" s="278">
        <v>1.08</v>
      </c>
      <c r="BX60" s="278">
        <v>1.38</v>
      </c>
      <c r="BY60" s="278">
        <v>4.97</v>
      </c>
      <c r="BZ60" s="278"/>
      <c r="CA60" s="278"/>
      <c r="CB60" s="278"/>
      <c r="CC60" s="278"/>
      <c r="CD60" s="209" t="s">
        <v>247</v>
      </c>
      <c r="CE60" s="227">
        <f t="shared" ref="CE60:CE68" si="6">SUM(C60:CD60)</f>
        <v>228.82</v>
      </c>
    </row>
    <row r="61" spans="1:83" x14ac:dyDescent="0.25">
      <c r="A61" s="31" t="s">
        <v>262</v>
      </c>
      <c r="B61" s="16"/>
      <c r="C61" s="273">
        <v>123972.38</v>
      </c>
      <c r="D61" s="273"/>
      <c r="E61" s="273">
        <v>1123907.53</v>
      </c>
      <c r="F61" s="273"/>
      <c r="G61" s="273"/>
      <c r="H61" s="273">
        <v>2650392.5</v>
      </c>
      <c r="I61" s="273"/>
      <c r="J61" s="273"/>
      <c r="K61" s="273"/>
      <c r="L61" s="273"/>
      <c r="M61" s="273"/>
      <c r="N61" s="273"/>
      <c r="O61" s="273"/>
      <c r="P61" s="275">
        <v>2120540.39</v>
      </c>
      <c r="Q61" s="275">
        <v>534443.81999999995</v>
      </c>
      <c r="R61" s="275"/>
      <c r="S61" s="280">
        <v>481.75</v>
      </c>
      <c r="T61" s="280"/>
      <c r="U61" s="276">
        <v>888319.84</v>
      </c>
      <c r="V61" s="275">
        <v>113194.88</v>
      </c>
      <c r="W61" s="275">
        <v>-264.97000000000003</v>
      </c>
      <c r="X61" s="275">
        <v>194242.09</v>
      </c>
      <c r="Y61" s="275">
        <v>1014122.77</v>
      </c>
      <c r="Z61" s="275"/>
      <c r="AA61" s="275"/>
      <c r="AB61" s="281">
        <v>478926.17</v>
      </c>
      <c r="AC61" s="275"/>
      <c r="AD61" s="275"/>
      <c r="AE61" s="275">
        <v>263260.49</v>
      </c>
      <c r="AF61" s="275"/>
      <c r="AG61" s="275">
        <v>2623065.7000000002</v>
      </c>
      <c r="AH61" s="275"/>
      <c r="AI61" s="275"/>
      <c r="AJ61" s="275">
        <v>9302245.3200000003</v>
      </c>
      <c r="AK61" s="275">
        <v>7279.49</v>
      </c>
      <c r="AL61" s="275">
        <v>56535.18</v>
      </c>
      <c r="AM61" s="275"/>
      <c r="AN61" s="275"/>
      <c r="AO61" s="275"/>
      <c r="AP61" s="275"/>
      <c r="AQ61" s="275"/>
      <c r="AR61" s="275"/>
      <c r="AS61" s="275"/>
      <c r="AT61" s="275"/>
      <c r="AU61" s="275"/>
      <c r="AV61" s="280"/>
      <c r="AW61" s="280"/>
      <c r="AX61" s="280"/>
      <c r="AY61" s="275">
        <v>293583.90000000002</v>
      </c>
      <c r="AZ61" s="275"/>
      <c r="BA61" s="280"/>
      <c r="BB61" s="280"/>
      <c r="BC61" s="280"/>
      <c r="BD61" s="280">
        <v>107075.16</v>
      </c>
      <c r="BE61" s="275">
        <v>156930.51</v>
      </c>
      <c r="BF61" s="280">
        <v>338747.89</v>
      </c>
      <c r="BG61" s="280"/>
      <c r="BH61" s="280"/>
      <c r="BI61" s="280"/>
      <c r="BJ61" s="280">
        <v>89649.59</v>
      </c>
      <c r="BK61" s="280"/>
      <c r="BL61" s="280">
        <v>634624.23</v>
      </c>
      <c r="BM61" s="280"/>
      <c r="BN61" s="280">
        <v>16.18</v>
      </c>
      <c r="BO61" s="280"/>
      <c r="BP61" s="280"/>
      <c r="BQ61" s="280"/>
      <c r="BR61" s="280"/>
      <c r="BS61" s="280"/>
      <c r="BT61" s="280"/>
      <c r="BU61" s="280"/>
      <c r="BV61" s="280">
        <v>-17691.400000000001</v>
      </c>
      <c r="BW61" s="280">
        <v>243377.29</v>
      </c>
      <c r="BX61" s="280">
        <v>153262.35</v>
      </c>
      <c r="BY61" s="280">
        <v>866291.99</v>
      </c>
      <c r="BZ61" s="280"/>
      <c r="CA61" s="280">
        <v>438.99</v>
      </c>
      <c r="CB61" s="280"/>
      <c r="CC61" s="280">
        <v>8105.31</v>
      </c>
      <c r="CD61" s="24" t="s">
        <v>247</v>
      </c>
      <c r="CE61" s="25">
        <f t="shared" si="6"/>
        <v>24369077.319999997</v>
      </c>
    </row>
    <row r="62" spans="1:83" x14ac:dyDescent="0.25">
      <c r="A62" s="31" t="s">
        <v>10</v>
      </c>
      <c r="B62" s="16"/>
      <c r="C62" s="25">
        <f t="shared" ref="C62:AH62" si="7">ROUND(C47+C48,0)</f>
        <v>26346</v>
      </c>
      <c r="D62" s="25">
        <f t="shared" si="7"/>
        <v>0</v>
      </c>
      <c r="E62" s="25">
        <f t="shared" si="7"/>
        <v>248132</v>
      </c>
      <c r="F62" s="25">
        <f t="shared" si="7"/>
        <v>0</v>
      </c>
      <c r="G62" s="25">
        <f t="shared" si="7"/>
        <v>0</v>
      </c>
      <c r="H62" s="25">
        <f t="shared" si="7"/>
        <v>576595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0</v>
      </c>
      <c r="P62" s="25">
        <f t="shared" si="7"/>
        <v>486106</v>
      </c>
      <c r="Q62" s="25">
        <f t="shared" si="7"/>
        <v>116206</v>
      </c>
      <c r="R62" s="25">
        <f t="shared" si="7"/>
        <v>0</v>
      </c>
      <c r="S62" s="25">
        <f t="shared" si="7"/>
        <v>117</v>
      </c>
      <c r="T62" s="25">
        <f t="shared" si="7"/>
        <v>0</v>
      </c>
      <c r="U62" s="25">
        <f t="shared" si="7"/>
        <v>201058</v>
      </c>
      <c r="V62" s="25">
        <f t="shared" si="7"/>
        <v>21449</v>
      </c>
      <c r="W62" s="25">
        <f t="shared" si="7"/>
        <v>73</v>
      </c>
      <c r="X62" s="25">
        <f t="shared" si="7"/>
        <v>44067</v>
      </c>
      <c r="Y62" s="25">
        <f t="shared" si="7"/>
        <v>227519</v>
      </c>
      <c r="Z62" s="25">
        <f t="shared" si="7"/>
        <v>0</v>
      </c>
      <c r="AA62" s="25">
        <f t="shared" si="7"/>
        <v>0</v>
      </c>
      <c r="AB62" s="25">
        <f t="shared" si="7"/>
        <v>107247</v>
      </c>
      <c r="AC62" s="25">
        <f t="shared" si="7"/>
        <v>0</v>
      </c>
      <c r="AD62" s="25">
        <f t="shared" si="7"/>
        <v>0</v>
      </c>
      <c r="AE62" s="25">
        <f t="shared" si="7"/>
        <v>61423</v>
      </c>
      <c r="AF62" s="25">
        <f t="shared" si="7"/>
        <v>0</v>
      </c>
      <c r="AG62" s="25">
        <f t="shared" si="7"/>
        <v>579888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1630163</v>
      </c>
      <c r="AK62" s="25">
        <f t="shared" si="8"/>
        <v>1529</v>
      </c>
      <c r="AL62" s="25">
        <f t="shared" si="8"/>
        <v>11638</v>
      </c>
      <c r="AM62" s="25">
        <f t="shared" si="8"/>
        <v>0</v>
      </c>
      <c r="AN62" s="25">
        <f t="shared" si="8"/>
        <v>0</v>
      </c>
      <c r="AO62" s="25">
        <f t="shared" si="8"/>
        <v>0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0</v>
      </c>
      <c r="AW62" s="25">
        <f t="shared" si="8"/>
        <v>0</v>
      </c>
      <c r="AX62" s="25">
        <f t="shared" si="8"/>
        <v>0</v>
      </c>
      <c r="AY62" s="25">
        <f t="shared" si="8"/>
        <v>69306</v>
      </c>
      <c r="AZ62" s="25">
        <f t="shared" si="8"/>
        <v>0</v>
      </c>
      <c r="BA62" s="25">
        <f t="shared" si="8"/>
        <v>0</v>
      </c>
      <c r="BB62" s="25">
        <f t="shared" si="8"/>
        <v>0</v>
      </c>
      <c r="BC62" s="25">
        <f t="shared" si="8"/>
        <v>0</v>
      </c>
      <c r="BD62" s="25">
        <f t="shared" si="8"/>
        <v>26208</v>
      </c>
      <c r="BE62" s="25">
        <f t="shared" si="8"/>
        <v>43294</v>
      </c>
      <c r="BF62" s="25">
        <f t="shared" si="8"/>
        <v>82332</v>
      </c>
      <c r="BG62" s="25">
        <f t="shared" si="8"/>
        <v>0</v>
      </c>
      <c r="BH62" s="25">
        <f t="shared" si="8"/>
        <v>0</v>
      </c>
      <c r="BI62" s="25">
        <f t="shared" si="8"/>
        <v>0</v>
      </c>
      <c r="BJ62" s="25">
        <f t="shared" si="8"/>
        <v>17273</v>
      </c>
      <c r="BK62" s="25">
        <f t="shared" si="8"/>
        <v>0</v>
      </c>
      <c r="BL62" s="25">
        <f t="shared" si="8"/>
        <v>149257</v>
      </c>
      <c r="BM62" s="25">
        <f t="shared" si="8"/>
        <v>0</v>
      </c>
      <c r="BN62" s="25">
        <f t="shared" si="8"/>
        <v>589</v>
      </c>
      <c r="BO62" s="25">
        <f t="shared" ref="BO62:CC62" si="9">ROUND(BO47+BO48,0)</f>
        <v>0</v>
      </c>
      <c r="BP62" s="25">
        <f t="shared" si="9"/>
        <v>0</v>
      </c>
      <c r="BQ62" s="25">
        <f t="shared" si="9"/>
        <v>0</v>
      </c>
      <c r="BR62" s="25">
        <f t="shared" si="9"/>
        <v>0</v>
      </c>
      <c r="BS62" s="25">
        <f t="shared" si="9"/>
        <v>0</v>
      </c>
      <c r="BT62" s="25">
        <f t="shared" si="9"/>
        <v>0</v>
      </c>
      <c r="BU62" s="25">
        <f t="shared" si="9"/>
        <v>0</v>
      </c>
      <c r="BV62" s="25">
        <f t="shared" si="9"/>
        <v>-1607</v>
      </c>
      <c r="BW62" s="25">
        <f t="shared" si="9"/>
        <v>40587</v>
      </c>
      <c r="BX62" s="25">
        <f t="shared" si="9"/>
        <v>32281</v>
      </c>
      <c r="BY62" s="25">
        <f t="shared" si="9"/>
        <v>181253</v>
      </c>
      <c r="BZ62" s="25">
        <f t="shared" si="9"/>
        <v>0</v>
      </c>
      <c r="CA62" s="25">
        <f t="shared" si="9"/>
        <v>96</v>
      </c>
      <c r="CB62" s="25">
        <f t="shared" si="9"/>
        <v>0</v>
      </c>
      <c r="CC62" s="25">
        <f t="shared" si="9"/>
        <v>748</v>
      </c>
      <c r="CD62" s="24" t="s">
        <v>247</v>
      </c>
      <c r="CE62" s="25">
        <f t="shared" si="6"/>
        <v>4981173</v>
      </c>
    </row>
    <row r="63" spans="1:83" x14ac:dyDescent="0.25">
      <c r="A63" s="31" t="s">
        <v>263</v>
      </c>
      <c r="B63" s="16"/>
      <c r="C63" s="273"/>
      <c r="D63" s="273"/>
      <c r="E63" s="273">
        <v>0</v>
      </c>
      <c r="F63" s="273"/>
      <c r="G63" s="273"/>
      <c r="H63" s="273">
        <v>74820.899999999994</v>
      </c>
      <c r="I63" s="273"/>
      <c r="J63" s="273"/>
      <c r="K63" s="273"/>
      <c r="L63" s="273"/>
      <c r="M63" s="273"/>
      <c r="N63" s="273"/>
      <c r="O63" s="273"/>
      <c r="P63" s="275">
        <v>0</v>
      </c>
      <c r="Q63" s="275"/>
      <c r="R63" s="275"/>
      <c r="S63" s="280"/>
      <c r="T63" s="280"/>
      <c r="U63" s="276">
        <v>60000</v>
      </c>
      <c r="V63" s="275"/>
      <c r="W63" s="275"/>
      <c r="X63" s="275"/>
      <c r="Y63" s="275"/>
      <c r="Z63" s="275"/>
      <c r="AA63" s="275"/>
      <c r="AB63" s="281"/>
      <c r="AC63" s="275"/>
      <c r="AD63" s="275"/>
      <c r="AE63" s="275"/>
      <c r="AF63" s="275"/>
      <c r="AG63" s="275">
        <v>39782</v>
      </c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80"/>
      <c r="AW63" s="280"/>
      <c r="AX63" s="280"/>
      <c r="AY63" s="275">
        <v>0</v>
      </c>
      <c r="AZ63" s="275"/>
      <c r="BA63" s="280"/>
      <c r="BB63" s="280"/>
      <c r="BC63" s="280"/>
      <c r="BD63" s="280"/>
      <c r="BE63" s="275"/>
      <c r="BF63" s="280"/>
      <c r="BG63" s="280"/>
      <c r="BH63" s="280"/>
      <c r="BI63" s="280"/>
      <c r="BJ63" s="280">
        <v>15875</v>
      </c>
      <c r="BK63" s="280"/>
      <c r="BL63" s="280"/>
      <c r="BM63" s="280"/>
      <c r="BN63" s="280">
        <v>60016.88</v>
      </c>
      <c r="BO63" s="280"/>
      <c r="BP63" s="280"/>
      <c r="BQ63" s="280"/>
      <c r="BR63" s="280"/>
      <c r="BS63" s="280"/>
      <c r="BT63" s="280"/>
      <c r="BU63" s="280"/>
      <c r="BV63" s="280"/>
      <c r="BW63" s="280">
        <v>154949.49</v>
      </c>
      <c r="BX63" s="280"/>
      <c r="BY63" s="280"/>
      <c r="BZ63" s="280"/>
      <c r="CA63" s="280"/>
      <c r="CB63" s="280"/>
      <c r="CC63" s="280"/>
      <c r="CD63" s="24" t="s">
        <v>247</v>
      </c>
      <c r="CE63" s="25">
        <f t="shared" si="6"/>
        <v>405444.27</v>
      </c>
    </row>
    <row r="64" spans="1:83" x14ac:dyDescent="0.25">
      <c r="A64" s="31" t="s">
        <v>264</v>
      </c>
      <c r="B64" s="16"/>
      <c r="C64" s="273">
        <v>54409.279999999999</v>
      </c>
      <c r="D64" s="273"/>
      <c r="E64" s="273">
        <v>94604.7</v>
      </c>
      <c r="F64" s="273"/>
      <c r="G64" s="273"/>
      <c r="H64" s="273">
        <v>22768.01</v>
      </c>
      <c r="I64" s="273"/>
      <c r="J64" s="273"/>
      <c r="K64" s="273"/>
      <c r="L64" s="273"/>
      <c r="M64" s="273"/>
      <c r="N64" s="273"/>
      <c r="O64" s="273"/>
      <c r="P64" s="275">
        <v>2455112.94</v>
      </c>
      <c r="Q64" s="275">
        <v>38175.56</v>
      </c>
      <c r="R64" s="275">
        <v>15431.12</v>
      </c>
      <c r="S64" s="280">
        <v>-246449.21</v>
      </c>
      <c r="T64" s="280"/>
      <c r="U64" s="276">
        <v>848710.93</v>
      </c>
      <c r="V64" s="275"/>
      <c r="W64" s="275"/>
      <c r="X64" s="275">
        <v>58895.38</v>
      </c>
      <c r="Y64" s="275">
        <v>10598.72</v>
      </c>
      <c r="Z64" s="275"/>
      <c r="AA64" s="275"/>
      <c r="AB64" s="281">
        <v>879468.76</v>
      </c>
      <c r="AC64" s="275">
        <v>32037.89</v>
      </c>
      <c r="AD64" s="275"/>
      <c r="AE64" s="275">
        <v>22705.040000000001</v>
      </c>
      <c r="AF64" s="275"/>
      <c r="AG64" s="275">
        <v>265385.39</v>
      </c>
      <c r="AH64" s="275"/>
      <c r="AI64" s="275"/>
      <c r="AJ64" s="275">
        <v>196520.33</v>
      </c>
      <c r="AK64" s="275"/>
      <c r="AL64" s="275">
        <v>173.76</v>
      </c>
      <c r="AM64" s="275"/>
      <c r="AN64" s="275"/>
      <c r="AO64" s="275"/>
      <c r="AP64" s="275"/>
      <c r="AQ64" s="275"/>
      <c r="AR64" s="275"/>
      <c r="AS64" s="275"/>
      <c r="AT64" s="275"/>
      <c r="AU64" s="275"/>
      <c r="AV64" s="280"/>
      <c r="AW64" s="280"/>
      <c r="AX64" s="280"/>
      <c r="AY64" s="275">
        <v>349150.54</v>
      </c>
      <c r="AZ64" s="275"/>
      <c r="BA64" s="280"/>
      <c r="BB64" s="280"/>
      <c r="BC64" s="280"/>
      <c r="BD64" s="280">
        <v>-46305.33</v>
      </c>
      <c r="BE64" s="275">
        <v>68189.440000000002</v>
      </c>
      <c r="BF64" s="280">
        <v>95989.92</v>
      </c>
      <c r="BG64" s="280"/>
      <c r="BH64" s="280">
        <v>68171.13</v>
      </c>
      <c r="BI64" s="280"/>
      <c r="BJ64" s="280">
        <v>45.99</v>
      </c>
      <c r="BK64" s="280">
        <v>744.92</v>
      </c>
      <c r="BL64" s="280">
        <v>11413.37</v>
      </c>
      <c r="BM64" s="280"/>
      <c r="BN64" s="280">
        <v>10556.81</v>
      </c>
      <c r="BO64" s="280"/>
      <c r="BP64" s="280"/>
      <c r="BQ64" s="280"/>
      <c r="BR64" s="280"/>
      <c r="BS64" s="280"/>
      <c r="BT64" s="280"/>
      <c r="BU64" s="280"/>
      <c r="BV64" s="280">
        <v>83694.28</v>
      </c>
      <c r="BW64" s="280"/>
      <c r="BX64" s="280">
        <v>486.37</v>
      </c>
      <c r="BY64" s="280">
        <v>1293.9100000000001</v>
      </c>
      <c r="BZ64" s="280"/>
      <c r="CA64" s="280">
        <v>-3221.06</v>
      </c>
      <c r="CB64" s="280"/>
      <c r="CC64" s="280">
        <v>336.31</v>
      </c>
      <c r="CD64" s="24" t="s">
        <v>247</v>
      </c>
      <c r="CE64" s="25">
        <f t="shared" si="6"/>
        <v>5389095.2000000002</v>
      </c>
    </row>
    <row r="65" spans="1:83" x14ac:dyDescent="0.25">
      <c r="A65" s="31" t="s">
        <v>265</v>
      </c>
      <c r="B65" s="16"/>
      <c r="C65" s="340"/>
      <c r="D65" s="340"/>
      <c r="E65" s="340"/>
      <c r="F65" s="340"/>
      <c r="G65" s="340"/>
      <c r="H65" s="340"/>
      <c r="I65" s="340"/>
      <c r="J65" s="340"/>
      <c r="K65" s="340"/>
      <c r="L65" s="340"/>
      <c r="M65" s="340"/>
      <c r="N65" s="340"/>
      <c r="O65" s="340"/>
      <c r="P65" s="340"/>
      <c r="Q65" s="340"/>
      <c r="R65" s="340"/>
      <c r="S65" s="340"/>
      <c r="T65" s="340"/>
      <c r="U65" s="340"/>
      <c r="V65" s="340"/>
      <c r="W65" s="340"/>
      <c r="X65" s="340"/>
      <c r="Y65" s="340"/>
      <c r="Z65" s="340"/>
      <c r="AA65" s="340"/>
      <c r="AB65" s="340"/>
      <c r="AC65" s="340"/>
      <c r="AD65" s="340"/>
      <c r="AE65" s="340"/>
      <c r="AF65" s="340"/>
      <c r="AG65" s="340"/>
      <c r="AH65" s="340"/>
      <c r="AI65" s="340"/>
      <c r="AJ65" s="340"/>
      <c r="AK65" s="340"/>
      <c r="AL65" s="340"/>
      <c r="AM65" s="340"/>
      <c r="AN65" s="340"/>
      <c r="AO65" s="340"/>
      <c r="AP65" s="340"/>
      <c r="AQ65" s="340"/>
      <c r="AR65" s="340"/>
      <c r="AS65" s="340"/>
      <c r="AT65" s="340"/>
      <c r="AU65" s="340"/>
      <c r="AV65" s="340"/>
      <c r="AW65" s="340"/>
      <c r="AX65" s="340"/>
      <c r="AY65" s="340"/>
      <c r="AZ65" s="340"/>
      <c r="BA65" s="340"/>
      <c r="BB65" s="340"/>
      <c r="BC65" s="340"/>
      <c r="BD65" s="340"/>
      <c r="BE65" s="340"/>
      <c r="BF65" s="340"/>
      <c r="BG65" s="340"/>
      <c r="BH65" s="340"/>
      <c r="BI65" s="340"/>
      <c r="BJ65" s="340"/>
      <c r="BK65" s="340"/>
      <c r="BL65" s="340"/>
      <c r="BM65" s="340"/>
      <c r="BN65" s="340"/>
      <c r="BO65" s="340"/>
      <c r="BP65" s="340"/>
      <c r="BQ65" s="340"/>
      <c r="BR65" s="340"/>
      <c r="BS65" s="340"/>
      <c r="BT65" s="340"/>
      <c r="BU65" s="340"/>
      <c r="BV65" s="340"/>
      <c r="BW65" s="340"/>
      <c r="BX65" s="340"/>
      <c r="BY65" s="340"/>
      <c r="BZ65" s="340"/>
      <c r="CA65" s="340"/>
      <c r="CB65" s="340"/>
      <c r="CC65" s="340"/>
      <c r="CD65" s="24" t="s">
        <v>247</v>
      </c>
      <c r="CE65" s="25">
        <f t="shared" si="6"/>
        <v>0</v>
      </c>
    </row>
    <row r="66" spans="1:83" x14ac:dyDescent="0.25">
      <c r="A66" s="31" t="s">
        <v>266</v>
      </c>
      <c r="B66" s="16"/>
      <c r="C66" s="273">
        <v>435.24</v>
      </c>
      <c r="D66" s="273"/>
      <c r="E66" s="273">
        <v>100285.39</v>
      </c>
      <c r="F66" s="273"/>
      <c r="G66" s="273"/>
      <c r="H66" s="273">
        <v>918.71</v>
      </c>
      <c r="I66" s="273"/>
      <c r="J66" s="273"/>
      <c r="K66" s="273"/>
      <c r="L66" s="273"/>
      <c r="M66" s="273"/>
      <c r="N66" s="273"/>
      <c r="O66" s="273"/>
      <c r="P66" s="275">
        <v>127201.15</v>
      </c>
      <c r="Q66" s="275"/>
      <c r="R66" s="275">
        <v>1115851.2</v>
      </c>
      <c r="S66" s="280">
        <v>12355.2</v>
      </c>
      <c r="T66" s="280"/>
      <c r="U66" s="276">
        <v>444271.39</v>
      </c>
      <c r="V66" s="275"/>
      <c r="W66" s="275">
        <v>2265</v>
      </c>
      <c r="X66" s="275"/>
      <c r="Y66" s="275">
        <v>302576.01</v>
      </c>
      <c r="Z66" s="275"/>
      <c r="AA66" s="275"/>
      <c r="AB66" s="281">
        <v>115584.93</v>
      </c>
      <c r="AC66" s="275">
        <v>625735.39</v>
      </c>
      <c r="AD66" s="275"/>
      <c r="AE66" s="275">
        <v>150.22999999999999</v>
      </c>
      <c r="AF66" s="275"/>
      <c r="AG66" s="275">
        <v>1302045.76</v>
      </c>
      <c r="AH66" s="275"/>
      <c r="AI66" s="275"/>
      <c r="AJ66" s="275">
        <v>242936.98</v>
      </c>
      <c r="AK66" s="275">
        <v>40</v>
      </c>
      <c r="AL66" s="275"/>
      <c r="AM66" s="275"/>
      <c r="AN66" s="275"/>
      <c r="AO66" s="275"/>
      <c r="AP66" s="275"/>
      <c r="AQ66" s="275"/>
      <c r="AR66" s="275"/>
      <c r="AS66" s="275"/>
      <c r="AT66" s="275"/>
      <c r="AU66" s="275"/>
      <c r="AV66" s="280"/>
      <c r="AW66" s="280"/>
      <c r="AX66" s="280"/>
      <c r="AY66" s="275">
        <v>182.84</v>
      </c>
      <c r="AZ66" s="275"/>
      <c r="BA66" s="280"/>
      <c r="BB66" s="280"/>
      <c r="BC66" s="280"/>
      <c r="BD66" s="280">
        <v>2030.28</v>
      </c>
      <c r="BE66" s="275">
        <v>85015.58</v>
      </c>
      <c r="BF66" s="280">
        <v>272932.62</v>
      </c>
      <c r="BG66" s="280">
        <v>45934.33</v>
      </c>
      <c r="BH66" s="280">
        <v>363739.06</v>
      </c>
      <c r="BI66" s="280"/>
      <c r="BJ66" s="280"/>
      <c r="BK66" s="280"/>
      <c r="BL66" s="280"/>
      <c r="BM66" s="280"/>
      <c r="BN66" s="280">
        <v>8913.2800000000007</v>
      </c>
      <c r="BO66" s="280"/>
      <c r="BP66" s="280"/>
      <c r="BQ66" s="280"/>
      <c r="BR66" s="280">
        <v>22567.96</v>
      </c>
      <c r="BS66" s="280"/>
      <c r="BT66" s="280"/>
      <c r="BU66" s="280"/>
      <c r="BV66" s="280">
        <v>69.02</v>
      </c>
      <c r="BW66" s="280">
        <v>1905887.6</v>
      </c>
      <c r="BX66" s="280">
        <v>46589.599999999999</v>
      </c>
      <c r="BY66" s="280">
        <v>54618.69</v>
      </c>
      <c r="BZ66" s="280"/>
      <c r="CA66" s="280"/>
      <c r="CB66" s="280"/>
      <c r="CC66" s="280">
        <v>190312.27</v>
      </c>
      <c r="CD66" s="24" t="s">
        <v>247</v>
      </c>
      <c r="CE66" s="25">
        <f t="shared" si="6"/>
        <v>7391445.71</v>
      </c>
    </row>
    <row r="67" spans="1:83" x14ac:dyDescent="0.25">
      <c r="A67" s="31" t="s">
        <v>15</v>
      </c>
      <c r="B67" s="16"/>
      <c r="C67" s="25">
        <f t="shared" ref="C67:AH67" si="10">ROUND(C51+C52,0)</f>
        <v>26360</v>
      </c>
      <c r="D67" s="25">
        <f t="shared" si="10"/>
        <v>0</v>
      </c>
      <c r="E67" s="25">
        <f t="shared" si="10"/>
        <v>31136</v>
      </c>
      <c r="F67" s="25">
        <f t="shared" si="10"/>
        <v>0</v>
      </c>
      <c r="G67" s="25">
        <f t="shared" si="10"/>
        <v>0</v>
      </c>
      <c r="H67" s="25">
        <f t="shared" si="10"/>
        <v>49561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77054</v>
      </c>
      <c r="P67" s="25">
        <f t="shared" si="10"/>
        <v>138457</v>
      </c>
      <c r="Q67" s="25">
        <f t="shared" si="10"/>
        <v>0</v>
      </c>
      <c r="R67" s="25">
        <f t="shared" si="10"/>
        <v>0</v>
      </c>
      <c r="S67" s="25">
        <f t="shared" si="10"/>
        <v>0</v>
      </c>
      <c r="T67" s="25">
        <f t="shared" si="10"/>
        <v>0</v>
      </c>
      <c r="U67" s="25">
        <f t="shared" si="10"/>
        <v>31048</v>
      </c>
      <c r="V67" s="25">
        <f t="shared" si="10"/>
        <v>0</v>
      </c>
      <c r="W67" s="25">
        <f t="shared" si="10"/>
        <v>0</v>
      </c>
      <c r="X67" s="25">
        <f t="shared" si="10"/>
        <v>0</v>
      </c>
      <c r="Y67" s="25">
        <f t="shared" si="10"/>
        <v>37113</v>
      </c>
      <c r="Z67" s="25">
        <f t="shared" si="10"/>
        <v>0</v>
      </c>
      <c r="AA67" s="25">
        <f t="shared" si="10"/>
        <v>0</v>
      </c>
      <c r="AB67" s="25">
        <f t="shared" si="10"/>
        <v>14979</v>
      </c>
      <c r="AC67" s="25">
        <f t="shared" si="10"/>
        <v>12074</v>
      </c>
      <c r="AD67" s="25">
        <f t="shared" si="10"/>
        <v>0</v>
      </c>
      <c r="AE67" s="25">
        <f t="shared" si="10"/>
        <v>13328</v>
      </c>
      <c r="AF67" s="25">
        <f t="shared" si="10"/>
        <v>0</v>
      </c>
      <c r="AG67" s="25">
        <f t="shared" si="10"/>
        <v>50969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0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0</v>
      </c>
      <c r="AW67" s="25">
        <f t="shared" si="11"/>
        <v>0</v>
      </c>
      <c r="AX67" s="25">
        <f t="shared" si="11"/>
        <v>0</v>
      </c>
      <c r="AY67" s="25">
        <f t="shared" si="11"/>
        <v>24676</v>
      </c>
      <c r="AZ67" s="25">
        <f t="shared" si="11"/>
        <v>0</v>
      </c>
      <c r="BA67" s="25">
        <f t="shared" si="11"/>
        <v>0</v>
      </c>
      <c r="BB67" s="25">
        <f t="shared" si="11"/>
        <v>0</v>
      </c>
      <c r="BC67" s="25">
        <f t="shared" si="11"/>
        <v>0</v>
      </c>
      <c r="BD67" s="25">
        <f t="shared" si="11"/>
        <v>36067</v>
      </c>
      <c r="BE67" s="25">
        <f t="shared" si="11"/>
        <v>14231</v>
      </c>
      <c r="BF67" s="25">
        <f t="shared" si="11"/>
        <v>5239</v>
      </c>
      <c r="BG67" s="25">
        <f t="shared" si="11"/>
        <v>1365</v>
      </c>
      <c r="BH67" s="25">
        <f t="shared" si="11"/>
        <v>0</v>
      </c>
      <c r="BI67" s="25">
        <f t="shared" si="11"/>
        <v>0</v>
      </c>
      <c r="BJ67" s="25">
        <f t="shared" si="11"/>
        <v>0</v>
      </c>
      <c r="BK67" s="25">
        <f t="shared" si="11"/>
        <v>0</v>
      </c>
      <c r="BL67" s="25">
        <f t="shared" si="11"/>
        <v>0</v>
      </c>
      <c r="BM67" s="25">
        <f t="shared" si="11"/>
        <v>0</v>
      </c>
      <c r="BN67" s="25">
        <f t="shared" si="11"/>
        <v>56979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0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0</v>
      </c>
      <c r="BW67" s="25">
        <f t="shared" si="12"/>
        <v>0</v>
      </c>
      <c r="BX67" s="25">
        <f t="shared" si="12"/>
        <v>4557</v>
      </c>
      <c r="BY67" s="25">
        <f t="shared" si="12"/>
        <v>5756</v>
      </c>
      <c r="BZ67" s="25">
        <f t="shared" si="12"/>
        <v>0</v>
      </c>
      <c r="CA67" s="25">
        <f t="shared" si="12"/>
        <v>6152</v>
      </c>
      <c r="CB67" s="25">
        <f t="shared" si="12"/>
        <v>0</v>
      </c>
      <c r="CC67" s="25">
        <f t="shared" si="12"/>
        <v>146547</v>
      </c>
      <c r="CD67" s="24" t="s">
        <v>247</v>
      </c>
      <c r="CE67" s="25">
        <f t="shared" si="6"/>
        <v>783648</v>
      </c>
    </row>
    <row r="68" spans="1:83" x14ac:dyDescent="0.25">
      <c r="A68" s="31" t="s">
        <v>267</v>
      </c>
      <c r="B68" s="25"/>
      <c r="C68" s="273">
        <v>6801.4</v>
      </c>
      <c r="D68" s="273"/>
      <c r="E68" s="273">
        <v>692.01</v>
      </c>
      <c r="F68" s="273"/>
      <c r="G68" s="273"/>
      <c r="H68" s="273"/>
      <c r="I68" s="273"/>
      <c r="J68" s="273"/>
      <c r="K68" s="273"/>
      <c r="L68" s="273"/>
      <c r="M68" s="273"/>
      <c r="N68" s="273"/>
      <c r="O68" s="273"/>
      <c r="P68" s="275">
        <v>274989.03999999998</v>
      </c>
      <c r="Q68" s="275"/>
      <c r="R68" s="275"/>
      <c r="S68" s="280"/>
      <c r="T68" s="280"/>
      <c r="U68" s="276">
        <v>64503.48</v>
      </c>
      <c r="V68" s="275"/>
      <c r="W68" s="275"/>
      <c r="X68" s="275"/>
      <c r="Y68" s="275">
        <v>1137.95</v>
      </c>
      <c r="Z68" s="275"/>
      <c r="AA68" s="275"/>
      <c r="AB68" s="281">
        <v>191363.04</v>
      </c>
      <c r="AC68" s="275"/>
      <c r="AD68" s="275"/>
      <c r="AE68" s="275"/>
      <c r="AF68" s="275"/>
      <c r="AG68" s="275"/>
      <c r="AH68" s="275"/>
      <c r="AI68" s="275"/>
      <c r="AJ68" s="275">
        <v>422353.52</v>
      </c>
      <c r="AK68" s="275"/>
      <c r="AL68" s="275"/>
      <c r="AM68" s="275"/>
      <c r="AN68" s="275"/>
      <c r="AO68" s="275"/>
      <c r="AP68" s="275"/>
      <c r="AQ68" s="275"/>
      <c r="AR68" s="275"/>
      <c r="AS68" s="275"/>
      <c r="AT68" s="275"/>
      <c r="AU68" s="275"/>
      <c r="AV68" s="280"/>
      <c r="AW68" s="280"/>
      <c r="AX68" s="280"/>
      <c r="AY68" s="275">
        <v>1357.98</v>
      </c>
      <c r="AZ68" s="275"/>
      <c r="BA68" s="280"/>
      <c r="BB68" s="280"/>
      <c r="BC68" s="280"/>
      <c r="BD68" s="280"/>
      <c r="BE68" s="275">
        <v>15279.76</v>
      </c>
      <c r="BF68" s="280">
        <v>1087.04</v>
      </c>
      <c r="BG68" s="280"/>
      <c r="BH68" s="280">
        <v>-235.98</v>
      </c>
      <c r="BI68" s="280"/>
      <c r="BJ68" s="280"/>
      <c r="BK68" s="280"/>
      <c r="BL68" s="280"/>
      <c r="BM68" s="280"/>
      <c r="BN68" s="280">
        <v>19160.28</v>
      </c>
      <c r="BO68" s="280"/>
      <c r="BP68" s="280"/>
      <c r="BQ68" s="280"/>
      <c r="BR68" s="280"/>
      <c r="BS68" s="280"/>
      <c r="BT68" s="280"/>
      <c r="BU68" s="280"/>
      <c r="BV68" s="280"/>
      <c r="BW68" s="280"/>
      <c r="BX68" s="280"/>
      <c r="BY68" s="280"/>
      <c r="BZ68" s="280"/>
      <c r="CA68" s="280"/>
      <c r="CB68" s="280"/>
      <c r="CC68" s="280"/>
      <c r="CD68" s="24" t="s">
        <v>247</v>
      </c>
      <c r="CE68" s="25">
        <f t="shared" si="6"/>
        <v>998489.52</v>
      </c>
    </row>
    <row r="69" spans="1:83" x14ac:dyDescent="0.25">
      <c r="A69" s="31" t="s">
        <v>268</v>
      </c>
      <c r="B69" s="16"/>
      <c r="C69" s="25">
        <f t="shared" ref="C69:AH69" si="13">SUM(C70:C83)</f>
        <v>6894.79</v>
      </c>
      <c r="D69" s="25">
        <f t="shared" si="13"/>
        <v>0</v>
      </c>
      <c r="E69" s="25">
        <f t="shared" si="13"/>
        <v>1156441.7300000002</v>
      </c>
      <c r="F69" s="25">
        <f t="shared" si="13"/>
        <v>0</v>
      </c>
      <c r="G69" s="25">
        <f t="shared" si="13"/>
        <v>0</v>
      </c>
      <c r="H69" s="25">
        <f t="shared" si="13"/>
        <v>303676.26000000007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0</v>
      </c>
      <c r="P69" s="25">
        <f t="shared" si="13"/>
        <v>609451.43000000005</v>
      </c>
      <c r="Q69" s="25">
        <f t="shared" si="13"/>
        <v>338.82</v>
      </c>
      <c r="R69" s="25">
        <f t="shared" si="13"/>
        <v>0</v>
      </c>
      <c r="S69" s="25">
        <f t="shared" si="13"/>
        <v>0</v>
      </c>
      <c r="T69" s="25">
        <f t="shared" si="13"/>
        <v>0</v>
      </c>
      <c r="U69" s="25">
        <f t="shared" si="13"/>
        <v>30877.91</v>
      </c>
      <c r="V69" s="25">
        <f t="shared" si="13"/>
        <v>400</v>
      </c>
      <c r="W69" s="25">
        <f t="shared" si="13"/>
        <v>0</v>
      </c>
      <c r="X69" s="25">
        <f t="shared" si="13"/>
        <v>364.07</v>
      </c>
      <c r="Y69" s="25">
        <f t="shared" si="13"/>
        <v>4490.7199999999993</v>
      </c>
      <c r="Z69" s="25">
        <f t="shared" si="13"/>
        <v>0</v>
      </c>
      <c r="AA69" s="25">
        <f t="shared" si="13"/>
        <v>0</v>
      </c>
      <c r="AB69" s="25">
        <f t="shared" si="13"/>
        <v>47949.83</v>
      </c>
      <c r="AC69" s="25">
        <f t="shared" si="13"/>
        <v>13974.2</v>
      </c>
      <c r="AD69" s="25">
        <f t="shared" si="13"/>
        <v>0</v>
      </c>
      <c r="AE69" s="25">
        <f t="shared" si="13"/>
        <v>439.33</v>
      </c>
      <c r="AF69" s="25">
        <f t="shared" si="13"/>
        <v>0</v>
      </c>
      <c r="AG69" s="25">
        <f t="shared" si="13"/>
        <v>519970.4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182814.03</v>
      </c>
      <c r="AK69" s="25">
        <f t="shared" si="14"/>
        <v>0</v>
      </c>
      <c r="AL69" s="25">
        <f t="shared" si="14"/>
        <v>0</v>
      </c>
      <c r="AM69" s="25">
        <f t="shared" si="14"/>
        <v>0</v>
      </c>
      <c r="AN69" s="25">
        <f t="shared" si="14"/>
        <v>0</v>
      </c>
      <c r="AO69" s="25">
        <f t="shared" si="14"/>
        <v>0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0</v>
      </c>
      <c r="AW69" s="25">
        <f t="shared" si="14"/>
        <v>0</v>
      </c>
      <c r="AX69" s="25">
        <f t="shared" si="14"/>
        <v>0</v>
      </c>
      <c r="AY69" s="25">
        <f t="shared" si="14"/>
        <v>33862.22</v>
      </c>
      <c r="AZ69" s="25">
        <f t="shared" si="14"/>
        <v>0</v>
      </c>
      <c r="BA69" s="25">
        <f t="shared" si="14"/>
        <v>0</v>
      </c>
      <c r="BB69" s="25">
        <f t="shared" si="14"/>
        <v>0</v>
      </c>
      <c r="BC69" s="25">
        <f t="shared" si="14"/>
        <v>0</v>
      </c>
      <c r="BD69" s="25">
        <f t="shared" si="14"/>
        <v>5643.65</v>
      </c>
      <c r="BE69" s="25">
        <f t="shared" si="14"/>
        <v>646033.14</v>
      </c>
      <c r="BF69" s="25">
        <f t="shared" si="14"/>
        <v>3911.56</v>
      </c>
      <c r="BG69" s="25">
        <f t="shared" si="14"/>
        <v>0</v>
      </c>
      <c r="BH69" s="25">
        <f t="shared" si="14"/>
        <v>2890.6</v>
      </c>
      <c r="BI69" s="25">
        <f t="shared" si="14"/>
        <v>0</v>
      </c>
      <c r="BJ69" s="25">
        <f t="shared" si="14"/>
        <v>73.900000000000006</v>
      </c>
      <c r="BK69" s="25">
        <f t="shared" si="14"/>
        <v>0</v>
      </c>
      <c r="BL69" s="25">
        <f t="shared" si="14"/>
        <v>0</v>
      </c>
      <c r="BM69" s="25">
        <f t="shared" si="14"/>
        <v>0</v>
      </c>
      <c r="BN69" s="25">
        <f t="shared" si="14"/>
        <v>12141743.15</v>
      </c>
      <c r="BO69" s="25">
        <f t="shared" ref="BO69:CE69" si="15">SUM(BO70:BO83)</f>
        <v>527.5</v>
      </c>
      <c r="BP69" s="25">
        <f t="shared" si="15"/>
        <v>0</v>
      </c>
      <c r="BQ69" s="25">
        <f t="shared" si="15"/>
        <v>0</v>
      </c>
      <c r="BR69" s="25">
        <f t="shared" si="15"/>
        <v>6258.29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0</v>
      </c>
      <c r="BW69" s="25">
        <f t="shared" si="15"/>
        <v>0</v>
      </c>
      <c r="BX69" s="25">
        <f t="shared" si="15"/>
        <v>9478.9500000000007</v>
      </c>
      <c r="BY69" s="25">
        <f t="shared" si="15"/>
        <v>14001.54</v>
      </c>
      <c r="BZ69" s="25">
        <f t="shared" si="15"/>
        <v>0</v>
      </c>
      <c r="CA69" s="25">
        <f t="shared" si="15"/>
        <v>0</v>
      </c>
      <c r="CB69" s="25">
        <f t="shared" si="15"/>
        <v>0</v>
      </c>
      <c r="CC69" s="25">
        <f t="shared" si="15"/>
        <v>2567428.2599999998</v>
      </c>
      <c r="CD69" s="25">
        <f t="shared" si="15"/>
        <v>0</v>
      </c>
      <c r="CE69" s="25">
        <f t="shared" si="15"/>
        <v>18309936.280000001</v>
      </c>
    </row>
    <row r="70" spans="1:83" x14ac:dyDescent="0.25">
      <c r="A70" s="26" t="s">
        <v>269</v>
      </c>
      <c r="B70" s="27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82"/>
      <c r="AK70" s="282"/>
      <c r="AL70" s="282"/>
      <c r="AM70" s="282"/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2"/>
      <c r="AY70" s="282"/>
      <c r="AZ70" s="282"/>
      <c r="BA70" s="282"/>
      <c r="BB70" s="282"/>
      <c r="BC70" s="282"/>
      <c r="BD70" s="282"/>
      <c r="BE70" s="282"/>
      <c r="BF70" s="282"/>
      <c r="BG70" s="282"/>
      <c r="BH70" s="282"/>
      <c r="BI70" s="282"/>
      <c r="BJ70" s="282"/>
      <c r="BK70" s="282"/>
      <c r="BL70" s="282"/>
      <c r="BM70" s="282"/>
      <c r="BN70" s="282"/>
      <c r="BO70" s="282"/>
      <c r="BP70" s="282"/>
      <c r="BQ70" s="282"/>
      <c r="BR70" s="282"/>
      <c r="BS70" s="282"/>
      <c r="BT70" s="282"/>
      <c r="BU70" s="282"/>
      <c r="BV70" s="282"/>
      <c r="BW70" s="282"/>
      <c r="BX70" s="282"/>
      <c r="BY70" s="282"/>
      <c r="BZ70" s="282"/>
      <c r="CA70" s="282"/>
      <c r="CB70" s="282"/>
      <c r="CC70" s="282"/>
      <c r="CD70" s="282"/>
      <c r="CE70" s="25">
        <f t="shared" ref="CE70:CE85" si="16">SUM(C70:CD70)</f>
        <v>0</v>
      </c>
    </row>
    <row r="71" spans="1:83" x14ac:dyDescent="0.25">
      <c r="A71" s="26" t="s">
        <v>270</v>
      </c>
      <c r="B71" s="27"/>
      <c r="C71" s="282"/>
      <c r="D71" s="282"/>
      <c r="E71" s="282">
        <v>1152594.6200000001</v>
      </c>
      <c r="F71" s="282"/>
      <c r="G71" s="282"/>
      <c r="H71" s="282">
        <v>290365.27</v>
      </c>
      <c r="I71" s="282"/>
      <c r="J71" s="282"/>
      <c r="K71" s="282"/>
      <c r="L71" s="282"/>
      <c r="M71" s="282"/>
      <c r="N71" s="282"/>
      <c r="O71" s="282"/>
      <c r="P71" s="282">
        <v>423818.81</v>
      </c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>
        <v>494113.69</v>
      </c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2"/>
      <c r="AY71" s="282">
        <v>19920</v>
      </c>
      <c r="AZ71" s="282"/>
      <c r="BA71" s="282"/>
      <c r="BB71" s="282"/>
      <c r="BC71" s="282"/>
      <c r="BD71" s="282"/>
      <c r="BE71" s="282"/>
      <c r="BF71" s="282"/>
      <c r="BG71" s="282"/>
      <c r="BH71" s="282"/>
      <c r="BI71" s="282"/>
      <c r="BJ71" s="282"/>
      <c r="BK71" s="282"/>
      <c r="BL71" s="282"/>
      <c r="BM71" s="282"/>
      <c r="BN71" s="282"/>
      <c r="BO71" s="282"/>
      <c r="BP71" s="282"/>
      <c r="BQ71" s="282"/>
      <c r="BR71" s="282"/>
      <c r="BS71" s="282"/>
      <c r="BT71" s="282"/>
      <c r="BU71" s="282"/>
      <c r="BV71" s="282"/>
      <c r="BW71" s="282"/>
      <c r="BX71" s="282"/>
      <c r="BY71" s="282"/>
      <c r="BZ71" s="282"/>
      <c r="CA71" s="282"/>
      <c r="CB71" s="282"/>
      <c r="CC71" s="282"/>
      <c r="CD71" s="282"/>
      <c r="CE71" s="25">
        <f t="shared" si="16"/>
        <v>2380812.39</v>
      </c>
    </row>
    <row r="72" spans="1:83" x14ac:dyDescent="0.25">
      <c r="A72" s="26" t="s">
        <v>271</v>
      </c>
      <c r="B72" s="27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282"/>
      <c r="X72" s="282"/>
      <c r="Y72" s="282"/>
      <c r="Z72" s="282"/>
      <c r="AA72" s="282"/>
      <c r="AB72" s="282"/>
      <c r="AC72" s="282"/>
      <c r="AD72" s="282"/>
      <c r="AE72" s="282"/>
      <c r="AF72" s="282"/>
      <c r="AG72" s="282"/>
      <c r="AH72" s="282"/>
      <c r="AI72" s="282"/>
      <c r="AJ72" s="282"/>
      <c r="AK72" s="282"/>
      <c r="AL72" s="282"/>
      <c r="AM72" s="282"/>
      <c r="AN72" s="282"/>
      <c r="AO72" s="282"/>
      <c r="AP72" s="282"/>
      <c r="AQ72" s="282"/>
      <c r="AR72" s="282"/>
      <c r="AS72" s="282"/>
      <c r="AT72" s="282"/>
      <c r="AU72" s="282"/>
      <c r="AV72" s="282"/>
      <c r="AW72" s="282"/>
      <c r="AX72" s="282"/>
      <c r="AY72" s="282"/>
      <c r="AZ72" s="282"/>
      <c r="BA72" s="282"/>
      <c r="BB72" s="282"/>
      <c r="BC72" s="282"/>
      <c r="BD72" s="282"/>
      <c r="BE72" s="282"/>
      <c r="BF72" s="282"/>
      <c r="BG72" s="282"/>
      <c r="BH72" s="282"/>
      <c r="BI72" s="282"/>
      <c r="BJ72" s="282"/>
      <c r="BK72" s="282"/>
      <c r="BL72" s="282"/>
      <c r="BM72" s="282"/>
      <c r="BN72" s="282"/>
      <c r="BO72" s="282"/>
      <c r="BP72" s="282"/>
      <c r="BQ72" s="282"/>
      <c r="BR72" s="282"/>
      <c r="BS72" s="282"/>
      <c r="BT72" s="282"/>
      <c r="BU72" s="282"/>
      <c r="BV72" s="282"/>
      <c r="BW72" s="282"/>
      <c r="BX72" s="282"/>
      <c r="BY72" s="282"/>
      <c r="BZ72" s="282"/>
      <c r="CA72" s="282"/>
      <c r="CB72" s="282"/>
      <c r="CC72" s="282"/>
      <c r="CD72" s="282"/>
      <c r="CE72" s="25">
        <f t="shared" si="16"/>
        <v>0</v>
      </c>
    </row>
    <row r="73" spans="1:83" x14ac:dyDescent="0.25">
      <c r="A73" s="26" t="s">
        <v>272</v>
      </c>
      <c r="B73" s="27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>
        <v>25827.919999999998</v>
      </c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282"/>
      <c r="BB73" s="282"/>
      <c r="BC73" s="282"/>
      <c r="BD73" s="282"/>
      <c r="BE73" s="282"/>
      <c r="BF73" s="282"/>
      <c r="BG73" s="282"/>
      <c r="BH73" s="282"/>
      <c r="BI73" s="282"/>
      <c r="BJ73" s="282"/>
      <c r="BK73" s="282"/>
      <c r="BL73" s="282"/>
      <c r="BM73" s="282"/>
      <c r="BN73" s="282">
        <v>578101.89</v>
      </c>
      <c r="BO73" s="282"/>
      <c r="BP73" s="282"/>
      <c r="BQ73" s="282"/>
      <c r="BR73" s="282"/>
      <c r="BS73" s="282"/>
      <c r="BT73" s="282"/>
      <c r="BU73" s="282"/>
      <c r="BV73" s="282"/>
      <c r="BW73" s="282"/>
      <c r="BX73" s="282"/>
      <c r="BY73" s="282"/>
      <c r="BZ73" s="282"/>
      <c r="CA73" s="282"/>
      <c r="CB73" s="282"/>
      <c r="CC73" s="282"/>
      <c r="CD73" s="282"/>
      <c r="CE73" s="25">
        <f t="shared" si="16"/>
        <v>603929.81000000006</v>
      </c>
    </row>
    <row r="74" spans="1:83" x14ac:dyDescent="0.25">
      <c r="A74" s="26" t="s">
        <v>273</v>
      </c>
      <c r="B74" s="27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82"/>
      <c r="AI74" s="282"/>
      <c r="AJ74" s="282"/>
      <c r="AK74" s="282"/>
      <c r="AL74" s="282"/>
      <c r="AM74" s="282"/>
      <c r="AN74" s="282"/>
      <c r="AO74" s="282"/>
      <c r="AP74" s="282"/>
      <c r="AQ74" s="282"/>
      <c r="AR74" s="282"/>
      <c r="AS74" s="282"/>
      <c r="AT74" s="282"/>
      <c r="AU74" s="282"/>
      <c r="AV74" s="282"/>
      <c r="AW74" s="282"/>
      <c r="AX74" s="282"/>
      <c r="AY74" s="282"/>
      <c r="AZ74" s="282"/>
      <c r="BA74" s="282"/>
      <c r="BB74" s="282"/>
      <c r="BC74" s="282"/>
      <c r="BD74" s="282"/>
      <c r="BE74" s="282"/>
      <c r="BF74" s="282"/>
      <c r="BG74" s="282"/>
      <c r="BH74" s="282"/>
      <c r="BI74" s="282"/>
      <c r="BJ74" s="282"/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282"/>
      <c r="BV74" s="282"/>
      <c r="BW74" s="282"/>
      <c r="BX74" s="282"/>
      <c r="BY74" s="282"/>
      <c r="BZ74" s="282"/>
      <c r="CA74" s="282"/>
      <c r="CB74" s="282"/>
      <c r="CC74" s="282"/>
      <c r="CD74" s="282"/>
      <c r="CE74" s="25">
        <f t="shared" si="16"/>
        <v>0</v>
      </c>
    </row>
    <row r="75" spans="1:83" x14ac:dyDescent="0.25">
      <c r="A75" s="26" t="s">
        <v>274</v>
      </c>
      <c r="B75" s="27"/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82"/>
      <c r="AI75" s="282"/>
      <c r="AJ75" s="282"/>
      <c r="AK75" s="282"/>
      <c r="AL75" s="282"/>
      <c r="AM75" s="282"/>
      <c r="AN75" s="282"/>
      <c r="AO75" s="282"/>
      <c r="AP75" s="282"/>
      <c r="AQ75" s="282"/>
      <c r="AR75" s="282"/>
      <c r="AS75" s="282"/>
      <c r="AT75" s="282"/>
      <c r="AU75" s="282"/>
      <c r="AV75" s="282"/>
      <c r="AW75" s="282"/>
      <c r="AX75" s="282"/>
      <c r="AY75" s="282"/>
      <c r="AZ75" s="282"/>
      <c r="BA75" s="282"/>
      <c r="BB75" s="282"/>
      <c r="BC75" s="282"/>
      <c r="BD75" s="282"/>
      <c r="BE75" s="282"/>
      <c r="BF75" s="282"/>
      <c r="BG75" s="282"/>
      <c r="BH75" s="282"/>
      <c r="BI75" s="282"/>
      <c r="BJ75" s="282"/>
      <c r="BK75" s="282"/>
      <c r="BL75" s="282"/>
      <c r="BM75" s="282"/>
      <c r="BN75" s="282"/>
      <c r="BO75" s="282"/>
      <c r="BP75" s="282"/>
      <c r="BQ75" s="282"/>
      <c r="BR75" s="282"/>
      <c r="BS75" s="282"/>
      <c r="BT75" s="282"/>
      <c r="BU75" s="282"/>
      <c r="BV75" s="282"/>
      <c r="BW75" s="282"/>
      <c r="BX75" s="282"/>
      <c r="BY75" s="282"/>
      <c r="BZ75" s="282"/>
      <c r="CA75" s="282"/>
      <c r="CB75" s="282"/>
      <c r="CC75" s="282"/>
      <c r="CD75" s="282"/>
      <c r="CE75" s="25">
        <f t="shared" si="16"/>
        <v>0</v>
      </c>
    </row>
    <row r="76" spans="1:83" x14ac:dyDescent="0.25">
      <c r="A76" s="26" t="s">
        <v>275</v>
      </c>
      <c r="B76" s="203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82"/>
      <c r="AI76" s="282"/>
      <c r="AJ76" s="282"/>
      <c r="AK76" s="282"/>
      <c r="AL76" s="282"/>
      <c r="AM76" s="282"/>
      <c r="AN76" s="282"/>
      <c r="AO76" s="282"/>
      <c r="AP76" s="282"/>
      <c r="AQ76" s="282"/>
      <c r="AR76" s="282"/>
      <c r="AS76" s="282"/>
      <c r="AT76" s="282"/>
      <c r="AU76" s="282"/>
      <c r="AV76" s="282"/>
      <c r="AW76" s="282"/>
      <c r="AX76" s="282"/>
      <c r="AY76" s="282"/>
      <c r="AZ76" s="282"/>
      <c r="BA76" s="282"/>
      <c r="BB76" s="282"/>
      <c r="BC76" s="282"/>
      <c r="BD76" s="282"/>
      <c r="BE76" s="282"/>
      <c r="BF76" s="282"/>
      <c r="BG76" s="282"/>
      <c r="BH76" s="282"/>
      <c r="BI76" s="282"/>
      <c r="BJ76" s="282"/>
      <c r="BK76" s="282"/>
      <c r="BL76" s="282"/>
      <c r="BM76" s="282"/>
      <c r="BN76" s="282"/>
      <c r="BO76" s="282"/>
      <c r="BP76" s="282"/>
      <c r="BQ76" s="282"/>
      <c r="BR76" s="282"/>
      <c r="BS76" s="282"/>
      <c r="BT76" s="282"/>
      <c r="BU76" s="282"/>
      <c r="BV76" s="282"/>
      <c r="BW76" s="282"/>
      <c r="BX76" s="282"/>
      <c r="BY76" s="282"/>
      <c r="BZ76" s="282"/>
      <c r="CA76" s="282"/>
      <c r="CB76" s="282"/>
      <c r="CC76" s="282"/>
      <c r="CD76" s="282"/>
      <c r="CE76" s="25">
        <f t="shared" si="16"/>
        <v>0</v>
      </c>
    </row>
    <row r="77" spans="1:83" x14ac:dyDescent="0.25">
      <c r="A77" s="26" t="s">
        <v>276</v>
      </c>
      <c r="B77" s="27"/>
      <c r="C77" s="282">
        <v>3314.72</v>
      </c>
      <c r="D77" s="282"/>
      <c r="E77" s="282"/>
      <c r="F77" s="282"/>
      <c r="G77" s="282"/>
      <c r="H77" s="282">
        <v>260.89</v>
      </c>
      <c r="I77" s="282"/>
      <c r="J77" s="282"/>
      <c r="K77" s="282"/>
      <c r="L77" s="282"/>
      <c r="M77" s="282"/>
      <c r="N77" s="282"/>
      <c r="O77" s="282"/>
      <c r="P77" s="282">
        <v>118997.65</v>
      </c>
      <c r="Q77" s="282">
        <v>338.82</v>
      </c>
      <c r="R77" s="282"/>
      <c r="S77" s="282"/>
      <c r="T77" s="282"/>
      <c r="U77" s="282">
        <v>14787.09</v>
      </c>
      <c r="V77" s="282"/>
      <c r="W77" s="282"/>
      <c r="X77" s="282"/>
      <c r="Y77" s="282">
        <v>-3063.27</v>
      </c>
      <c r="Z77" s="282"/>
      <c r="AA77" s="282"/>
      <c r="AB77" s="282">
        <v>1402.55</v>
      </c>
      <c r="AC77" s="282">
        <v>13974.2</v>
      </c>
      <c r="AD77" s="282"/>
      <c r="AE77" s="282"/>
      <c r="AF77" s="282"/>
      <c r="AG77" s="282">
        <v>10769.39</v>
      </c>
      <c r="AH77" s="282"/>
      <c r="AI77" s="282"/>
      <c r="AJ77" s="282">
        <v>4734.8999999999996</v>
      </c>
      <c r="AK77" s="282"/>
      <c r="AL77" s="282"/>
      <c r="AM77" s="282"/>
      <c r="AN77" s="282"/>
      <c r="AO77" s="282"/>
      <c r="AP77" s="282"/>
      <c r="AQ77" s="282"/>
      <c r="AR77" s="282"/>
      <c r="AS77" s="282"/>
      <c r="AT77" s="282"/>
      <c r="AU77" s="282"/>
      <c r="AV77" s="282"/>
      <c r="AW77" s="282"/>
      <c r="AX77" s="282"/>
      <c r="AY77" s="282">
        <v>13905.03</v>
      </c>
      <c r="AZ77" s="282"/>
      <c r="BA77" s="282"/>
      <c r="BB77" s="282"/>
      <c r="BC77" s="282"/>
      <c r="BD77" s="282"/>
      <c r="BE77" s="282">
        <v>101353.79</v>
      </c>
      <c r="BF77" s="282">
        <v>3911.56</v>
      </c>
      <c r="BG77" s="282"/>
      <c r="BH77" s="282">
        <v>2049.9</v>
      </c>
      <c r="BI77" s="282"/>
      <c r="BJ77" s="282"/>
      <c r="BK77" s="282"/>
      <c r="BL77" s="282"/>
      <c r="BM77" s="282"/>
      <c r="BN77" s="282">
        <v>5022.08</v>
      </c>
      <c r="BO77" s="282"/>
      <c r="BP77" s="282"/>
      <c r="BQ77" s="282"/>
      <c r="BR77" s="282"/>
      <c r="BS77" s="282"/>
      <c r="BT77" s="282"/>
      <c r="BU77" s="282"/>
      <c r="BV77" s="282"/>
      <c r="BW77" s="282"/>
      <c r="BX77" s="282"/>
      <c r="BY77" s="282">
        <v>3997.2</v>
      </c>
      <c r="BZ77" s="282"/>
      <c r="CA77" s="282"/>
      <c r="CB77" s="282"/>
      <c r="CC77" s="282"/>
      <c r="CD77" s="282"/>
      <c r="CE77" s="25">
        <f t="shared" si="16"/>
        <v>295756.50000000006</v>
      </c>
    </row>
    <row r="78" spans="1:83" x14ac:dyDescent="0.25">
      <c r="A78" s="26" t="s">
        <v>277</v>
      </c>
      <c r="B78" s="16"/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82"/>
      <c r="AI78" s="282"/>
      <c r="AJ78" s="282"/>
      <c r="AK78" s="282"/>
      <c r="AL78" s="282"/>
      <c r="AM78" s="282"/>
      <c r="AN78" s="282"/>
      <c r="AO78" s="282"/>
      <c r="AP78" s="282"/>
      <c r="AQ78" s="282"/>
      <c r="AR78" s="282"/>
      <c r="AS78" s="282"/>
      <c r="AT78" s="282"/>
      <c r="AU78" s="282"/>
      <c r="AV78" s="282"/>
      <c r="AW78" s="282"/>
      <c r="AX78" s="282"/>
      <c r="AY78" s="282"/>
      <c r="AZ78" s="282"/>
      <c r="BA78" s="282"/>
      <c r="BB78" s="282"/>
      <c r="BC78" s="282"/>
      <c r="BD78" s="282"/>
      <c r="BE78" s="282"/>
      <c r="BF78" s="282"/>
      <c r="BG78" s="282"/>
      <c r="BH78" s="282"/>
      <c r="BI78" s="282"/>
      <c r="BJ78" s="282"/>
      <c r="BK78" s="282"/>
      <c r="BL78" s="282"/>
      <c r="BM78" s="282"/>
      <c r="BN78" s="282">
        <v>9319896.6300000008</v>
      </c>
      <c r="BO78" s="282"/>
      <c r="BP78" s="282"/>
      <c r="BQ78" s="282"/>
      <c r="BR78" s="282"/>
      <c r="BS78" s="282"/>
      <c r="BT78" s="282"/>
      <c r="BU78" s="282"/>
      <c r="BV78" s="282"/>
      <c r="BW78" s="282"/>
      <c r="BX78" s="282"/>
      <c r="BY78" s="282"/>
      <c r="BZ78" s="282"/>
      <c r="CA78" s="282"/>
      <c r="CB78" s="282"/>
      <c r="CC78" s="282"/>
      <c r="CD78" s="282"/>
      <c r="CE78" s="25">
        <f t="shared" si="16"/>
        <v>9319896.6300000008</v>
      </c>
    </row>
    <row r="79" spans="1:83" x14ac:dyDescent="0.25">
      <c r="A79" s="26" t="s">
        <v>278</v>
      </c>
      <c r="B79" s="16"/>
      <c r="C79" s="282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82"/>
      <c r="AI79" s="282"/>
      <c r="AJ79" s="282"/>
      <c r="AK79" s="282"/>
      <c r="AL79" s="282"/>
      <c r="AM79" s="282"/>
      <c r="AN79" s="282"/>
      <c r="AO79" s="282"/>
      <c r="AP79" s="282"/>
      <c r="AQ79" s="282"/>
      <c r="AR79" s="282"/>
      <c r="AS79" s="282"/>
      <c r="AT79" s="282"/>
      <c r="AU79" s="282"/>
      <c r="AV79" s="282"/>
      <c r="AW79" s="282"/>
      <c r="AX79" s="282"/>
      <c r="AY79" s="282"/>
      <c r="AZ79" s="282"/>
      <c r="BA79" s="282"/>
      <c r="BB79" s="282"/>
      <c r="BC79" s="282"/>
      <c r="BD79" s="282"/>
      <c r="BE79" s="282"/>
      <c r="BF79" s="282"/>
      <c r="BG79" s="282"/>
      <c r="BH79" s="282"/>
      <c r="BI79" s="282"/>
      <c r="BJ79" s="282"/>
      <c r="BK79" s="282"/>
      <c r="BL79" s="282"/>
      <c r="BM79" s="282"/>
      <c r="BN79" s="282"/>
      <c r="BO79" s="282"/>
      <c r="BP79" s="282"/>
      <c r="BQ79" s="282"/>
      <c r="BR79" s="282"/>
      <c r="BS79" s="282"/>
      <c r="BT79" s="282"/>
      <c r="BU79" s="282"/>
      <c r="BV79" s="282"/>
      <c r="BW79" s="282"/>
      <c r="BX79" s="282"/>
      <c r="BY79" s="282"/>
      <c r="BZ79" s="282"/>
      <c r="CA79" s="282"/>
      <c r="CB79" s="282"/>
      <c r="CC79" s="282"/>
      <c r="CD79" s="282"/>
      <c r="CE79" s="25">
        <f t="shared" si="16"/>
        <v>0</v>
      </c>
    </row>
    <row r="80" spans="1:83" x14ac:dyDescent="0.25">
      <c r="A80" s="26" t="s">
        <v>279</v>
      </c>
      <c r="B80" s="16"/>
      <c r="C80" s="282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82"/>
      <c r="AH80" s="282"/>
      <c r="AI80" s="282"/>
      <c r="AJ80" s="282"/>
      <c r="AK80" s="282"/>
      <c r="AL80" s="282"/>
      <c r="AM80" s="282"/>
      <c r="AN80" s="282"/>
      <c r="AO80" s="282"/>
      <c r="AP80" s="282"/>
      <c r="AQ80" s="282"/>
      <c r="AR80" s="282"/>
      <c r="AS80" s="282"/>
      <c r="AT80" s="282"/>
      <c r="AU80" s="282"/>
      <c r="AV80" s="282"/>
      <c r="AW80" s="282"/>
      <c r="AX80" s="282"/>
      <c r="AY80" s="282"/>
      <c r="AZ80" s="282"/>
      <c r="BA80" s="282"/>
      <c r="BB80" s="282"/>
      <c r="BC80" s="282"/>
      <c r="BD80" s="282"/>
      <c r="BE80" s="282"/>
      <c r="BF80" s="282"/>
      <c r="BG80" s="282"/>
      <c r="BH80" s="282"/>
      <c r="BI80" s="282"/>
      <c r="BJ80" s="282"/>
      <c r="BK80" s="282"/>
      <c r="BL80" s="282"/>
      <c r="BM80" s="282"/>
      <c r="BN80" s="282"/>
      <c r="BO80" s="282"/>
      <c r="BP80" s="282"/>
      <c r="BQ80" s="282"/>
      <c r="BR80" s="282"/>
      <c r="BS80" s="282"/>
      <c r="BT80" s="282"/>
      <c r="BU80" s="282"/>
      <c r="BV80" s="282"/>
      <c r="BW80" s="282"/>
      <c r="BX80" s="282"/>
      <c r="BY80" s="282"/>
      <c r="BZ80" s="282"/>
      <c r="CA80" s="282"/>
      <c r="CB80" s="282"/>
      <c r="CC80" s="282"/>
      <c r="CD80" s="282"/>
      <c r="CE80" s="25">
        <f t="shared" si="16"/>
        <v>0</v>
      </c>
    </row>
    <row r="81" spans="1:84" x14ac:dyDescent="0.25">
      <c r="A81" s="26" t="s">
        <v>280</v>
      </c>
      <c r="B81" s="16"/>
      <c r="C81" s="282"/>
      <c r="D81" s="282"/>
      <c r="E81" s="282"/>
      <c r="F81" s="282"/>
      <c r="G81" s="282"/>
      <c r="H81" s="282">
        <v>5466.5</v>
      </c>
      <c r="I81" s="282"/>
      <c r="J81" s="282"/>
      <c r="K81" s="282"/>
      <c r="L81" s="282"/>
      <c r="M81" s="282"/>
      <c r="N81" s="282"/>
      <c r="O81" s="282"/>
      <c r="P81" s="282">
        <v>2435.9</v>
      </c>
      <c r="Q81" s="282"/>
      <c r="R81" s="282"/>
      <c r="S81" s="282"/>
      <c r="T81" s="282"/>
      <c r="U81" s="282">
        <v>1069.71</v>
      </c>
      <c r="V81" s="282"/>
      <c r="W81" s="282"/>
      <c r="X81" s="282"/>
      <c r="Y81" s="282">
        <v>1070</v>
      </c>
      <c r="Z81" s="282"/>
      <c r="AA81" s="282"/>
      <c r="AB81" s="282">
        <v>2578</v>
      </c>
      <c r="AC81" s="282"/>
      <c r="AD81" s="282"/>
      <c r="AE81" s="282"/>
      <c r="AF81" s="282"/>
      <c r="AG81" s="282">
        <v>450</v>
      </c>
      <c r="AH81" s="282"/>
      <c r="AI81" s="282"/>
      <c r="AJ81" s="282">
        <v>11929.51</v>
      </c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282"/>
      <c r="BB81" s="282"/>
      <c r="BC81" s="282"/>
      <c r="BD81" s="282"/>
      <c r="BE81" s="282">
        <v>205.34</v>
      </c>
      <c r="BF81" s="282"/>
      <c r="BG81" s="282"/>
      <c r="BH81" s="282"/>
      <c r="BI81" s="282"/>
      <c r="BJ81" s="282"/>
      <c r="BK81" s="282"/>
      <c r="BL81" s="282"/>
      <c r="BM81" s="282"/>
      <c r="BN81" s="282">
        <v>2214466.54</v>
      </c>
      <c r="BO81" s="282"/>
      <c r="BP81" s="282"/>
      <c r="BQ81" s="282"/>
      <c r="BR81" s="282"/>
      <c r="BS81" s="282"/>
      <c r="BT81" s="282"/>
      <c r="BU81" s="282"/>
      <c r="BV81" s="282"/>
      <c r="BW81" s="282"/>
      <c r="BX81" s="282">
        <v>695.67</v>
      </c>
      <c r="BY81" s="282"/>
      <c r="BZ81" s="282"/>
      <c r="CA81" s="282"/>
      <c r="CB81" s="282"/>
      <c r="CC81" s="282"/>
      <c r="CD81" s="282"/>
      <c r="CE81" s="25">
        <f t="shared" si="16"/>
        <v>2240367.17</v>
      </c>
    </row>
    <row r="82" spans="1:84" x14ac:dyDescent="0.25">
      <c r="A82" s="26" t="s">
        <v>281</v>
      </c>
      <c r="B82" s="16"/>
      <c r="C82" s="273"/>
      <c r="D82" s="273"/>
      <c r="E82" s="273">
        <v>780.36</v>
      </c>
      <c r="F82" s="273"/>
      <c r="G82" s="273"/>
      <c r="H82" s="273">
        <v>349.7</v>
      </c>
      <c r="I82" s="273"/>
      <c r="J82" s="273"/>
      <c r="K82" s="273"/>
      <c r="L82" s="273"/>
      <c r="M82" s="273"/>
      <c r="N82" s="273"/>
      <c r="O82" s="273"/>
      <c r="P82" s="275">
        <v>13657.91</v>
      </c>
      <c r="Q82" s="275"/>
      <c r="R82" s="275"/>
      <c r="S82" s="280"/>
      <c r="T82" s="280"/>
      <c r="U82" s="276">
        <v>75</v>
      </c>
      <c r="V82" s="275"/>
      <c r="W82" s="275"/>
      <c r="X82" s="275"/>
      <c r="Y82" s="275">
        <v>558.41</v>
      </c>
      <c r="Z82" s="275"/>
      <c r="AA82" s="275"/>
      <c r="AB82" s="281">
        <v>250</v>
      </c>
      <c r="AC82" s="275"/>
      <c r="AD82" s="275"/>
      <c r="AE82" s="275"/>
      <c r="AF82" s="275"/>
      <c r="AG82" s="275"/>
      <c r="AH82" s="275"/>
      <c r="AI82" s="275"/>
      <c r="AJ82" s="275">
        <v>83068.08</v>
      </c>
      <c r="AK82" s="275"/>
      <c r="AL82" s="275"/>
      <c r="AM82" s="275"/>
      <c r="AN82" s="275"/>
      <c r="AO82" s="275"/>
      <c r="AP82" s="275"/>
      <c r="AQ82" s="275"/>
      <c r="AR82" s="275"/>
      <c r="AS82" s="275"/>
      <c r="AT82" s="275"/>
      <c r="AU82" s="275"/>
      <c r="AV82" s="280"/>
      <c r="AW82" s="280"/>
      <c r="AX82" s="280"/>
      <c r="AY82" s="275"/>
      <c r="AZ82" s="275"/>
      <c r="BA82" s="280"/>
      <c r="BB82" s="280"/>
      <c r="BC82" s="280"/>
      <c r="BD82" s="280"/>
      <c r="BE82" s="275">
        <v>544051.79</v>
      </c>
      <c r="BF82" s="280"/>
      <c r="BG82" s="280"/>
      <c r="BH82" s="280">
        <v>1000</v>
      </c>
      <c r="BI82" s="280"/>
      <c r="BJ82" s="280"/>
      <c r="BK82" s="280"/>
      <c r="BL82" s="280"/>
      <c r="BM82" s="280"/>
      <c r="BN82" s="280"/>
      <c r="BO82" s="280"/>
      <c r="BP82" s="280"/>
      <c r="BQ82" s="280"/>
      <c r="BR82" s="280"/>
      <c r="BS82" s="280"/>
      <c r="BT82" s="280"/>
      <c r="BU82" s="280"/>
      <c r="BV82" s="280"/>
      <c r="BW82" s="280"/>
      <c r="BX82" s="280"/>
      <c r="BY82" s="280"/>
      <c r="BZ82" s="280"/>
      <c r="CA82" s="280"/>
      <c r="CB82" s="280"/>
      <c r="CC82" s="280"/>
      <c r="CD82" s="282"/>
      <c r="CE82" s="25">
        <f>SUM(C82:CD82)</f>
        <v>643791.25</v>
      </c>
    </row>
    <row r="83" spans="1:84" x14ac:dyDescent="0.25">
      <c r="A83" s="26" t="s">
        <v>282</v>
      </c>
      <c r="B83" s="16"/>
      <c r="C83" s="273">
        <v>3580.07</v>
      </c>
      <c r="D83" s="273"/>
      <c r="E83" s="275">
        <v>3066.75</v>
      </c>
      <c r="F83" s="275"/>
      <c r="G83" s="273"/>
      <c r="H83" s="273">
        <v>7233.9</v>
      </c>
      <c r="I83" s="275"/>
      <c r="J83" s="275"/>
      <c r="K83" s="275"/>
      <c r="L83" s="275"/>
      <c r="M83" s="273"/>
      <c r="N83" s="273"/>
      <c r="O83" s="273"/>
      <c r="P83" s="275">
        <v>50541.16</v>
      </c>
      <c r="Q83" s="275"/>
      <c r="R83" s="276"/>
      <c r="S83" s="275"/>
      <c r="T83" s="273"/>
      <c r="U83" s="275">
        <v>14946.11</v>
      </c>
      <c r="V83" s="275">
        <v>400</v>
      </c>
      <c r="W83" s="273"/>
      <c r="X83" s="275">
        <v>364.07</v>
      </c>
      <c r="Y83" s="275">
        <v>5925.58</v>
      </c>
      <c r="Z83" s="275"/>
      <c r="AA83" s="275"/>
      <c r="AB83" s="275">
        <v>43719.28</v>
      </c>
      <c r="AC83" s="275"/>
      <c r="AD83" s="275"/>
      <c r="AE83" s="275">
        <v>439.33</v>
      </c>
      <c r="AF83" s="275"/>
      <c r="AG83" s="275">
        <v>14637.32</v>
      </c>
      <c r="AH83" s="275"/>
      <c r="AI83" s="275"/>
      <c r="AJ83" s="275">
        <v>57253.62</v>
      </c>
      <c r="AK83" s="275"/>
      <c r="AL83" s="275"/>
      <c r="AM83" s="275"/>
      <c r="AN83" s="275"/>
      <c r="AO83" s="273"/>
      <c r="AP83" s="275"/>
      <c r="AQ83" s="273"/>
      <c r="AR83" s="273"/>
      <c r="AS83" s="273"/>
      <c r="AT83" s="273"/>
      <c r="AU83" s="275"/>
      <c r="AV83" s="275"/>
      <c r="AW83" s="275"/>
      <c r="AX83" s="275"/>
      <c r="AY83" s="275">
        <v>37.19</v>
      </c>
      <c r="AZ83" s="275"/>
      <c r="BA83" s="275"/>
      <c r="BB83" s="275"/>
      <c r="BC83" s="275"/>
      <c r="BD83" s="275">
        <v>5643.65</v>
      </c>
      <c r="BE83" s="275">
        <v>422.22</v>
      </c>
      <c r="BF83" s="275"/>
      <c r="BG83" s="275"/>
      <c r="BH83" s="276">
        <v>-159.30000000000001</v>
      </c>
      <c r="BI83" s="275"/>
      <c r="BJ83" s="275">
        <v>73.900000000000006</v>
      </c>
      <c r="BK83" s="275"/>
      <c r="BL83" s="275"/>
      <c r="BM83" s="275"/>
      <c r="BN83" s="275">
        <v>24256.01</v>
      </c>
      <c r="BO83" s="275">
        <v>527.5</v>
      </c>
      <c r="BP83" s="275"/>
      <c r="BQ83" s="275"/>
      <c r="BR83" s="275">
        <v>6258.29</v>
      </c>
      <c r="BS83" s="275"/>
      <c r="BT83" s="275"/>
      <c r="BU83" s="275"/>
      <c r="BV83" s="275"/>
      <c r="BW83" s="275"/>
      <c r="BX83" s="275">
        <v>8783.2800000000007</v>
      </c>
      <c r="BY83" s="275">
        <v>10004.34</v>
      </c>
      <c r="BZ83" s="275"/>
      <c r="CA83" s="275"/>
      <c r="CB83" s="275"/>
      <c r="CC83" s="275">
        <v>2567428.2599999998</v>
      </c>
      <c r="CD83" s="282"/>
      <c r="CE83" s="25">
        <f t="shared" si="16"/>
        <v>2825382.53</v>
      </c>
    </row>
    <row r="84" spans="1:84" x14ac:dyDescent="0.25">
      <c r="A84" s="31" t="s">
        <v>283</v>
      </c>
      <c r="B84" s="16"/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273"/>
      <c r="T84" s="273"/>
      <c r="U84" s="273"/>
      <c r="V84" s="273"/>
      <c r="W84" s="273"/>
      <c r="X84" s="273"/>
      <c r="Y84" s="273"/>
      <c r="Z84" s="273"/>
      <c r="AA84" s="273"/>
      <c r="AB84" s="273"/>
      <c r="AC84" s="273"/>
      <c r="AD84" s="273"/>
      <c r="AE84" s="273"/>
      <c r="AF84" s="273"/>
      <c r="AG84" s="273"/>
      <c r="AH84" s="273"/>
      <c r="AI84" s="273"/>
      <c r="AJ84" s="273"/>
      <c r="AK84" s="273"/>
      <c r="AL84" s="273"/>
      <c r="AM84" s="273"/>
      <c r="AN84" s="273"/>
      <c r="AO84" s="273"/>
      <c r="AP84" s="273"/>
      <c r="AQ84" s="273"/>
      <c r="AR84" s="273"/>
      <c r="AS84" s="273"/>
      <c r="AT84" s="273"/>
      <c r="AU84" s="273"/>
      <c r="AV84" s="273"/>
      <c r="AW84" s="273"/>
      <c r="AX84" s="273"/>
      <c r="AY84" s="273"/>
      <c r="AZ84" s="273"/>
      <c r="BA84" s="273"/>
      <c r="BB84" s="273"/>
      <c r="BC84" s="273"/>
      <c r="BD84" s="273"/>
      <c r="BE84" s="273"/>
      <c r="BF84" s="273"/>
      <c r="BG84" s="273"/>
      <c r="BH84" s="273"/>
      <c r="BI84" s="273"/>
      <c r="BJ84" s="273"/>
      <c r="BK84" s="273"/>
      <c r="BL84" s="273"/>
      <c r="BM84" s="273"/>
      <c r="BN84" s="273"/>
      <c r="BO84" s="273"/>
      <c r="BP84" s="273"/>
      <c r="BQ84" s="273"/>
      <c r="BR84" s="273"/>
      <c r="BS84" s="273"/>
      <c r="BT84" s="273"/>
      <c r="BU84" s="273"/>
      <c r="BV84" s="273"/>
      <c r="BW84" s="273"/>
      <c r="BX84" s="273"/>
      <c r="BY84" s="273"/>
      <c r="BZ84" s="273"/>
      <c r="CA84" s="273"/>
      <c r="CB84" s="273"/>
      <c r="CC84" s="273"/>
      <c r="CD84" s="282"/>
      <c r="CE84" s="25">
        <f t="shared" si="16"/>
        <v>0</v>
      </c>
    </row>
    <row r="85" spans="1:84" x14ac:dyDescent="0.25">
      <c r="A85" s="31" t="s">
        <v>284</v>
      </c>
      <c r="B85" s="25"/>
      <c r="C85" s="25">
        <f t="shared" ref="C85:AH85" si="17">SUM(C61:C69)-C84</f>
        <v>245219.09</v>
      </c>
      <c r="D85" s="25">
        <f t="shared" si="17"/>
        <v>0</v>
      </c>
      <c r="E85" s="25">
        <f t="shared" si="17"/>
        <v>2755199.3600000003</v>
      </c>
      <c r="F85" s="25">
        <f t="shared" si="17"/>
        <v>0</v>
      </c>
      <c r="G85" s="25">
        <f t="shared" si="17"/>
        <v>0</v>
      </c>
      <c r="H85" s="25">
        <f t="shared" si="17"/>
        <v>3678732.38</v>
      </c>
      <c r="I85" s="25">
        <f t="shared" si="17"/>
        <v>0</v>
      </c>
      <c r="J85" s="25">
        <f t="shared" si="17"/>
        <v>0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77054</v>
      </c>
      <c r="P85" s="25">
        <f t="shared" si="17"/>
        <v>6211857.9500000002</v>
      </c>
      <c r="Q85" s="25">
        <f t="shared" si="17"/>
        <v>689164.19999999984</v>
      </c>
      <c r="R85" s="25">
        <f t="shared" si="17"/>
        <v>1131282.32</v>
      </c>
      <c r="S85" s="25">
        <f t="shared" si="17"/>
        <v>-233495.25999999998</v>
      </c>
      <c r="T85" s="25">
        <f t="shared" si="17"/>
        <v>0</v>
      </c>
      <c r="U85" s="25">
        <f t="shared" si="17"/>
        <v>2568789.5500000003</v>
      </c>
      <c r="V85" s="25">
        <f t="shared" si="17"/>
        <v>135043.88</v>
      </c>
      <c r="W85" s="25">
        <f t="shared" si="17"/>
        <v>2073.0299999999997</v>
      </c>
      <c r="X85" s="25">
        <f t="shared" si="17"/>
        <v>297568.53999999998</v>
      </c>
      <c r="Y85" s="25">
        <f t="shared" si="17"/>
        <v>1597558.17</v>
      </c>
      <c r="Z85" s="25">
        <f t="shared" si="17"/>
        <v>0</v>
      </c>
      <c r="AA85" s="25">
        <f t="shared" si="17"/>
        <v>0</v>
      </c>
      <c r="AB85" s="25">
        <f t="shared" si="17"/>
        <v>1835518.73</v>
      </c>
      <c r="AC85" s="25">
        <f t="shared" si="17"/>
        <v>683821.48</v>
      </c>
      <c r="AD85" s="25">
        <f t="shared" si="17"/>
        <v>0</v>
      </c>
      <c r="AE85" s="25">
        <f t="shared" si="17"/>
        <v>361306.08999999997</v>
      </c>
      <c r="AF85" s="25">
        <f t="shared" si="17"/>
        <v>0</v>
      </c>
      <c r="AG85" s="25">
        <f t="shared" si="17"/>
        <v>5381106.2500000009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11977033.18</v>
      </c>
      <c r="AK85" s="25">
        <f t="shared" si="18"/>
        <v>8848.49</v>
      </c>
      <c r="AL85" s="25">
        <f t="shared" si="18"/>
        <v>68346.939999999988</v>
      </c>
      <c r="AM85" s="25">
        <f t="shared" si="18"/>
        <v>0</v>
      </c>
      <c r="AN85" s="25">
        <f t="shared" si="18"/>
        <v>0</v>
      </c>
      <c r="AO85" s="25">
        <f t="shared" si="18"/>
        <v>0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0</v>
      </c>
      <c r="AW85" s="25">
        <f t="shared" si="18"/>
        <v>0</v>
      </c>
      <c r="AX85" s="25">
        <f t="shared" si="18"/>
        <v>0</v>
      </c>
      <c r="AY85" s="25">
        <f t="shared" si="18"/>
        <v>772119.47999999986</v>
      </c>
      <c r="AZ85" s="25">
        <f t="shared" si="18"/>
        <v>0</v>
      </c>
      <c r="BA85" s="25">
        <f t="shared" si="18"/>
        <v>0</v>
      </c>
      <c r="BB85" s="25">
        <f t="shared" si="18"/>
        <v>0</v>
      </c>
      <c r="BC85" s="25">
        <f t="shared" si="18"/>
        <v>0</v>
      </c>
      <c r="BD85" s="25">
        <f t="shared" si="18"/>
        <v>130718.76</v>
      </c>
      <c r="BE85" s="25">
        <f t="shared" si="18"/>
        <v>1028973.43</v>
      </c>
      <c r="BF85" s="25">
        <f t="shared" si="18"/>
        <v>800240.03</v>
      </c>
      <c r="BG85" s="25">
        <f t="shared" si="18"/>
        <v>47299.33</v>
      </c>
      <c r="BH85" s="25">
        <f t="shared" si="18"/>
        <v>434564.81</v>
      </c>
      <c r="BI85" s="25">
        <f t="shared" si="18"/>
        <v>0</v>
      </c>
      <c r="BJ85" s="25">
        <f t="shared" si="18"/>
        <v>122917.48</v>
      </c>
      <c r="BK85" s="25">
        <f t="shared" si="18"/>
        <v>744.92</v>
      </c>
      <c r="BL85" s="25">
        <f t="shared" si="18"/>
        <v>795294.6</v>
      </c>
      <c r="BM85" s="25">
        <f t="shared" si="18"/>
        <v>0</v>
      </c>
      <c r="BN85" s="25">
        <f t="shared" si="18"/>
        <v>12297974.58</v>
      </c>
      <c r="BO85" s="25">
        <f t="shared" ref="BO85:CD85" si="19">SUM(BO61:BO69)-BO84</f>
        <v>527.5</v>
      </c>
      <c r="BP85" s="25">
        <f t="shared" si="19"/>
        <v>0</v>
      </c>
      <c r="BQ85" s="25">
        <f t="shared" si="19"/>
        <v>0</v>
      </c>
      <c r="BR85" s="25">
        <f t="shared" si="19"/>
        <v>28826.25</v>
      </c>
      <c r="BS85" s="25">
        <f t="shared" si="19"/>
        <v>0</v>
      </c>
      <c r="BT85" s="25">
        <f t="shared" si="19"/>
        <v>0</v>
      </c>
      <c r="BU85" s="25">
        <f t="shared" si="19"/>
        <v>0</v>
      </c>
      <c r="BV85" s="25">
        <f t="shared" si="19"/>
        <v>64464.899999999994</v>
      </c>
      <c r="BW85" s="25">
        <f t="shared" si="19"/>
        <v>2344801.38</v>
      </c>
      <c r="BX85" s="25">
        <f t="shared" si="19"/>
        <v>246655.27000000002</v>
      </c>
      <c r="BY85" s="25">
        <f t="shared" si="19"/>
        <v>1123215.1299999999</v>
      </c>
      <c r="BZ85" s="25">
        <f t="shared" si="19"/>
        <v>0</v>
      </c>
      <c r="CA85" s="25">
        <f t="shared" si="19"/>
        <v>3465.9300000000003</v>
      </c>
      <c r="CB85" s="25">
        <f t="shared" si="19"/>
        <v>0</v>
      </c>
      <c r="CC85" s="25">
        <f t="shared" si="19"/>
        <v>2913477.15</v>
      </c>
      <c r="CD85" s="25">
        <f t="shared" si="19"/>
        <v>0</v>
      </c>
      <c r="CE85" s="25">
        <f t="shared" si="16"/>
        <v>62628309.299999997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/>
    </row>
    <row r="87" spans="1:84" x14ac:dyDescent="0.25">
      <c r="A87" s="31" t="s">
        <v>286</v>
      </c>
      <c r="B87" s="16"/>
      <c r="C87" s="273">
        <v>40238</v>
      </c>
      <c r="D87" s="273"/>
      <c r="E87" s="273">
        <v>-3837399.87</v>
      </c>
      <c r="F87" s="273"/>
      <c r="G87" s="273"/>
      <c r="H87" s="273">
        <v>-11543136</v>
      </c>
      <c r="I87" s="273"/>
      <c r="J87" s="273"/>
      <c r="K87" s="273"/>
      <c r="L87" s="273"/>
      <c r="M87" s="273"/>
      <c r="N87" s="273"/>
      <c r="O87" s="273">
        <v>7464</v>
      </c>
      <c r="P87" s="273">
        <v>-2379608.9</v>
      </c>
      <c r="Q87" s="273">
        <v>-112277.11</v>
      </c>
      <c r="R87" s="273">
        <v>-155575.23000000001</v>
      </c>
      <c r="S87" s="273">
        <v>-744747</v>
      </c>
      <c r="T87" s="273"/>
      <c r="U87" s="273">
        <v>-4161297.37</v>
      </c>
      <c r="V87" s="273">
        <v>-645914.57999999996</v>
      </c>
      <c r="W87" s="273">
        <v>-10717.01</v>
      </c>
      <c r="X87" s="273">
        <v>-2831336.91</v>
      </c>
      <c r="Y87" s="273">
        <v>-862023.12</v>
      </c>
      <c r="Z87" s="273"/>
      <c r="AA87" s="273"/>
      <c r="AB87" s="273">
        <v>-5735275.4699999997</v>
      </c>
      <c r="AC87" s="273">
        <v>-1111259.03</v>
      </c>
      <c r="AD87" s="273"/>
      <c r="AE87" s="273">
        <v>-182359</v>
      </c>
      <c r="AF87" s="273"/>
      <c r="AG87" s="273">
        <v>-2224916</v>
      </c>
      <c r="AH87" s="273"/>
      <c r="AI87" s="273"/>
      <c r="AJ87" s="273"/>
      <c r="AK87" s="273">
        <v>-94350</v>
      </c>
      <c r="AL87" s="273">
        <v>-40934</v>
      </c>
      <c r="AM87" s="273"/>
      <c r="AN87" s="273"/>
      <c r="AO87" s="273">
        <v>-3732842</v>
      </c>
      <c r="AP87" s="273"/>
      <c r="AQ87" s="273"/>
      <c r="AR87" s="273"/>
      <c r="AS87" s="273"/>
      <c r="AT87" s="273"/>
      <c r="AU87" s="273"/>
      <c r="AV87" s="273"/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-40358266.600000001</v>
      </c>
    </row>
    <row r="88" spans="1:84" x14ac:dyDescent="0.25">
      <c r="A88" s="31" t="s">
        <v>287</v>
      </c>
      <c r="B88" s="16"/>
      <c r="C88" s="273"/>
      <c r="D88" s="273"/>
      <c r="E88" s="273">
        <v>-6859318.21</v>
      </c>
      <c r="F88" s="273"/>
      <c r="G88" s="273"/>
      <c r="H88" s="273"/>
      <c r="I88" s="273"/>
      <c r="J88" s="273"/>
      <c r="K88" s="273"/>
      <c r="L88" s="273"/>
      <c r="M88" s="273"/>
      <c r="N88" s="273"/>
      <c r="O88" s="273">
        <v>1326</v>
      </c>
      <c r="P88" s="273">
        <v>-41873827.920000002</v>
      </c>
      <c r="Q88" s="273">
        <v>-1603841.27</v>
      </c>
      <c r="R88" s="273">
        <v>-584770.55000000005</v>
      </c>
      <c r="S88" s="273">
        <v>-4327676.0199999996</v>
      </c>
      <c r="T88" s="273">
        <v>-127303</v>
      </c>
      <c r="U88" s="273">
        <v>-14256574.130000001</v>
      </c>
      <c r="V88" s="273">
        <v>-2078158.67</v>
      </c>
      <c r="W88" s="273">
        <v>0.01</v>
      </c>
      <c r="X88" s="273">
        <v>-20629501.109999999</v>
      </c>
      <c r="Y88" s="273">
        <v>-15278777.77</v>
      </c>
      <c r="Z88" s="273"/>
      <c r="AA88" s="273"/>
      <c r="AB88" s="273">
        <v>-5029550.32</v>
      </c>
      <c r="AC88" s="273">
        <v>-823728.58</v>
      </c>
      <c r="AD88" s="273"/>
      <c r="AE88" s="273">
        <v>-1861994</v>
      </c>
      <c r="AF88" s="273"/>
      <c r="AG88" s="273">
        <v>-28451085.579999998</v>
      </c>
      <c r="AH88" s="273"/>
      <c r="AI88" s="273"/>
      <c r="AJ88" s="273">
        <v>-16337451.6</v>
      </c>
      <c r="AK88" s="273">
        <v>-20710</v>
      </c>
      <c r="AL88" s="273">
        <v>-333096</v>
      </c>
      <c r="AM88" s="273"/>
      <c r="AN88" s="273"/>
      <c r="AO88" s="273">
        <v>-216609</v>
      </c>
      <c r="AP88" s="273"/>
      <c r="AQ88" s="273"/>
      <c r="AR88" s="273"/>
      <c r="AS88" s="273"/>
      <c r="AT88" s="273"/>
      <c r="AU88" s="273"/>
      <c r="AV88" s="273">
        <v>-270195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-160962842.71999997</v>
      </c>
    </row>
    <row r="89" spans="1:84" x14ac:dyDescent="0.25">
      <c r="A89" s="21" t="s">
        <v>288</v>
      </c>
      <c r="B89" s="16"/>
      <c r="C89" s="25">
        <f t="shared" ref="C89:AV89" si="21">C87+C88</f>
        <v>40238</v>
      </c>
      <c r="D89" s="25">
        <f t="shared" si="21"/>
        <v>0</v>
      </c>
      <c r="E89" s="25">
        <f t="shared" si="21"/>
        <v>-10696718.08</v>
      </c>
      <c r="F89" s="25">
        <f t="shared" si="21"/>
        <v>0</v>
      </c>
      <c r="G89" s="25">
        <f t="shared" si="21"/>
        <v>0</v>
      </c>
      <c r="H89" s="25">
        <f t="shared" si="21"/>
        <v>-11543136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8790</v>
      </c>
      <c r="P89" s="25">
        <f t="shared" si="21"/>
        <v>-44253436.82</v>
      </c>
      <c r="Q89" s="25">
        <f t="shared" si="21"/>
        <v>-1716118.3800000001</v>
      </c>
      <c r="R89" s="25">
        <f t="shared" si="21"/>
        <v>-740345.78</v>
      </c>
      <c r="S89" s="25">
        <f t="shared" si="21"/>
        <v>-5072423.0199999996</v>
      </c>
      <c r="T89" s="25">
        <f t="shared" si="21"/>
        <v>-127303</v>
      </c>
      <c r="U89" s="25">
        <f t="shared" si="21"/>
        <v>-18417871.5</v>
      </c>
      <c r="V89" s="25">
        <f t="shared" si="21"/>
        <v>-2724073.25</v>
      </c>
      <c r="W89" s="25">
        <f t="shared" si="21"/>
        <v>-10717</v>
      </c>
      <c r="X89" s="25">
        <f t="shared" si="21"/>
        <v>-23460838.02</v>
      </c>
      <c r="Y89" s="25">
        <f t="shared" si="21"/>
        <v>-16140800.889999999</v>
      </c>
      <c r="Z89" s="25">
        <f t="shared" si="21"/>
        <v>0</v>
      </c>
      <c r="AA89" s="25">
        <f t="shared" si="21"/>
        <v>0</v>
      </c>
      <c r="AB89" s="25">
        <f t="shared" si="21"/>
        <v>-10764825.789999999</v>
      </c>
      <c r="AC89" s="25">
        <f t="shared" si="21"/>
        <v>-1934987.6099999999</v>
      </c>
      <c r="AD89" s="25">
        <f t="shared" si="21"/>
        <v>0</v>
      </c>
      <c r="AE89" s="25">
        <f t="shared" si="21"/>
        <v>-2044353</v>
      </c>
      <c r="AF89" s="25">
        <f t="shared" si="21"/>
        <v>0</v>
      </c>
      <c r="AG89" s="25">
        <f t="shared" si="21"/>
        <v>-30676001.579999998</v>
      </c>
      <c r="AH89" s="25">
        <f t="shared" si="21"/>
        <v>0</v>
      </c>
      <c r="AI89" s="25">
        <f t="shared" si="21"/>
        <v>0</v>
      </c>
      <c r="AJ89" s="25">
        <f t="shared" si="21"/>
        <v>-16337451.6</v>
      </c>
      <c r="AK89" s="25">
        <f t="shared" si="21"/>
        <v>-115060</v>
      </c>
      <c r="AL89" s="25">
        <f t="shared" si="21"/>
        <v>-374030</v>
      </c>
      <c r="AM89" s="25">
        <f t="shared" si="21"/>
        <v>0</v>
      </c>
      <c r="AN89" s="25">
        <f t="shared" si="21"/>
        <v>0</v>
      </c>
      <c r="AO89" s="25">
        <f t="shared" si="21"/>
        <v>-3949451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-270195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-201321109.31999996</v>
      </c>
    </row>
    <row r="90" spans="1:84" x14ac:dyDescent="0.25">
      <c r="A90" s="31" t="s">
        <v>289</v>
      </c>
      <c r="B90" s="25"/>
      <c r="C90" s="273">
        <v>2395</v>
      </c>
      <c r="D90" s="273">
        <v>0</v>
      </c>
      <c r="E90" s="273">
        <v>2829</v>
      </c>
      <c r="F90" s="273">
        <v>0</v>
      </c>
      <c r="G90" s="273">
        <v>0</v>
      </c>
      <c r="H90" s="273">
        <v>4503</v>
      </c>
      <c r="I90" s="273">
        <v>0</v>
      </c>
      <c r="J90" s="273">
        <v>0</v>
      </c>
      <c r="K90" s="273">
        <v>0</v>
      </c>
      <c r="L90" s="273">
        <v>0</v>
      </c>
      <c r="M90" s="273">
        <v>0</v>
      </c>
      <c r="N90" s="273">
        <v>0</v>
      </c>
      <c r="O90" s="273">
        <v>7001</v>
      </c>
      <c r="P90" s="273">
        <v>12580</v>
      </c>
      <c r="Q90" s="273">
        <v>0</v>
      </c>
      <c r="R90" s="273">
        <v>0</v>
      </c>
      <c r="S90" s="273">
        <v>0</v>
      </c>
      <c r="T90" s="273">
        <v>0</v>
      </c>
      <c r="U90" s="273">
        <v>2821</v>
      </c>
      <c r="V90" s="273">
        <v>0</v>
      </c>
      <c r="W90" s="273">
        <v>0</v>
      </c>
      <c r="X90" s="273">
        <v>0</v>
      </c>
      <c r="Y90" s="273">
        <v>3372</v>
      </c>
      <c r="Z90" s="273">
        <v>0</v>
      </c>
      <c r="AA90" s="273">
        <v>0</v>
      </c>
      <c r="AB90" s="273">
        <v>1361</v>
      </c>
      <c r="AC90" s="273">
        <v>1097</v>
      </c>
      <c r="AD90" s="273">
        <v>0</v>
      </c>
      <c r="AE90" s="273">
        <v>1211</v>
      </c>
      <c r="AF90" s="273">
        <v>0</v>
      </c>
      <c r="AG90" s="273">
        <v>4631</v>
      </c>
      <c r="AH90" s="273">
        <v>0</v>
      </c>
      <c r="AI90" s="273">
        <v>0</v>
      </c>
      <c r="AJ90" s="273">
        <v>0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0</v>
      </c>
      <c r="AW90" s="273">
        <v>0</v>
      </c>
      <c r="AX90" s="273">
        <v>0</v>
      </c>
      <c r="AY90" s="273">
        <v>2242</v>
      </c>
      <c r="AZ90" s="273">
        <v>0</v>
      </c>
      <c r="BA90" s="273">
        <v>0</v>
      </c>
      <c r="BB90" s="273">
        <v>0</v>
      </c>
      <c r="BC90" s="273">
        <v>0</v>
      </c>
      <c r="BD90" s="273">
        <v>3277</v>
      </c>
      <c r="BE90" s="273">
        <v>1293</v>
      </c>
      <c r="BF90" s="273">
        <v>476</v>
      </c>
      <c r="BG90" s="273">
        <v>124</v>
      </c>
      <c r="BH90" s="273">
        <v>0</v>
      </c>
      <c r="BI90" s="273">
        <v>0</v>
      </c>
      <c r="BJ90" s="273">
        <v>0</v>
      </c>
      <c r="BK90" s="273">
        <v>0</v>
      </c>
      <c r="BL90" s="273">
        <v>0</v>
      </c>
      <c r="BM90" s="273">
        <v>0</v>
      </c>
      <c r="BN90" s="273">
        <v>5177</v>
      </c>
      <c r="BO90" s="273">
        <v>0</v>
      </c>
      <c r="BP90" s="273">
        <v>0</v>
      </c>
      <c r="BQ90" s="273">
        <v>0</v>
      </c>
      <c r="BR90" s="273">
        <v>0</v>
      </c>
      <c r="BS90" s="273">
        <v>0</v>
      </c>
      <c r="BT90" s="273">
        <v>0</v>
      </c>
      <c r="BU90" s="273">
        <v>0</v>
      </c>
      <c r="BV90" s="273">
        <v>0</v>
      </c>
      <c r="BW90" s="273">
        <v>0</v>
      </c>
      <c r="BX90" s="273">
        <v>414</v>
      </c>
      <c r="BY90" s="273">
        <v>523</v>
      </c>
      <c r="BZ90" s="273">
        <v>0</v>
      </c>
      <c r="CA90" s="273">
        <v>559</v>
      </c>
      <c r="CB90" s="273">
        <v>0</v>
      </c>
      <c r="CC90" s="273">
        <v>13315</v>
      </c>
      <c r="CD90" s="224" t="s">
        <v>247</v>
      </c>
      <c r="CE90" s="25">
        <f t="shared" si="20"/>
        <v>71201</v>
      </c>
      <c r="CF90" s="25">
        <f>BE59-CE90</f>
        <v>0</v>
      </c>
    </row>
    <row r="91" spans="1:84" x14ac:dyDescent="0.25">
      <c r="A91" s="21" t="s">
        <v>290</v>
      </c>
      <c r="B91" s="16"/>
      <c r="C91" s="273">
        <v>4906</v>
      </c>
      <c r="D91" s="273"/>
      <c r="E91" s="273"/>
      <c r="F91" s="273"/>
      <c r="G91" s="273"/>
      <c r="H91" s="273">
        <v>15430</v>
      </c>
      <c r="I91" s="273"/>
      <c r="J91" s="273"/>
      <c r="K91" s="273"/>
      <c r="L91" s="273"/>
      <c r="M91" s="273"/>
      <c r="N91" s="273"/>
      <c r="O91" s="273">
        <v>2755</v>
      </c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3"/>
      <c r="AF91" s="273"/>
      <c r="AG91" s="273">
        <v>123</v>
      </c>
      <c r="AH91" s="273"/>
      <c r="AI91" s="273"/>
      <c r="AJ91" s="273"/>
      <c r="AK91" s="273"/>
      <c r="AL91" s="273"/>
      <c r="AM91" s="273"/>
      <c r="AN91" s="273"/>
      <c r="AO91" s="273"/>
      <c r="AP91" s="273"/>
      <c r="AQ91" s="273"/>
      <c r="AR91" s="273"/>
      <c r="AS91" s="273"/>
      <c r="AT91" s="273"/>
      <c r="AU91" s="273"/>
      <c r="AV91" s="273"/>
      <c r="AW91" s="273"/>
      <c r="AX91" s="264" t="s">
        <v>247</v>
      </c>
      <c r="AY91" s="264" t="s">
        <v>247</v>
      </c>
      <c r="AZ91" s="273">
        <f>AZ59</f>
        <v>0</v>
      </c>
      <c r="BA91" s="273"/>
      <c r="BB91" s="273"/>
      <c r="BC91" s="273"/>
      <c r="BD91" s="24" t="s">
        <v>247</v>
      </c>
      <c r="BE91" s="24" t="s">
        <v>247</v>
      </c>
      <c r="BF91" s="273"/>
      <c r="BG91" s="24" t="s">
        <v>247</v>
      </c>
      <c r="BH91" s="273"/>
      <c r="BI91" s="273"/>
      <c r="BJ91" s="24" t="s">
        <v>247</v>
      </c>
      <c r="BK91" s="273"/>
      <c r="BL91" s="273"/>
      <c r="BM91" s="273"/>
      <c r="BN91" s="24" t="s">
        <v>247</v>
      </c>
      <c r="BO91" s="24" t="s">
        <v>247</v>
      </c>
      <c r="BP91" s="24" t="s">
        <v>247</v>
      </c>
      <c r="BQ91" s="24" t="s">
        <v>247</v>
      </c>
      <c r="BR91" s="273"/>
      <c r="BS91" s="273"/>
      <c r="BT91" s="273"/>
      <c r="BU91" s="273"/>
      <c r="BV91" s="273"/>
      <c r="BW91" s="273"/>
      <c r="BX91" s="273"/>
      <c r="BY91" s="273"/>
      <c r="BZ91" s="273"/>
      <c r="CA91" s="273"/>
      <c r="CB91" s="273"/>
      <c r="CC91" s="24" t="s">
        <v>247</v>
      </c>
      <c r="CD91" s="24" t="s">
        <v>247</v>
      </c>
      <c r="CE91" s="25">
        <f t="shared" si="20"/>
        <v>23214</v>
      </c>
      <c r="CF91" s="25">
        <f>AY59-CE91</f>
        <v>-23214</v>
      </c>
    </row>
    <row r="92" spans="1:84" x14ac:dyDescent="0.25">
      <c r="A92" s="21" t="s">
        <v>291</v>
      </c>
      <c r="B92" s="16"/>
      <c r="C92" s="273"/>
      <c r="D92" s="273"/>
      <c r="E92" s="273"/>
      <c r="F92" s="273"/>
      <c r="G92" s="273"/>
      <c r="H92" s="273"/>
      <c r="I92" s="273"/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3"/>
      <c r="AH92" s="273"/>
      <c r="AI92" s="273"/>
      <c r="AJ92" s="273"/>
      <c r="AK92" s="273"/>
      <c r="AL92" s="273"/>
      <c r="AM92" s="273"/>
      <c r="AN92" s="273"/>
      <c r="AO92" s="273"/>
      <c r="AP92" s="273"/>
      <c r="AQ92" s="273"/>
      <c r="AR92" s="273"/>
      <c r="AS92" s="273"/>
      <c r="AT92" s="273"/>
      <c r="AU92" s="273"/>
      <c r="AV92" s="273"/>
      <c r="AW92" s="273"/>
      <c r="AX92" s="264" t="s">
        <v>247</v>
      </c>
      <c r="AY92" s="264" t="s">
        <v>247</v>
      </c>
      <c r="AZ92" s="24" t="s">
        <v>247</v>
      </c>
      <c r="BA92" s="273"/>
      <c r="BB92" s="273"/>
      <c r="BC92" s="273"/>
      <c r="BD92" s="24" t="s">
        <v>247</v>
      </c>
      <c r="BE92" s="24" t="s">
        <v>247</v>
      </c>
      <c r="BF92" s="24" t="s">
        <v>247</v>
      </c>
      <c r="BG92" s="24" t="s">
        <v>247</v>
      </c>
      <c r="BH92" s="273"/>
      <c r="BI92" s="273"/>
      <c r="BJ92" s="24" t="s">
        <v>247</v>
      </c>
      <c r="BK92" s="273"/>
      <c r="BL92" s="273"/>
      <c r="BM92" s="273"/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/>
      <c r="BT92" s="273"/>
      <c r="BU92" s="273"/>
      <c r="BV92" s="273"/>
      <c r="BW92" s="273"/>
      <c r="BX92" s="273"/>
      <c r="BY92" s="273"/>
      <c r="BZ92" s="273"/>
      <c r="CA92" s="273"/>
      <c r="CB92" s="273"/>
      <c r="CC92" s="24" t="s">
        <v>247</v>
      </c>
      <c r="CD92" s="24" t="s">
        <v>247</v>
      </c>
      <c r="CE92" s="25">
        <f t="shared" si="20"/>
        <v>0</v>
      </c>
      <c r="CF92" s="16"/>
    </row>
    <row r="93" spans="1:84" x14ac:dyDescent="0.25">
      <c r="A93" s="21" t="s">
        <v>292</v>
      </c>
      <c r="B93" s="16"/>
      <c r="C93" s="273">
        <v>63855</v>
      </c>
      <c r="D93" s="273"/>
      <c r="E93" s="273"/>
      <c r="F93" s="273"/>
      <c r="G93" s="273"/>
      <c r="H93" s="273">
        <v>45074</v>
      </c>
      <c r="I93" s="273"/>
      <c r="J93" s="273"/>
      <c r="K93" s="273"/>
      <c r="L93" s="273"/>
      <c r="M93" s="273"/>
      <c r="N93" s="273"/>
      <c r="O93" s="273"/>
      <c r="P93" s="273">
        <v>75124</v>
      </c>
      <c r="Q93" s="273"/>
      <c r="R93" s="273"/>
      <c r="S93" s="273"/>
      <c r="T93" s="273"/>
      <c r="U93" s="273"/>
      <c r="V93" s="273"/>
      <c r="W93" s="273"/>
      <c r="X93" s="273"/>
      <c r="Y93" s="273">
        <v>41318</v>
      </c>
      <c r="Z93" s="273"/>
      <c r="AA93" s="273"/>
      <c r="AB93" s="273"/>
      <c r="AC93" s="273"/>
      <c r="AD93" s="273"/>
      <c r="AE93" s="273"/>
      <c r="AF93" s="273"/>
      <c r="AG93" s="273">
        <v>150247</v>
      </c>
      <c r="AH93" s="273"/>
      <c r="AI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  <c r="AT93" s="273"/>
      <c r="AU93" s="273"/>
      <c r="AV93" s="273"/>
      <c r="AW93" s="273"/>
      <c r="AX93" s="264" t="s">
        <v>247</v>
      </c>
      <c r="AY93" s="264" t="s">
        <v>247</v>
      </c>
      <c r="AZ93" s="24" t="s">
        <v>247</v>
      </c>
      <c r="BA93" s="24" t="s">
        <v>247</v>
      </c>
      <c r="BB93" s="273"/>
      <c r="BC93" s="273"/>
      <c r="BD93" s="24" t="s">
        <v>247</v>
      </c>
      <c r="BE93" s="24" t="s">
        <v>247</v>
      </c>
      <c r="BF93" s="24" t="s">
        <v>247</v>
      </c>
      <c r="BG93" s="24" t="s">
        <v>247</v>
      </c>
      <c r="BH93" s="273"/>
      <c r="BI93" s="273"/>
      <c r="BJ93" s="24" t="s">
        <v>247</v>
      </c>
      <c r="BK93" s="273"/>
      <c r="BL93" s="273"/>
      <c r="BM93" s="273"/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/>
      <c r="BT93" s="273"/>
      <c r="BU93" s="273"/>
      <c r="BV93" s="273"/>
      <c r="BW93" s="273"/>
      <c r="BX93" s="273"/>
      <c r="BY93" s="273"/>
      <c r="BZ93" s="273"/>
      <c r="CA93" s="273"/>
      <c r="CB93" s="273"/>
      <c r="CC93" s="24" t="s">
        <v>247</v>
      </c>
      <c r="CD93" s="24" t="s">
        <v>247</v>
      </c>
      <c r="CE93" s="25">
        <f t="shared" si="20"/>
        <v>375618</v>
      </c>
      <c r="CF93" s="25">
        <f>BA59</f>
        <v>0</v>
      </c>
    </row>
    <row r="94" spans="1:84" x14ac:dyDescent="0.25">
      <c r="A94" s="21" t="s">
        <v>293</v>
      </c>
      <c r="B94" s="16"/>
      <c r="C94" s="277">
        <v>0.73</v>
      </c>
      <c r="D94" s="277"/>
      <c r="E94" s="277">
        <v>5.79</v>
      </c>
      <c r="F94" s="277"/>
      <c r="G94" s="277"/>
      <c r="H94" s="277">
        <v>8.82</v>
      </c>
      <c r="I94" s="277"/>
      <c r="J94" s="277"/>
      <c r="K94" s="277"/>
      <c r="L94" s="277"/>
      <c r="M94" s="277"/>
      <c r="N94" s="277"/>
      <c r="O94" s="277"/>
      <c r="P94" s="274">
        <v>10.06</v>
      </c>
      <c r="Q94" s="274">
        <v>3.81</v>
      </c>
      <c r="R94" s="274"/>
      <c r="S94" s="278"/>
      <c r="T94" s="278"/>
      <c r="U94" s="279"/>
      <c r="V94" s="274"/>
      <c r="W94" s="274"/>
      <c r="X94" s="274"/>
      <c r="Y94" s="274"/>
      <c r="Z94" s="274"/>
      <c r="AA94" s="274"/>
      <c r="AB94" s="278"/>
      <c r="AC94" s="274"/>
      <c r="AD94" s="274"/>
      <c r="AE94" s="274"/>
      <c r="AF94" s="274"/>
      <c r="AG94" s="274">
        <v>12.12</v>
      </c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8"/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41.33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98948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1060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1378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1062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1379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287" t="s">
        <v>1380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0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1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328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329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4">
        <v>552</v>
      </c>
      <c r="D127" s="295">
        <v>7073</v>
      </c>
      <c r="E127" s="16"/>
    </row>
    <row r="128" spans="1:5" x14ac:dyDescent="0.25">
      <c r="A128" s="16" t="s">
        <v>334</v>
      </c>
      <c r="B128" s="35" t="s">
        <v>299</v>
      </c>
      <c r="C128" s="294">
        <v>0</v>
      </c>
      <c r="D128" s="295">
        <v>0</v>
      </c>
      <c r="E128" s="16"/>
    </row>
    <row r="129" spans="1:5" x14ac:dyDescent="0.25">
      <c r="A129" s="16" t="s">
        <v>335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336</v>
      </c>
      <c r="B130" s="35" t="s">
        <v>299</v>
      </c>
      <c r="C130" s="292">
        <v>0</v>
      </c>
      <c r="D130" s="295">
        <v>0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0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0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6">
        <v>18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12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15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4">
        <v>0</v>
      </c>
      <c r="D139" s="16"/>
      <c r="E139" s="16"/>
    </row>
    <row r="140" spans="1:5" x14ac:dyDescent="0.25">
      <c r="A140" s="16" t="s">
        <v>345</v>
      </c>
      <c r="B140" s="35"/>
      <c r="C140" s="292">
        <v>0</v>
      </c>
      <c r="D140" s="16"/>
      <c r="E140" s="16"/>
    </row>
    <row r="141" spans="1:5" x14ac:dyDescent="0.25">
      <c r="A141" s="16" t="s">
        <v>335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10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f>SUM(C132:C142)</f>
        <v>55</v>
      </c>
    </row>
    <row r="144" spans="1:5" x14ac:dyDescent="0.25">
      <c r="A144" s="16" t="s">
        <v>348</v>
      </c>
      <c r="B144" s="35" t="s">
        <v>299</v>
      </c>
      <c r="C144" s="294">
        <v>78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4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216</v>
      </c>
      <c r="C154" s="295">
        <v>239</v>
      </c>
      <c r="D154" s="295">
        <v>97</v>
      </c>
      <c r="E154" s="25">
        <f>SUM(B154:D154)</f>
        <v>552</v>
      </c>
    </row>
    <row r="155" spans="1:6" x14ac:dyDescent="0.25">
      <c r="A155" s="16" t="s">
        <v>241</v>
      </c>
      <c r="B155" s="295">
        <f>1567+1622</f>
        <v>3189</v>
      </c>
      <c r="C155" s="295">
        <f>3011+529</f>
        <v>3540</v>
      </c>
      <c r="D155" s="295">
        <f>302+31+11</f>
        <v>344</v>
      </c>
      <c r="E155" s="25">
        <f>SUM(B155:D155)</f>
        <v>7073</v>
      </c>
    </row>
    <row r="156" spans="1:6" x14ac:dyDescent="0.25">
      <c r="A156" s="16" t="s">
        <v>355</v>
      </c>
      <c r="B156" s="295">
        <f>107395*(B157/$E$157)</f>
        <v>44832.807795820714</v>
      </c>
      <c r="C156" s="295">
        <f t="shared" ref="C156:D156" si="22">107395*(C157/$E$157)</f>
        <v>44201.335486901633</v>
      </c>
      <c r="D156" s="295">
        <f t="shared" si="22"/>
        <v>18360.856717277664</v>
      </c>
      <c r="E156" s="25">
        <f>SUM(B156:D156)</f>
        <v>107395.00000000001</v>
      </c>
    </row>
    <row r="157" spans="1:6" x14ac:dyDescent="0.25">
      <c r="A157" s="16" t="s">
        <v>286</v>
      </c>
      <c r="B157" s="295">
        <v>16847845.870000001</v>
      </c>
      <c r="C157" s="295">
        <v>16610543.130000001</v>
      </c>
      <c r="D157" s="295">
        <v>6899877.5499999998</v>
      </c>
      <c r="E157" s="25">
        <f>SUM(B157:D157)</f>
        <v>40358266.549999997</v>
      </c>
      <c r="F157" s="14"/>
    </row>
    <row r="158" spans="1:6" x14ac:dyDescent="0.25">
      <c r="A158" s="16" t="s">
        <v>287</v>
      </c>
      <c r="B158" s="295">
        <v>41689773.960000001</v>
      </c>
      <c r="C158" s="295">
        <v>54973195.369999997</v>
      </c>
      <c r="D158" s="295">
        <v>64299873.390000001</v>
      </c>
      <c r="E158" s="25">
        <f>SUM(B158:D158)</f>
        <v>160962842.72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72">
        <v>0</v>
      </c>
      <c r="C160" s="272">
        <v>0</v>
      </c>
      <c r="D160" s="272">
        <v>0</v>
      </c>
      <c r="E160" s="25">
        <f>SUM(B160:D160)</f>
        <v>0</v>
      </c>
    </row>
    <row r="161" spans="1:5" x14ac:dyDescent="0.25">
      <c r="A161" s="16" t="s">
        <v>241</v>
      </c>
      <c r="B161" s="272">
        <v>0</v>
      </c>
      <c r="C161" s="272">
        <v>0</v>
      </c>
      <c r="D161" s="272">
        <v>0</v>
      </c>
      <c r="E161" s="25">
        <f>SUM(B161:D161)</f>
        <v>0</v>
      </c>
    </row>
    <row r="162" spans="1:5" x14ac:dyDescent="0.25">
      <c r="A162" s="16" t="s">
        <v>355</v>
      </c>
      <c r="B162" s="295">
        <v>0</v>
      </c>
      <c r="C162" s="295">
        <v>0</v>
      </c>
      <c r="D162" s="295">
        <v>0</v>
      </c>
      <c r="E162" s="25">
        <f>SUM(B162:D162)</f>
        <v>0</v>
      </c>
    </row>
    <row r="163" spans="1:5" x14ac:dyDescent="0.25">
      <c r="A163" s="16" t="s">
        <v>286</v>
      </c>
      <c r="B163" s="272">
        <v>0</v>
      </c>
      <c r="C163" s="272">
        <v>0</v>
      </c>
      <c r="D163" s="272">
        <v>0</v>
      </c>
      <c r="E163" s="25">
        <f>SUM(B163:D163)</f>
        <v>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f>SUM(B164:D164)</f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>
        <v>0</v>
      </c>
      <c r="C166" s="295">
        <v>0</v>
      </c>
      <c r="D166" s="295">
        <v>0</v>
      </c>
      <c r="E166" s="25">
        <f>SUM(B166:D166)</f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f>SUM(B167:D167)</f>
        <v>0</v>
      </c>
    </row>
    <row r="168" spans="1:5" x14ac:dyDescent="0.25">
      <c r="A168" s="16" t="s">
        <v>355</v>
      </c>
      <c r="B168" s="295">
        <v>0</v>
      </c>
      <c r="C168" s="295">
        <v>0</v>
      </c>
      <c r="D168" s="295">
        <v>0</v>
      </c>
      <c r="E168" s="25">
        <f>SUM(B168:D168)</f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f>SUM(B169:D169)</f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72">
        <v>0</v>
      </c>
      <c r="C173" s="272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1539481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169713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228196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2351523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691670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0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588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4981171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653875.92000000004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73718.080000000002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727594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603929.81000000006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0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603929.81000000006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18825.03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f>2240367.17-18825.03</f>
        <v>2221542.14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2240367.17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0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2456469.41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2456469.41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2">
        <v>550000</v>
      </c>
      <c r="C211" s="292">
        <v>0</v>
      </c>
      <c r="D211" s="295">
        <v>0</v>
      </c>
      <c r="E211" s="25">
        <f t="shared" ref="E211:E219" si="23">SUM(B211:C211)-D211</f>
        <v>550000</v>
      </c>
    </row>
    <row r="212" spans="1:5" x14ac:dyDescent="0.25">
      <c r="A212" s="16" t="s">
        <v>390</v>
      </c>
      <c r="B212" s="292">
        <v>26953</v>
      </c>
      <c r="C212" s="292">
        <v>0</v>
      </c>
      <c r="D212" s="295">
        <v>0</v>
      </c>
      <c r="E212" s="25">
        <f t="shared" si="23"/>
        <v>26953</v>
      </c>
    </row>
    <row r="213" spans="1:5" x14ac:dyDescent="0.25">
      <c r="A213" s="16" t="s">
        <v>391</v>
      </c>
      <c r="B213" s="292">
        <v>8244365</v>
      </c>
      <c r="C213" s="292">
        <f>3973.2+49665+390240.67</f>
        <v>443878.87</v>
      </c>
      <c r="D213" s="295">
        <v>0</v>
      </c>
      <c r="E213" s="25">
        <f t="shared" si="23"/>
        <v>8688243.8699999992</v>
      </c>
    </row>
    <row r="214" spans="1:5" x14ac:dyDescent="0.25">
      <c r="A214" s="16" t="s">
        <v>392</v>
      </c>
      <c r="B214" s="292">
        <v>0</v>
      </c>
      <c r="C214" s="292">
        <v>0</v>
      </c>
      <c r="D214" s="295">
        <v>0</v>
      </c>
      <c r="E214" s="25">
        <f t="shared" si="23"/>
        <v>0</v>
      </c>
    </row>
    <row r="215" spans="1:5" x14ac:dyDescent="0.25">
      <c r="A215" s="16" t="s">
        <v>393</v>
      </c>
      <c r="B215" s="292">
        <v>0</v>
      </c>
      <c r="C215" s="292">
        <v>0</v>
      </c>
      <c r="D215" s="295">
        <v>0</v>
      </c>
      <c r="E215" s="25">
        <f t="shared" si="23"/>
        <v>0</v>
      </c>
    </row>
    <row r="216" spans="1:5" x14ac:dyDescent="0.25">
      <c r="A216" s="16" t="s">
        <v>394</v>
      </c>
      <c r="B216" s="292">
        <v>6073926.9399999995</v>
      </c>
      <c r="C216" s="292">
        <f>8613+8613+248828.75+2</f>
        <v>266056.75</v>
      </c>
      <c r="D216" s="295">
        <f>390240.67+557552.42+53173.8</f>
        <v>1000966.8900000001</v>
      </c>
      <c r="E216" s="25">
        <f t="shared" si="23"/>
        <v>5339016.7999999989</v>
      </c>
    </row>
    <row r="217" spans="1:5" x14ac:dyDescent="0.25">
      <c r="A217" s="16" t="s">
        <v>395</v>
      </c>
      <c r="B217" s="292">
        <v>402887</v>
      </c>
      <c r="C217" s="292">
        <v>12311.34</v>
      </c>
      <c r="D217" s="295">
        <v>0</v>
      </c>
      <c r="E217" s="25">
        <f t="shared" si="23"/>
        <v>415198.34</v>
      </c>
    </row>
    <row r="218" spans="1:5" x14ac:dyDescent="0.25">
      <c r="A218" s="16" t="s">
        <v>396</v>
      </c>
      <c r="B218" s="292">
        <v>0</v>
      </c>
      <c r="C218" s="292">
        <v>0</v>
      </c>
      <c r="D218" s="295">
        <v>0</v>
      </c>
      <c r="E218" s="25">
        <f t="shared" si="23"/>
        <v>0</v>
      </c>
    </row>
    <row r="219" spans="1:5" x14ac:dyDescent="0.25">
      <c r="A219" s="16" t="s">
        <v>397</v>
      </c>
      <c r="B219" s="292">
        <v>822336</v>
      </c>
      <c r="C219" s="292">
        <f>1492721.81-70589.34</f>
        <v>1422132.47</v>
      </c>
      <c r="D219" s="295">
        <v>0</v>
      </c>
      <c r="E219" s="25">
        <f t="shared" si="23"/>
        <v>2244468.4699999997</v>
      </c>
    </row>
    <row r="220" spans="1:5" x14ac:dyDescent="0.25">
      <c r="A220" s="16" t="s">
        <v>229</v>
      </c>
      <c r="B220" s="25">
        <f>SUM(B211:B219)</f>
        <v>16120467.939999999</v>
      </c>
      <c r="C220" s="225">
        <f>SUM(C211:C219)</f>
        <v>2144379.4299999997</v>
      </c>
      <c r="D220" s="25">
        <f>SUM(D211:D219)</f>
        <v>1000966.8900000001</v>
      </c>
      <c r="E220" s="25">
        <f>SUM(E211:E219)</f>
        <v>17263880.479999997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398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2">
        <v>8051</v>
      </c>
      <c r="C225" s="292">
        <v>1796.88</v>
      </c>
      <c r="D225" s="295">
        <v>0</v>
      </c>
      <c r="E225" s="25">
        <f t="shared" ref="E225:E232" si="24">SUM(B225:C225)-D225</f>
        <v>9847.880000000001</v>
      </c>
    </row>
    <row r="226" spans="1:6" x14ac:dyDescent="0.25">
      <c r="A226" s="16" t="s">
        <v>391</v>
      </c>
      <c r="B226" s="292">
        <v>3031797</v>
      </c>
      <c r="C226" s="292">
        <f>391673.97+112574.83</f>
        <v>504248.8</v>
      </c>
      <c r="D226" s="295">
        <v>0</v>
      </c>
      <c r="E226" s="25">
        <f t="shared" si="24"/>
        <v>3536045.8</v>
      </c>
    </row>
    <row r="227" spans="1:6" x14ac:dyDescent="0.25">
      <c r="A227" s="16" t="s">
        <v>392</v>
      </c>
      <c r="B227" s="292">
        <v>0</v>
      </c>
      <c r="C227" s="292">
        <v>0</v>
      </c>
      <c r="D227" s="295">
        <v>0</v>
      </c>
      <c r="E227" s="25">
        <f t="shared" si="24"/>
        <v>0</v>
      </c>
    </row>
    <row r="228" spans="1:6" x14ac:dyDescent="0.25">
      <c r="A228" s="16" t="s">
        <v>393</v>
      </c>
      <c r="B228" s="292">
        <v>0</v>
      </c>
      <c r="C228" s="292">
        <v>0</v>
      </c>
      <c r="D228" s="295">
        <v>0</v>
      </c>
      <c r="E228" s="25">
        <f t="shared" si="24"/>
        <v>0</v>
      </c>
    </row>
    <row r="229" spans="1:6" x14ac:dyDescent="0.25">
      <c r="A229" s="16" t="s">
        <v>394</v>
      </c>
      <c r="B229" s="292">
        <v>1592801</v>
      </c>
      <c r="C229" s="292">
        <v>199161.78</v>
      </c>
      <c r="D229" s="295">
        <v>155.75</v>
      </c>
      <c r="E229" s="25">
        <f t="shared" si="24"/>
        <v>1791807.03</v>
      </c>
    </row>
    <row r="230" spans="1:6" x14ac:dyDescent="0.25">
      <c r="A230" s="16" t="s">
        <v>395</v>
      </c>
      <c r="B230" s="292">
        <v>296689</v>
      </c>
      <c r="C230" s="292">
        <v>25422</v>
      </c>
      <c r="D230" s="295">
        <v>0</v>
      </c>
      <c r="E230" s="25">
        <f t="shared" si="24"/>
        <v>322111</v>
      </c>
    </row>
    <row r="231" spans="1:6" x14ac:dyDescent="0.25">
      <c r="A231" s="16" t="s">
        <v>396</v>
      </c>
      <c r="B231" s="292">
        <v>0</v>
      </c>
      <c r="C231" s="292">
        <v>0</v>
      </c>
      <c r="D231" s="295">
        <v>0</v>
      </c>
      <c r="E231" s="25">
        <f t="shared" si="24"/>
        <v>0</v>
      </c>
    </row>
    <row r="232" spans="1:6" x14ac:dyDescent="0.25">
      <c r="A232" s="16" t="s">
        <v>397</v>
      </c>
      <c r="B232" s="292">
        <v>0</v>
      </c>
      <c r="C232" s="292">
        <v>0</v>
      </c>
      <c r="D232" s="295">
        <v>0</v>
      </c>
      <c r="E232" s="25">
        <f t="shared" si="24"/>
        <v>0</v>
      </c>
    </row>
    <row r="233" spans="1:6" x14ac:dyDescent="0.25">
      <c r="A233" s="16" t="s">
        <v>229</v>
      </c>
      <c r="B233" s="25">
        <f>SUM(B224:B232)</f>
        <v>4929338</v>
      </c>
      <c r="C233" s="225">
        <f>SUM(C224:C232)</f>
        <v>730629.46</v>
      </c>
      <c r="D233" s="25">
        <f>SUM(D224:D232)</f>
        <v>155.75</v>
      </c>
      <c r="E233" s="25">
        <f>SUM(E224:E232)</f>
        <v>5659811.71</v>
      </c>
    </row>
    <row r="234" spans="1:6" x14ac:dyDescent="0.25">
      <c r="A234" s="16"/>
      <c r="B234" s="16"/>
      <c r="C234" s="22"/>
      <c r="D234" s="16"/>
      <c r="E234" s="16"/>
      <c r="F234" s="11">
        <f>E220-E233</f>
        <v>11604068.769999996</v>
      </c>
    </row>
    <row r="235" spans="1:6" x14ac:dyDescent="0.25">
      <c r="A235" s="30" t="s">
        <v>399</v>
      </c>
      <c r="B235" s="30"/>
      <c r="C235" s="30"/>
      <c r="D235" s="30"/>
      <c r="E235" s="30"/>
    </row>
    <row r="236" spans="1:6" x14ac:dyDescent="0.25">
      <c r="A236" s="30"/>
      <c r="B236" s="341" t="s">
        <v>400</v>
      </c>
      <c r="C236" s="341"/>
      <c r="D236" s="30"/>
      <c r="E236" s="30"/>
    </row>
    <row r="237" spans="1:6" x14ac:dyDescent="0.25">
      <c r="A237" s="43" t="s">
        <v>400</v>
      </c>
      <c r="B237" s="30"/>
      <c r="C237" s="292">
        <f>190266.75+3522175.5</f>
        <v>3712442.25</v>
      </c>
      <c r="D237" s="32">
        <f>C237</f>
        <v>3712442.25</v>
      </c>
      <c r="E237" s="30"/>
    </row>
    <row r="238" spans="1:6" x14ac:dyDescent="0.25">
      <c r="A238" s="34" t="s">
        <v>401</v>
      </c>
      <c r="B238" s="34"/>
      <c r="C238" s="34"/>
      <c r="D238" s="34"/>
      <c r="E238" s="34"/>
    </row>
    <row r="239" spans="1:6" x14ac:dyDescent="0.25">
      <c r="A239" s="16" t="s">
        <v>402</v>
      </c>
      <c r="B239" s="35" t="s">
        <v>299</v>
      </c>
      <c r="C239" s="292">
        <v>62409669.299999997</v>
      </c>
      <c r="D239" s="16"/>
      <c r="E239" s="16"/>
    </row>
    <row r="240" spans="1:6" x14ac:dyDescent="0.25">
      <c r="A240" s="16" t="s">
        <v>403</v>
      </c>
      <c r="B240" s="35" t="s">
        <v>299</v>
      </c>
      <c r="C240" s="292">
        <v>40097045.850000001</v>
      </c>
      <c r="D240" s="16"/>
      <c r="E240" s="16"/>
    </row>
    <row r="241" spans="1:5" x14ac:dyDescent="0.25">
      <c r="A241" s="16" t="s">
        <v>404</v>
      </c>
      <c r="B241" s="35" t="s">
        <v>299</v>
      </c>
      <c r="C241" s="292">
        <v>3799994.15</v>
      </c>
      <c r="D241" s="16"/>
      <c r="E241" s="16"/>
    </row>
    <row r="242" spans="1:5" x14ac:dyDescent="0.25">
      <c r="A242" s="16" t="s">
        <v>405</v>
      </c>
      <c r="B242" s="35" t="s">
        <v>299</v>
      </c>
      <c r="C242" s="292">
        <v>2639673.0600000033</v>
      </c>
      <c r="D242" s="16"/>
      <c r="E242" s="16"/>
    </row>
    <row r="243" spans="1:5" x14ac:dyDescent="0.25">
      <c r="A243" s="16" t="s">
        <v>406</v>
      </c>
      <c r="B243" s="35" t="s">
        <v>299</v>
      </c>
      <c r="C243" s="292">
        <v>29331281.969999999</v>
      </c>
      <c r="D243" s="16"/>
      <c r="E243" s="16"/>
    </row>
    <row r="244" spans="1:5" x14ac:dyDescent="0.25">
      <c r="A244" s="16" t="s">
        <v>407</v>
      </c>
      <c r="B244" s="35" t="s">
        <v>299</v>
      </c>
      <c r="C244" s="292">
        <v>4629114.47</v>
      </c>
      <c r="D244" s="16"/>
      <c r="E244" s="16"/>
    </row>
    <row r="245" spans="1:5" x14ac:dyDescent="0.25">
      <c r="A245" s="16" t="s">
        <v>408</v>
      </c>
      <c r="B245" s="16"/>
      <c r="C245" s="22"/>
      <c r="D245" s="25">
        <f>SUM(C239:C244)</f>
        <v>142906778.80000001</v>
      </c>
      <c r="E245" s="16"/>
    </row>
    <row r="246" spans="1:5" x14ac:dyDescent="0.25">
      <c r="A246" s="34" t="s">
        <v>409</v>
      </c>
      <c r="B246" s="34"/>
      <c r="C246" s="34"/>
      <c r="D246" s="34"/>
      <c r="E246" s="34"/>
    </row>
    <row r="247" spans="1:5" x14ac:dyDescent="0.25">
      <c r="A247" s="21" t="s">
        <v>410</v>
      </c>
      <c r="B247" s="35" t="s">
        <v>299</v>
      </c>
      <c r="C247" s="294">
        <v>209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411</v>
      </c>
      <c r="B249" s="35" t="s">
        <v>299</v>
      </c>
      <c r="C249" s="292">
        <v>96826.73</v>
      </c>
      <c r="D249" s="16"/>
      <c r="E249" s="16"/>
    </row>
    <row r="250" spans="1:5" x14ac:dyDescent="0.25">
      <c r="A250" s="21" t="s">
        <v>412</v>
      </c>
      <c r="B250" s="35" t="s">
        <v>299</v>
      </c>
      <c r="C250" s="292">
        <v>2351656.52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413</v>
      </c>
      <c r="B252" s="16"/>
      <c r="C252" s="22"/>
      <c r="D252" s="25">
        <f>SUM(C249:C251)</f>
        <v>2448483.25</v>
      </c>
      <c r="E252" s="16"/>
    </row>
    <row r="253" spans="1:5" x14ac:dyDescent="0.25">
      <c r="A253" s="34" t="s">
        <v>414</v>
      </c>
      <c r="B253" s="34"/>
      <c r="C253" s="34"/>
      <c r="D253" s="34"/>
      <c r="E253" s="34"/>
    </row>
    <row r="254" spans="1:5" x14ac:dyDescent="0.25">
      <c r="A254" s="16" t="s">
        <v>415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414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416</v>
      </c>
      <c r="B256" s="16"/>
      <c r="C256" s="22"/>
      <c r="D256" s="25">
        <f>SUM(C254:C255)</f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417</v>
      </c>
      <c r="B258" s="16"/>
      <c r="C258" s="22"/>
      <c r="D258" s="25">
        <f>D237+D245+D252+D256</f>
        <v>149067704.30000001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418</v>
      </c>
      <c r="B264" s="30"/>
      <c r="C264" s="30"/>
      <c r="D264" s="30"/>
      <c r="E264" s="30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16" t="s">
        <v>420</v>
      </c>
      <c r="B266" s="35" t="s">
        <v>299</v>
      </c>
      <c r="C266" s="292">
        <v>145752</v>
      </c>
      <c r="D266" s="16"/>
      <c r="E266" s="16"/>
    </row>
    <row r="267" spans="1:5" x14ac:dyDescent="0.25">
      <c r="A267" s="16" t="s">
        <v>421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422</v>
      </c>
      <c r="B268" s="35" t="s">
        <v>299</v>
      </c>
      <c r="C268" s="292">
        <v>47637676</v>
      </c>
      <c r="D268" s="16"/>
      <c r="E268" s="16"/>
    </row>
    <row r="269" spans="1:5" x14ac:dyDescent="0.25">
      <c r="A269" s="16" t="s">
        <v>423</v>
      </c>
      <c r="B269" s="35" t="s">
        <v>299</v>
      </c>
      <c r="C269" s="292">
        <f>39129998+2</f>
        <v>39130000</v>
      </c>
      <c r="D269" s="16"/>
      <c r="E269" s="16"/>
    </row>
    <row r="270" spans="1:5" x14ac:dyDescent="0.25">
      <c r="A270" s="16" t="s">
        <v>424</v>
      </c>
      <c r="B270" s="35" t="s">
        <v>299</v>
      </c>
      <c r="C270" s="292">
        <v>-36492656</v>
      </c>
      <c r="D270" s="16"/>
      <c r="E270" s="16"/>
    </row>
    <row r="271" spans="1:5" x14ac:dyDescent="0.25">
      <c r="A271" s="16" t="s">
        <v>425</v>
      </c>
      <c r="B271" s="35" t="s">
        <v>299</v>
      </c>
      <c r="C271" s="292">
        <v>5233</v>
      </c>
      <c r="D271" s="16"/>
      <c r="E271" s="16"/>
    </row>
    <row r="272" spans="1:5" x14ac:dyDescent="0.25">
      <c r="A272" s="16" t="s">
        <v>426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427</v>
      </c>
      <c r="B273" s="35" t="s">
        <v>299</v>
      </c>
      <c r="C273" s="292">
        <v>3046163</v>
      </c>
      <c r="D273" s="16"/>
      <c r="E273" s="16"/>
    </row>
    <row r="274" spans="1:5" x14ac:dyDescent="0.25">
      <c r="A274" s="16" t="s">
        <v>428</v>
      </c>
      <c r="B274" s="35" t="s">
        <v>299</v>
      </c>
      <c r="C274" s="292">
        <v>319825</v>
      </c>
      <c r="D274" s="16"/>
      <c r="E274" s="16"/>
    </row>
    <row r="275" spans="1:5" x14ac:dyDescent="0.25">
      <c r="A275" s="16" t="s">
        <v>429</v>
      </c>
      <c r="B275" s="35" t="s">
        <v>299</v>
      </c>
      <c r="C275" s="292"/>
      <c r="D275" s="16"/>
      <c r="E275" s="16"/>
    </row>
    <row r="276" spans="1:5" x14ac:dyDescent="0.25">
      <c r="A276" s="16" t="s">
        <v>430</v>
      </c>
      <c r="B276" s="16"/>
      <c r="C276" s="22"/>
      <c r="D276" s="25">
        <f>SUM(C266:C268)-C269+SUM(C270:C275)</f>
        <v>-24468007</v>
      </c>
      <c r="E276" s="16"/>
    </row>
    <row r="277" spans="1:5" x14ac:dyDescent="0.25">
      <c r="A277" s="34" t="s">
        <v>431</v>
      </c>
      <c r="B277" s="34"/>
      <c r="C277" s="34"/>
      <c r="D277" s="34"/>
      <c r="E277" s="34"/>
    </row>
    <row r="278" spans="1:5" x14ac:dyDescent="0.25">
      <c r="A278" s="16" t="s">
        <v>420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421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432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433</v>
      </c>
      <c r="B281" s="16"/>
      <c r="C281" s="22"/>
      <c r="D281" s="25">
        <f>SUM(C278:C280)</f>
        <v>0</v>
      </c>
      <c r="E281" s="16"/>
    </row>
    <row r="282" spans="1:5" x14ac:dyDescent="0.25">
      <c r="A282" s="34" t="s">
        <v>434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550000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26953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8688244</v>
      </c>
      <c r="D285" s="16"/>
      <c r="E285" s="16"/>
    </row>
    <row r="286" spans="1:5" x14ac:dyDescent="0.25">
      <c r="A286" s="16" t="s">
        <v>435</v>
      </c>
      <c r="B286" s="35" t="s">
        <v>299</v>
      </c>
      <c r="C286" s="292">
        <v>0</v>
      </c>
      <c r="D286" s="16"/>
      <c r="E286" s="16"/>
    </row>
    <row r="287" spans="1:5" x14ac:dyDescent="0.25">
      <c r="A287" s="16" t="s">
        <v>436</v>
      </c>
      <c r="B287" s="35" t="s">
        <v>299</v>
      </c>
      <c r="C287" s="292">
        <v>0</v>
      </c>
      <c r="D287" s="16"/>
      <c r="E287" s="16"/>
    </row>
    <row r="288" spans="1:5" x14ac:dyDescent="0.25">
      <c r="A288" s="16" t="s">
        <v>437</v>
      </c>
      <c r="B288" s="35" t="s">
        <v>299</v>
      </c>
      <c r="C288" s="292">
        <f>5339015+415198+3</f>
        <v>5754216</v>
      </c>
      <c r="D288" s="16"/>
      <c r="E288" s="16"/>
    </row>
    <row r="289" spans="1:5" x14ac:dyDescent="0.25">
      <c r="A289" s="16" t="s">
        <v>396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397</v>
      </c>
      <c r="B290" s="35" t="s">
        <v>299</v>
      </c>
      <c r="C290" s="292">
        <v>2244468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f>SUM(C283:C290)</f>
        <v>17263881</v>
      </c>
      <c r="E291" s="16"/>
    </row>
    <row r="292" spans="1:5" x14ac:dyDescent="0.25">
      <c r="A292" s="16" t="s">
        <v>439</v>
      </c>
      <c r="B292" s="35" t="s">
        <v>299</v>
      </c>
      <c r="C292" s="292">
        <v>5659811.71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f>D291-C292</f>
        <v>11604069.289999999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443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444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432</v>
      </c>
      <c r="B298" s="35" t="s">
        <v>299</v>
      </c>
      <c r="C298" s="292">
        <v>0</v>
      </c>
      <c r="D298" s="16"/>
      <c r="E298" s="16"/>
    </row>
    <row r="299" spans="1:5" x14ac:dyDescent="0.25">
      <c r="A299" s="16" t="s">
        <v>445</v>
      </c>
      <c r="B299" s="16"/>
      <c r="C299" s="22"/>
      <c r="D299" s="25">
        <f>C295-C296+C297+C298</f>
        <v>0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448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449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450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451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452</v>
      </c>
      <c r="B308" s="16"/>
      <c r="C308" s="22"/>
      <c r="D308" s="25">
        <f>D276+D281+D293+D299+D306</f>
        <v>-12863937.710000001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-12863937.710000001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453</v>
      </c>
      <c r="B312" s="30"/>
      <c r="C312" s="30"/>
      <c r="D312" s="30"/>
      <c r="E312" s="30"/>
    </row>
    <row r="313" spans="1:6" x14ac:dyDescent="0.25">
      <c r="A313" s="34" t="s">
        <v>454</v>
      </c>
      <c r="B313" s="34"/>
      <c r="C313" s="34"/>
      <c r="D313" s="34"/>
      <c r="E313" s="34"/>
    </row>
    <row r="314" spans="1:6" x14ac:dyDescent="0.25">
      <c r="A314" s="16" t="s">
        <v>455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456</v>
      </c>
      <c r="B315" s="35" t="s">
        <v>299</v>
      </c>
      <c r="C315" s="292">
        <f>2164742.93+125726.11+55702.01+25725.63</f>
        <v>2371896.6799999997</v>
      </c>
      <c r="D315" s="16"/>
      <c r="E315" s="16"/>
    </row>
    <row r="316" spans="1:6" x14ac:dyDescent="0.25">
      <c r="A316" s="16" t="s">
        <v>457</v>
      </c>
      <c r="B316" s="35" t="s">
        <v>299</v>
      </c>
      <c r="C316" s="292">
        <f>890994+972789</f>
        <v>1863783</v>
      </c>
      <c r="D316" s="16"/>
      <c r="E316" s="16"/>
    </row>
    <row r="317" spans="1:6" x14ac:dyDescent="0.25">
      <c r="A317" s="16" t="s">
        <v>458</v>
      </c>
      <c r="B317" s="35" t="s">
        <v>299</v>
      </c>
      <c r="C317" s="292">
        <v>1269000</v>
      </c>
      <c r="D317" s="16"/>
      <c r="E317" s="16"/>
    </row>
    <row r="318" spans="1:6" x14ac:dyDescent="0.25">
      <c r="A318" s="16" t="s">
        <v>459</v>
      </c>
      <c r="B318" s="35" t="s">
        <v>299</v>
      </c>
      <c r="C318" s="292">
        <v>1030000</v>
      </c>
      <c r="D318" s="16"/>
      <c r="E318" s="16"/>
    </row>
    <row r="319" spans="1:6" x14ac:dyDescent="0.25">
      <c r="A319" s="16" t="s">
        <v>460</v>
      </c>
      <c r="B319" s="35" t="s">
        <v>299</v>
      </c>
      <c r="C319" s="292">
        <v>300000</v>
      </c>
      <c r="D319" s="16"/>
      <c r="E319" s="16"/>
    </row>
    <row r="320" spans="1:6" x14ac:dyDescent="0.25">
      <c r="A320" s="16" t="s">
        <v>461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462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463</v>
      </c>
      <c r="B322" s="35" t="s">
        <v>299</v>
      </c>
      <c r="C322" s="292">
        <v>1194055</v>
      </c>
      <c r="D322" s="16"/>
      <c r="E322" s="16"/>
    </row>
    <row r="323" spans="1:5" x14ac:dyDescent="0.25">
      <c r="A323" s="16" t="s">
        <v>464</v>
      </c>
      <c r="B323" s="35" t="s">
        <v>299</v>
      </c>
      <c r="C323" s="292">
        <f>550668+59896+12892</f>
        <v>623456</v>
      </c>
      <c r="D323" s="16"/>
      <c r="E323" s="16"/>
    </row>
    <row r="324" spans="1:5" x14ac:dyDescent="0.25">
      <c r="A324" s="16" t="s">
        <v>465</v>
      </c>
      <c r="B324" s="16"/>
      <c r="C324" s="22"/>
      <c r="D324" s="25">
        <f>SUM(C314:C323)</f>
        <v>8652190.6799999997</v>
      </c>
      <c r="E324" s="16"/>
    </row>
    <row r="325" spans="1:5" x14ac:dyDescent="0.25">
      <c r="A325" s="34" t="s">
        <v>466</v>
      </c>
      <c r="B325" s="34"/>
      <c r="C325" s="34"/>
      <c r="D325" s="34"/>
      <c r="E325" s="34"/>
    </row>
    <row r="326" spans="1:5" x14ac:dyDescent="0.25">
      <c r="A326" s="16" t="s">
        <v>467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468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469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470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292">
        <v>135820</v>
      </c>
      <c r="D331" s="16"/>
      <c r="E331" s="16"/>
    </row>
    <row r="332" spans="1:5" x14ac:dyDescent="0.25">
      <c r="A332" s="16" t="s">
        <v>473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474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475</v>
      </c>
      <c r="B334" s="35" t="s">
        <v>299</v>
      </c>
      <c r="C334" s="292">
        <v>3067979</v>
      </c>
      <c r="D334" s="16"/>
      <c r="E334" s="16"/>
    </row>
    <row r="335" spans="1:5" x14ac:dyDescent="0.25">
      <c r="A335" s="16" t="s">
        <v>476</v>
      </c>
      <c r="B335" s="35" t="s">
        <v>299</v>
      </c>
      <c r="C335" s="292">
        <v>0</v>
      </c>
      <c r="D335" s="16"/>
      <c r="E335" s="16"/>
    </row>
    <row r="336" spans="1:5" x14ac:dyDescent="0.25">
      <c r="A336" s="21" t="s">
        <v>477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478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479</v>
      </c>
      <c r="B338" s="35" t="s">
        <v>299</v>
      </c>
      <c r="C338" s="292">
        <v>0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3203799</v>
      </c>
      <c r="E339" s="16"/>
    </row>
    <row r="340" spans="1:5" x14ac:dyDescent="0.25">
      <c r="A340" s="16" t="s">
        <v>480</v>
      </c>
      <c r="B340" s="16"/>
      <c r="C340" s="22"/>
      <c r="D340" s="25">
        <f>C323</f>
        <v>623456</v>
      </c>
      <c r="E340" s="16"/>
    </row>
    <row r="341" spans="1:5" x14ac:dyDescent="0.25">
      <c r="A341" s="16" t="s">
        <v>481</v>
      </c>
      <c r="B341" s="16"/>
      <c r="C341" s="22"/>
      <c r="D341" s="25">
        <f>D339-D340</f>
        <v>2580343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482</v>
      </c>
      <c r="B343" s="35" t="s">
        <v>299</v>
      </c>
      <c r="C343" s="297">
        <v>-24096470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483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484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485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486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487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488</v>
      </c>
      <c r="B350" s="16"/>
      <c r="C350" s="22"/>
      <c r="D350" s="25">
        <f>D324+D329+D341+C343+C347+C348</f>
        <v>-12863936.32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489</v>
      </c>
      <c r="B352" s="16"/>
      <c r="C352" s="22"/>
      <c r="D352" s="25">
        <f>D308</f>
        <v>-12863937.710000001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292">
        <v>40358266.549999997</v>
      </c>
      <c r="D358" s="16"/>
      <c r="E358" s="16"/>
    </row>
    <row r="359" spans="1:5" x14ac:dyDescent="0.25">
      <c r="A359" s="16" t="s">
        <v>493</v>
      </c>
      <c r="B359" s="35" t="s">
        <v>299</v>
      </c>
      <c r="C359" s="292">
        <v>160962842.72</v>
      </c>
      <c r="D359" s="16"/>
      <c r="E359" s="16"/>
    </row>
    <row r="360" spans="1:5" x14ac:dyDescent="0.25">
      <c r="A360" s="16" t="s">
        <v>494</v>
      </c>
      <c r="B360" s="16"/>
      <c r="C360" s="22"/>
      <c r="D360" s="25">
        <f>SUM(C358:C359)</f>
        <v>201321109.26999998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292">
        <v>3712442.25</v>
      </c>
      <c r="D362" s="16"/>
      <c r="E362" s="34"/>
    </row>
    <row r="363" spans="1:5" x14ac:dyDescent="0.25">
      <c r="A363" s="16" t="s">
        <v>496</v>
      </c>
      <c r="B363" s="35" t="s">
        <v>299</v>
      </c>
      <c r="C363" s="292">
        <f>D245</f>
        <v>142906778.80000001</v>
      </c>
      <c r="D363" s="16"/>
      <c r="E363" s="16"/>
    </row>
    <row r="364" spans="1:5" x14ac:dyDescent="0.25">
      <c r="A364" s="16" t="s">
        <v>497</v>
      </c>
      <c r="B364" s="35" t="s">
        <v>299</v>
      </c>
      <c r="C364" s="292">
        <v>2448483.25</v>
      </c>
      <c r="D364" s="16"/>
      <c r="E364" s="16"/>
    </row>
    <row r="365" spans="1:5" x14ac:dyDescent="0.25">
      <c r="A365" s="16" t="s">
        <v>498</v>
      </c>
      <c r="B365" s="35" t="s">
        <v>299</v>
      </c>
      <c r="C365" s="292">
        <f>D256</f>
        <v>0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f>SUM(C362:C365)</f>
        <v>149067704.30000001</v>
      </c>
      <c r="E366" s="16"/>
    </row>
    <row r="367" spans="1:5" x14ac:dyDescent="0.25">
      <c r="A367" s="16" t="s">
        <v>499</v>
      </c>
      <c r="B367" s="16"/>
      <c r="C367" s="22"/>
      <c r="D367" s="25">
        <f>D360-D366</f>
        <v>52253404.969999969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6" x14ac:dyDescent="0.25">
      <c r="A369" s="25" t="s">
        <v>501</v>
      </c>
      <c r="B369" s="16"/>
      <c r="C369" s="16"/>
      <c r="D369" s="16"/>
      <c r="E369" s="16"/>
    </row>
    <row r="370" spans="1:6" x14ac:dyDescent="0.25">
      <c r="A370" s="46" t="s">
        <v>502</v>
      </c>
      <c r="B370" s="32" t="s">
        <v>299</v>
      </c>
      <c r="C370" s="292">
        <v>0</v>
      </c>
      <c r="D370" s="25">
        <v>0</v>
      </c>
      <c r="E370" s="25"/>
    </row>
    <row r="371" spans="1:6" x14ac:dyDescent="0.25">
      <c r="A371" s="46" t="s">
        <v>503</v>
      </c>
      <c r="B371" s="32" t="s">
        <v>299</v>
      </c>
      <c r="C371" s="292">
        <v>1527066</v>
      </c>
      <c r="D371" s="25">
        <v>0</v>
      </c>
      <c r="E371" s="25"/>
    </row>
    <row r="372" spans="1:6" x14ac:dyDescent="0.25">
      <c r="A372" s="46" t="s">
        <v>504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505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506</v>
      </c>
      <c r="B374" s="32" t="s">
        <v>299</v>
      </c>
      <c r="C374" s="292">
        <v>121.58</v>
      </c>
      <c r="D374" s="25">
        <v>0</v>
      </c>
      <c r="E374" s="25"/>
    </row>
    <row r="375" spans="1:6" x14ac:dyDescent="0.25">
      <c r="A375" s="46" t="s">
        <v>507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508</v>
      </c>
      <c r="B376" s="32" t="s">
        <v>299</v>
      </c>
      <c r="C376" s="292">
        <v>57824.05</v>
      </c>
      <c r="D376" s="25">
        <v>0</v>
      </c>
      <c r="E376" s="25"/>
    </row>
    <row r="377" spans="1:6" x14ac:dyDescent="0.25">
      <c r="A377" s="46" t="s">
        <v>509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510</v>
      </c>
      <c r="B378" s="32" t="s">
        <v>299</v>
      </c>
      <c r="C378" s="292">
        <v>158488.9</v>
      </c>
      <c r="D378" s="25">
        <v>0</v>
      </c>
      <c r="E378" s="25"/>
    </row>
    <row r="379" spans="1:6" x14ac:dyDescent="0.25">
      <c r="A379" s="46" t="s">
        <v>511</v>
      </c>
      <c r="B379" s="32" t="s">
        <v>299</v>
      </c>
      <c r="C379" s="292">
        <v>106180.71</v>
      </c>
      <c r="D379" s="25">
        <v>0</v>
      </c>
      <c r="E379" s="25"/>
    </row>
    <row r="380" spans="1:6" x14ac:dyDescent="0.25">
      <c r="A380" s="46" t="s">
        <v>512</v>
      </c>
      <c r="B380" s="32" t="s">
        <v>299</v>
      </c>
      <c r="C380" s="294">
        <f>4178+1050000</f>
        <v>1054178</v>
      </c>
      <c r="D380" s="25">
        <v>0</v>
      </c>
      <c r="E380" s="204" t="str">
        <f>IF(OR(C380&gt;999999,C380/(D360+D383)&gt;0.01),"Additional Classification Necessary - See Responses-2 Tab","")</f>
        <v>Additional Classification Necessary - See Responses-2 Tab</v>
      </c>
      <c r="F380" s="47"/>
    </row>
    <row r="381" spans="1:6" x14ac:dyDescent="0.25">
      <c r="A381" s="48" t="s">
        <v>513</v>
      </c>
      <c r="B381" s="35"/>
      <c r="C381" s="35"/>
      <c r="D381" s="25">
        <f>SUM(C370:C380)</f>
        <v>2903859.24</v>
      </c>
      <c r="E381" s="25"/>
      <c r="F381" s="47"/>
    </row>
    <row r="382" spans="1:6" x14ac:dyDescent="0.25">
      <c r="A382" s="43" t="s">
        <v>514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515</v>
      </c>
      <c r="B383" s="16"/>
      <c r="C383" s="22"/>
      <c r="D383" s="25">
        <f>D381+C382</f>
        <v>2903859.24</v>
      </c>
      <c r="E383" s="16"/>
    </row>
    <row r="384" spans="1:6" x14ac:dyDescent="0.25">
      <c r="A384" s="16" t="s">
        <v>516</v>
      </c>
      <c r="B384" s="16"/>
      <c r="C384" s="22"/>
      <c r="D384" s="25">
        <f>D367+D383</f>
        <v>55157264.209999971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517</v>
      </c>
      <c r="B388" s="34"/>
      <c r="C388" s="34"/>
      <c r="D388" s="34"/>
      <c r="E388" s="34"/>
    </row>
    <row r="389" spans="1:5" x14ac:dyDescent="0.25">
      <c r="A389" s="16" t="s">
        <v>518</v>
      </c>
      <c r="B389" s="35" t="s">
        <v>299</v>
      </c>
      <c r="C389" s="292">
        <v>24369077.32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4981170.32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405444.27</v>
      </c>
      <c r="D391" s="16"/>
      <c r="E391" s="16"/>
    </row>
    <row r="392" spans="1:5" x14ac:dyDescent="0.25">
      <c r="A392" s="16" t="s">
        <v>519</v>
      </c>
      <c r="B392" s="35" t="s">
        <v>299</v>
      </c>
      <c r="C392" s="292">
        <f>5434456.53-45361.33</f>
        <v>5389095.2000000002</v>
      </c>
      <c r="D392" s="16"/>
      <c r="E392" s="16"/>
    </row>
    <row r="393" spans="1:5" x14ac:dyDescent="0.25">
      <c r="A393" s="16" t="s">
        <v>520</v>
      </c>
      <c r="B393" s="35" t="s">
        <v>299</v>
      </c>
      <c r="C393" s="292">
        <v>643791.25</v>
      </c>
      <c r="D393" s="16"/>
      <c r="E393" s="16"/>
    </row>
    <row r="394" spans="1:5" x14ac:dyDescent="0.25">
      <c r="A394" s="16" t="s">
        <v>521</v>
      </c>
      <c r="B394" s="35" t="s">
        <v>299</v>
      </c>
      <c r="C394" s="292">
        <v>7391445.71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783647.51</v>
      </c>
      <c r="D395" s="16"/>
      <c r="E395" s="16"/>
    </row>
    <row r="396" spans="1:5" x14ac:dyDescent="0.25">
      <c r="A396" s="16" t="s">
        <v>522</v>
      </c>
      <c r="B396" s="35" t="s">
        <v>299</v>
      </c>
      <c r="C396" s="292">
        <v>998489.52</v>
      </c>
      <c r="D396" s="16"/>
      <c r="E396" s="16"/>
    </row>
    <row r="397" spans="1:5" x14ac:dyDescent="0.25">
      <c r="A397" s="16" t="s">
        <v>523</v>
      </c>
      <c r="B397" s="35" t="s">
        <v>299</v>
      </c>
      <c r="C397" s="294">
        <v>603929.81000000006</v>
      </c>
      <c r="D397" s="16"/>
      <c r="E397" s="16"/>
    </row>
    <row r="398" spans="1:5" x14ac:dyDescent="0.25">
      <c r="A398" s="16" t="s">
        <v>524</v>
      </c>
      <c r="B398" s="35" t="s">
        <v>299</v>
      </c>
      <c r="C398" s="294">
        <v>2240367.17</v>
      </c>
      <c r="D398" s="16"/>
      <c r="E398" s="16"/>
    </row>
    <row r="399" spans="1:5" x14ac:dyDescent="0.25">
      <c r="A399" s="16" t="s">
        <v>525</v>
      </c>
      <c r="B399" s="35" t="s">
        <v>299</v>
      </c>
      <c r="C399" s="294">
        <v>2456469.41</v>
      </c>
      <c r="D399" s="16"/>
      <c r="E399" s="16"/>
    </row>
    <row r="400" spans="1:5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2380812.39</v>
      </c>
      <c r="D402" s="25">
        <v>0</v>
      </c>
      <c r="E402" s="25"/>
    </row>
    <row r="403" spans="1:9" x14ac:dyDescent="0.25">
      <c r="A403" s="26" t="s">
        <v>527</v>
      </c>
      <c r="B403" s="32" t="s">
        <v>299</v>
      </c>
      <c r="C403" s="292">
        <v>0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0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295756.5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9319896.6300000008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0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0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0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0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368913.12</v>
      </c>
      <c r="D414" s="25">
        <v>0</v>
      </c>
      <c r="E414" s="204" t="str">
        <f>IF(OR(C414&gt;999999,C414/(D416)&gt;0.01),"Additional Classification Necessary - See Responses-2 Tab","")</f>
        <v/>
      </c>
      <c r="F414" s="47"/>
      <c r="G414" s="47"/>
      <c r="H414" s="47"/>
      <c r="I414" s="47"/>
    </row>
    <row r="415" spans="1:9" x14ac:dyDescent="0.25">
      <c r="A415" s="49" t="s">
        <v>528</v>
      </c>
      <c r="B415" s="35"/>
      <c r="C415" s="35"/>
      <c r="D415" s="25">
        <f>SUM(C401:C414)</f>
        <v>12365378.640000001</v>
      </c>
      <c r="E415" s="25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f>SUM(C389:C399,D415)</f>
        <v>62628306.13000001</v>
      </c>
      <c r="E416" s="25"/>
    </row>
    <row r="417" spans="1:13" x14ac:dyDescent="0.25">
      <c r="A417" s="25" t="s">
        <v>530</v>
      </c>
      <c r="B417" s="16"/>
      <c r="C417" s="22"/>
      <c r="D417" s="25">
        <f>D384-D416</f>
        <v>-7471041.920000039</v>
      </c>
      <c r="E417" s="25"/>
    </row>
    <row r="418" spans="1:13" x14ac:dyDescent="0.25">
      <c r="A418" s="25" t="s">
        <v>531</v>
      </c>
      <c r="B418" s="16"/>
      <c r="C418" s="294">
        <v>0</v>
      </c>
      <c r="D418" s="25">
        <v>0</v>
      </c>
      <c r="E418" s="25"/>
    </row>
    <row r="419" spans="1:13" x14ac:dyDescent="0.25">
      <c r="A419" s="46" t="s">
        <v>532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533</v>
      </c>
      <c r="B420" s="16"/>
      <c r="C420" s="16"/>
      <c r="D420" s="25">
        <f>SUM(C418:C419)</f>
        <v>0</v>
      </c>
      <c r="E420" s="25"/>
      <c r="F420" s="11">
        <f>D420-C399</f>
        <v>-2456469.41</v>
      </c>
    </row>
    <row r="421" spans="1:13" x14ac:dyDescent="0.25">
      <c r="A421" s="25" t="s">
        <v>534</v>
      </c>
      <c r="B421" s="16"/>
      <c r="C421" s="22"/>
      <c r="D421" s="25">
        <f>D417+D420</f>
        <v>-7471041.920000039</v>
      </c>
      <c r="E421" s="25"/>
      <c r="F421" s="50"/>
    </row>
    <row r="422" spans="1:13" x14ac:dyDescent="0.25">
      <c r="A422" s="25" t="s">
        <v>535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537</v>
      </c>
      <c r="B424" s="16"/>
      <c r="C424" s="22"/>
      <c r="D424" s="25">
        <f>D421+C422-C423</f>
        <v>-7471041.920000039</v>
      </c>
      <c r="E424" s="16"/>
    </row>
    <row r="426" spans="1:13" ht="29.1" customHeight="1" x14ac:dyDescent="0.25">
      <c r="A426" s="342" t="s">
        <v>538</v>
      </c>
      <c r="B426" s="342"/>
      <c r="C426" s="342"/>
      <c r="D426" s="342"/>
      <c r="E426" s="342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539</v>
      </c>
      <c r="D612" s="217">
        <f>CE90-(BE90+CD90)</f>
        <v>69908</v>
      </c>
      <c r="E612" s="219">
        <f>SUM(C624:D647)+SUM(C668:D713)</f>
        <v>46972632.500961274</v>
      </c>
      <c r="F612" s="219">
        <f>CE64-(AX64+BD64+BE64+BG64+BJ64+BN64+BP64+BQ64+CB64+CC64+CD64)</f>
        <v>5356271.9800000004</v>
      </c>
      <c r="G612" s="217">
        <f>CE91-(AX91+AY91+BD91+BE91+BG91+BJ91+BN91+BP91+BQ91+CB91+CC91+CD91)</f>
        <v>23214</v>
      </c>
      <c r="H612" s="222">
        <f>CE60-(AX60+AY60+AZ60+BD60+BE60+BG60+BJ60+BN60+BO60+BP60+BQ60+BR60+CB60+CC60+CD60)</f>
        <v>215.67</v>
      </c>
      <c r="I612" s="217">
        <f>CE92-(AX92+AY92+AZ92+BD92+BE92+BF92+BG92+BJ92+BN92+BO92+BP92+BQ92+BR92+CB92+CC92+CD92)</f>
        <v>0</v>
      </c>
      <c r="J612" s="217">
        <f>CE93-(AX93+AY93+AZ93+BA93+BD93+BE93+BF93+BG93+BJ93+BN93+BO93+BP93+BQ93+BR93+CB93+CC93+CD93)</f>
        <v>375618</v>
      </c>
      <c r="K612" s="217">
        <f>CE89-(AW89+AX89+AY89+AZ89+BA89+BB89+BC89+BD89+BE89+BF89+BG89+BH89+BI89+BJ89+BK89+BL89+BM89+BN89+BO89+BP89+BQ89+BR89+BS89+BT89+BU89+BV89+BW89+BX89+CB89+CC89+CD89)</f>
        <v>-201321109.31999996</v>
      </c>
      <c r="L612" s="223">
        <f>CE94-(AW94+AX94+AY94+AZ94+BA94+BB94+BC94+BD94+BE94+BF94+BG94+BH94+BI94+BJ94+BK94+BL94+BM94+BN94+BO94+BP94+BQ94+BR94+BS94+BT94+BU94+BV94+BW94+BX94+BY94+BZ94+CA94+CB94+CC94+CD94)</f>
        <v>41.33</v>
      </c>
    </row>
    <row r="613" spans="1:14" s="202" customFormat="1" ht="12.6" customHeight="1" x14ac:dyDescent="0.2">
      <c r="A613" s="212"/>
      <c r="C613" s="210" t="s">
        <v>540</v>
      </c>
      <c r="D613" s="218" t="s">
        <v>541</v>
      </c>
      <c r="E613" s="220" t="s">
        <v>542</v>
      </c>
      <c r="F613" s="221" t="s">
        <v>543</v>
      </c>
      <c r="G613" s="218" t="s">
        <v>544</v>
      </c>
      <c r="H613" s="221" t="s">
        <v>545</v>
      </c>
      <c r="I613" s="218" t="s">
        <v>546</v>
      </c>
      <c r="J613" s="218" t="s">
        <v>547</v>
      </c>
      <c r="K613" s="210" t="s">
        <v>548</v>
      </c>
      <c r="L613" s="211" t="s">
        <v>549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1028973.43</v>
      </c>
      <c r="D614" s="217"/>
      <c r="E614" s="219"/>
      <c r="F614" s="219"/>
      <c r="G614" s="217"/>
      <c r="H614" s="219"/>
      <c r="I614" s="217"/>
      <c r="J614" s="217"/>
      <c r="N614" s="213" t="s">
        <v>550</v>
      </c>
    </row>
    <row r="615" spans="1:14" s="202" customFormat="1" ht="12.6" customHeight="1" x14ac:dyDescent="0.2">
      <c r="A615" s="212"/>
      <c r="B615" s="211" t="s">
        <v>551</v>
      </c>
      <c r="C615" s="217">
        <f>CD69-CD84</f>
        <v>0</v>
      </c>
      <c r="D615" s="217">
        <f>SUM(C614:C615)</f>
        <v>1028973.43</v>
      </c>
      <c r="E615" s="219"/>
      <c r="F615" s="219"/>
      <c r="G615" s="217"/>
      <c r="H615" s="219"/>
      <c r="I615" s="217"/>
      <c r="J615" s="217"/>
      <c r="N615" s="213" t="s">
        <v>552</v>
      </c>
    </row>
    <row r="616" spans="1:14" s="202" customFormat="1" ht="12.6" customHeight="1" x14ac:dyDescent="0.2">
      <c r="A616" s="212">
        <v>8310</v>
      </c>
      <c r="B616" s="216" t="s">
        <v>553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554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122917.48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555</v>
      </c>
    </row>
    <row r="618" spans="1:14" s="202" customFormat="1" ht="12.6" customHeight="1" x14ac:dyDescent="0.2">
      <c r="A618" s="212">
        <v>8470</v>
      </c>
      <c r="B618" s="216" t="s">
        <v>556</v>
      </c>
      <c r="C618" s="217">
        <f>BG85</f>
        <v>47299.33</v>
      </c>
      <c r="D618" s="217">
        <f>(D615/D612)*BG90</f>
        <v>1825.151703953768</v>
      </c>
      <c r="E618" s="219"/>
      <c r="F618" s="219"/>
      <c r="G618" s="217"/>
      <c r="H618" s="219"/>
      <c r="I618" s="217"/>
      <c r="J618" s="217"/>
      <c r="N618" s="213" t="s">
        <v>557</v>
      </c>
    </row>
    <row r="619" spans="1:14" s="202" customFormat="1" ht="12.6" customHeight="1" x14ac:dyDescent="0.2">
      <c r="A619" s="212">
        <v>8610</v>
      </c>
      <c r="B619" s="216" t="s">
        <v>558</v>
      </c>
      <c r="C619" s="217">
        <f>BN85</f>
        <v>12297974.58</v>
      </c>
      <c r="D619" s="217">
        <f>(D615/D612)*BN90</f>
        <v>76200.083640069817</v>
      </c>
      <c r="E619" s="219"/>
      <c r="F619" s="219"/>
      <c r="G619" s="217"/>
      <c r="H619" s="219"/>
      <c r="I619" s="217"/>
      <c r="J619" s="217"/>
      <c r="N619" s="213" t="s">
        <v>559</v>
      </c>
    </row>
    <row r="620" spans="1:14" s="202" customFormat="1" ht="12.6" customHeight="1" x14ac:dyDescent="0.2">
      <c r="A620" s="212">
        <v>8790</v>
      </c>
      <c r="B620" s="216" t="s">
        <v>560</v>
      </c>
      <c r="C620" s="217">
        <f>CC85</f>
        <v>2913477.15</v>
      </c>
      <c r="D620" s="217">
        <f>(D615/D612)*CC90</f>
        <v>195983.02369471308</v>
      </c>
      <c r="E620" s="219"/>
      <c r="F620" s="219"/>
      <c r="G620" s="217"/>
      <c r="H620" s="219"/>
      <c r="I620" s="217"/>
      <c r="J620" s="217"/>
      <c r="N620" s="213" t="s">
        <v>561</v>
      </c>
    </row>
    <row r="621" spans="1:14" s="202" customFormat="1" ht="12.6" customHeight="1" x14ac:dyDescent="0.2">
      <c r="A621" s="212">
        <v>8630</v>
      </c>
      <c r="B621" s="216" t="s">
        <v>562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563</v>
      </c>
    </row>
    <row r="622" spans="1:14" s="202" customFormat="1" ht="12.6" customHeight="1" x14ac:dyDescent="0.2">
      <c r="A622" s="212">
        <v>8770</v>
      </c>
      <c r="B622" s="211" t="s">
        <v>564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565</v>
      </c>
    </row>
    <row r="623" spans="1:14" s="202" customFormat="1" ht="12.6" customHeight="1" x14ac:dyDescent="0.2">
      <c r="A623" s="212">
        <v>8640</v>
      </c>
      <c r="B623" s="216" t="s">
        <v>566</v>
      </c>
      <c r="C623" s="217">
        <f>BQ85</f>
        <v>0</v>
      </c>
      <c r="D623" s="217">
        <f>(D615/D612)*BQ90</f>
        <v>0</v>
      </c>
      <c r="E623" s="219">
        <f>SUM(C616:D623)</f>
        <v>15655676.799038738</v>
      </c>
      <c r="F623" s="219"/>
      <c r="G623" s="217"/>
      <c r="H623" s="219"/>
      <c r="I623" s="217"/>
      <c r="J623" s="217"/>
      <c r="N623" s="213" t="s">
        <v>567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130718.76</v>
      </c>
      <c r="D624" s="217">
        <f>(D615/D612)*BD90</f>
        <v>48234.049466584656</v>
      </c>
      <c r="E624" s="219">
        <f>(E623/E612)*SUM(C624:D624)</f>
        <v>59643.822330619325</v>
      </c>
      <c r="F624" s="219">
        <f>SUM(C624:E624)</f>
        <v>238596.63179720397</v>
      </c>
      <c r="G624" s="217"/>
      <c r="H624" s="219"/>
      <c r="I624" s="217"/>
      <c r="J624" s="217"/>
      <c r="N624" s="213" t="s">
        <v>568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772119.47999999986</v>
      </c>
      <c r="D625" s="217">
        <f>(D615/D612)*AY90</f>
        <v>32999.920324712482</v>
      </c>
      <c r="E625" s="219">
        <f>(E623/E612)*SUM(C625:D625)</f>
        <v>268341.1264178484</v>
      </c>
      <c r="F625" s="219">
        <f>(F624/F612)*AY64</f>
        <v>15553.008350814725</v>
      </c>
      <c r="G625" s="217">
        <f>SUM(C625:F625)</f>
        <v>1089013.5350933755</v>
      </c>
      <c r="H625" s="219"/>
      <c r="I625" s="217"/>
      <c r="J625" s="217"/>
      <c r="N625" s="213" t="s">
        <v>569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28826.25</v>
      </c>
      <c r="D626" s="217">
        <f>(D615/D612)*BR90</f>
        <v>0</v>
      </c>
      <c r="E626" s="219">
        <f>(E623/E612)*SUM(C626:D626)</f>
        <v>9607.6040302628317</v>
      </c>
      <c r="F626" s="219">
        <f>(F624/F612)*BR64</f>
        <v>0</v>
      </c>
      <c r="G626" s="217">
        <f>(G625/G612)*BR91</f>
        <v>0</v>
      </c>
      <c r="H626" s="219"/>
      <c r="I626" s="217"/>
      <c r="J626" s="217"/>
      <c r="N626" s="213" t="s">
        <v>570</v>
      </c>
    </row>
    <row r="627" spans="1:14" s="202" customFormat="1" ht="12.6" customHeight="1" x14ac:dyDescent="0.2">
      <c r="A627" s="212">
        <v>8620</v>
      </c>
      <c r="B627" s="211" t="s">
        <v>571</v>
      </c>
      <c r="C627" s="217">
        <f>BO85</f>
        <v>527.5</v>
      </c>
      <c r="D627" s="217">
        <f>(D615/D612)*BO90</f>
        <v>0</v>
      </c>
      <c r="E627" s="219">
        <f>(E623/E612)*SUM(C627:D627)</f>
        <v>175.81236289713868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572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39137.166393159969</v>
      </c>
      <c r="I628" s="217"/>
      <c r="J628" s="217"/>
      <c r="N628" s="213" t="s">
        <v>573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800240.03</v>
      </c>
      <c r="D629" s="217">
        <f>(D615/D612)*BF90</f>
        <v>7006.2275087257549</v>
      </c>
      <c r="E629" s="219">
        <f>(E623/E612)*SUM(C629:D629)</f>
        <v>269049.99426062778</v>
      </c>
      <c r="F629" s="219">
        <f>(F624/F612)*BF64</f>
        <v>4275.8978042939234</v>
      </c>
      <c r="G629" s="217">
        <f>(G625/G612)*BF91</f>
        <v>0</v>
      </c>
      <c r="H629" s="219">
        <f>(H628/H612)*BF60</f>
        <v>1341.0472464666025</v>
      </c>
      <c r="I629" s="217">
        <f>SUM(C629:H629)</f>
        <v>1081913.1968201143</v>
      </c>
      <c r="J629" s="217"/>
      <c r="N629" s="213" t="s">
        <v>574</v>
      </c>
    </row>
    <row r="630" spans="1:14" s="202" customFormat="1" ht="12.6" customHeight="1" x14ac:dyDescent="0.2">
      <c r="A630" s="212">
        <v>8350</v>
      </c>
      <c r="B630" s="216" t="s">
        <v>575</v>
      </c>
      <c r="C630" s="217">
        <f>BA85</f>
        <v>0</v>
      </c>
      <c r="D630" s="217">
        <f>(D615/D612)*BA90</f>
        <v>0</v>
      </c>
      <c r="E630" s="219">
        <f>(E623/E612)*SUM(C630:D630)</f>
        <v>0</v>
      </c>
      <c r="F630" s="219">
        <f>(F624/F612)*BA64</f>
        <v>0</v>
      </c>
      <c r="G630" s="217">
        <f>(G625/G612)*BA91</f>
        <v>0</v>
      </c>
      <c r="H630" s="219">
        <f>(H628/H612)*BA60</f>
        <v>0</v>
      </c>
      <c r="I630" s="217" t="e">
        <f>(I629/I612)*BA92</f>
        <v>#DIV/0!</v>
      </c>
      <c r="J630" s="217" t="e">
        <f>SUM(C630:I630)</f>
        <v>#DIV/0!</v>
      </c>
      <c r="N630" s="213" t="s">
        <v>576</v>
      </c>
    </row>
    <row r="631" spans="1:14" s="202" customFormat="1" ht="12.6" customHeight="1" x14ac:dyDescent="0.2">
      <c r="A631" s="212">
        <v>8200</v>
      </c>
      <c r="B631" s="216" t="s">
        <v>577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 t="e">
        <f>(I629/I612)*AW92</f>
        <v>#DIV/0!</v>
      </c>
      <c r="J631" s="217" t="e">
        <f>(J630/J612)*AW93</f>
        <v>#DIV/0!</v>
      </c>
      <c r="N631" s="213" t="s">
        <v>578</v>
      </c>
    </row>
    <row r="632" spans="1:14" s="202" customFormat="1" ht="12.6" customHeight="1" x14ac:dyDescent="0.2">
      <c r="A632" s="212">
        <v>8360</v>
      </c>
      <c r="B632" s="216" t="s">
        <v>579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 t="e">
        <f>(I629/I612)*BB92</f>
        <v>#DIV/0!</v>
      </c>
      <c r="J632" s="217" t="e">
        <f>(J630/J612)*BB93</f>
        <v>#DIV/0!</v>
      </c>
      <c r="N632" s="213" t="s">
        <v>580</v>
      </c>
    </row>
    <row r="633" spans="1:14" s="202" customFormat="1" ht="12.6" customHeight="1" x14ac:dyDescent="0.2">
      <c r="A633" s="212">
        <v>8370</v>
      </c>
      <c r="B633" s="216" t="s">
        <v>581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 t="e">
        <f>(I629/I612)*BC92</f>
        <v>#DIV/0!</v>
      </c>
      <c r="J633" s="217" t="e">
        <f>(J630/J612)*BC93</f>
        <v>#DIV/0!</v>
      </c>
      <c r="N633" s="213" t="s">
        <v>582</v>
      </c>
    </row>
    <row r="634" spans="1:14" s="202" customFormat="1" ht="12.6" customHeight="1" x14ac:dyDescent="0.2">
      <c r="A634" s="212">
        <v>8490</v>
      </c>
      <c r="B634" s="216" t="s">
        <v>583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 t="e">
        <f>(I629/I612)*BI92</f>
        <v>#DIV/0!</v>
      </c>
      <c r="J634" s="217" t="e">
        <f>(J630/J612)*BI93</f>
        <v>#DIV/0!</v>
      </c>
      <c r="N634" s="213" t="s">
        <v>584</v>
      </c>
    </row>
    <row r="635" spans="1:14" s="202" customFormat="1" ht="12.6" customHeight="1" x14ac:dyDescent="0.2">
      <c r="A635" s="212">
        <v>8530</v>
      </c>
      <c r="B635" s="216" t="s">
        <v>585</v>
      </c>
      <c r="C635" s="217">
        <f>BK85</f>
        <v>744.92</v>
      </c>
      <c r="D635" s="217">
        <f>(D615/D612)*BK90</f>
        <v>0</v>
      </c>
      <c r="E635" s="219">
        <f>(E623/E612)*SUM(C635:D635)</f>
        <v>248.27705283286548</v>
      </c>
      <c r="F635" s="219">
        <f>(F624/F612)*BK64</f>
        <v>33.182669517535061</v>
      </c>
      <c r="G635" s="217">
        <f>(G625/G612)*BK91</f>
        <v>0</v>
      </c>
      <c r="H635" s="219">
        <f>(H628/H612)*BK60</f>
        <v>0</v>
      </c>
      <c r="I635" s="217" t="e">
        <f>(I629/I612)*BK92</f>
        <v>#DIV/0!</v>
      </c>
      <c r="J635" s="217" t="e">
        <f>(J630/J612)*BK93</f>
        <v>#DIV/0!</v>
      </c>
      <c r="N635" s="213" t="s">
        <v>586</v>
      </c>
    </row>
    <row r="636" spans="1:14" s="202" customFormat="1" ht="12.6" customHeight="1" x14ac:dyDescent="0.2">
      <c r="A636" s="212">
        <v>8480</v>
      </c>
      <c r="B636" s="216" t="s">
        <v>587</v>
      </c>
      <c r="C636" s="217">
        <f>BH85</f>
        <v>434564.81</v>
      </c>
      <c r="D636" s="217">
        <f>(D615/D612)*BH90</f>
        <v>0</v>
      </c>
      <c r="E636" s="219">
        <f>(E623/E612)*SUM(C636:D636)</f>
        <v>144837.66081146186</v>
      </c>
      <c r="F636" s="219">
        <f>(F624/F612)*BH64</f>
        <v>3036.7020316636958</v>
      </c>
      <c r="G636" s="217">
        <f>(G625/G612)*BH91</f>
        <v>0</v>
      </c>
      <c r="H636" s="219">
        <f>(H628/H612)*BH60</f>
        <v>0</v>
      </c>
      <c r="I636" s="217" t="e">
        <f>(I629/I612)*BH92</f>
        <v>#DIV/0!</v>
      </c>
      <c r="J636" s="217" t="e">
        <f>(J630/J612)*BH93</f>
        <v>#DIV/0!</v>
      </c>
      <c r="N636" s="213" t="s">
        <v>588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795294.6</v>
      </c>
      <c r="D637" s="217">
        <f>(D615/D612)*BL90</f>
        <v>0</v>
      </c>
      <c r="E637" s="219">
        <f>(E623/E612)*SUM(C637:D637)</f>
        <v>265066.58355513698</v>
      </c>
      <c r="F637" s="219">
        <f>(F624/F612)*BL64</f>
        <v>508.4117553446668</v>
      </c>
      <c r="G637" s="217">
        <f>(G625/G612)*BL91</f>
        <v>0</v>
      </c>
      <c r="H637" s="219">
        <f>(H628/H612)*BL60</f>
        <v>2422.5954993679493</v>
      </c>
      <c r="I637" s="217" t="e">
        <f>(I629/I612)*BL92</f>
        <v>#DIV/0!</v>
      </c>
      <c r="J637" s="217" t="e">
        <f>(J630/J612)*BL93</f>
        <v>#DIV/0!</v>
      </c>
      <c r="N637" s="213" t="s">
        <v>589</v>
      </c>
    </row>
    <row r="638" spans="1:14" s="202" customFormat="1" ht="12.6" customHeight="1" x14ac:dyDescent="0.2">
      <c r="A638" s="212">
        <v>8590</v>
      </c>
      <c r="B638" s="216" t="s">
        <v>590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 t="e">
        <f>(I629/I612)*BM92</f>
        <v>#DIV/0!</v>
      </c>
      <c r="J638" s="217" t="e">
        <f>(J630/J612)*BM93</f>
        <v>#DIV/0!</v>
      </c>
      <c r="N638" s="213" t="s">
        <v>591</v>
      </c>
    </row>
    <row r="639" spans="1:14" s="202" customFormat="1" ht="12.6" customHeight="1" x14ac:dyDescent="0.2">
      <c r="A639" s="212">
        <v>8660</v>
      </c>
      <c r="B639" s="216" t="s">
        <v>592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 t="e">
        <f>(I629/I612)*BS92</f>
        <v>#DIV/0!</v>
      </c>
      <c r="J639" s="217" t="e">
        <f>(J630/J612)*BS93</f>
        <v>#DIV/0!</v>
      </c>
      <c r="N639" s="213" t="s">
        <v>593</v>
      </c>
    </row>
    <row r="640" spans="1:14" s="202" customFormat="1" ht="12.6" customHeight="1" x14ac:dyDescent="0.2">
      <c r="A640" s="212">
        <v>8670</v>
      </c>
      <c r="B640" s="216" t="s">
        <v>594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 t="e">
        <f>(I629/I612)*BT92</f>
        <v>#DIV/0!</v>
      </c>
      <c r="J640" s="217" t="e">
        <f>(J630/J612)*BT93</f>
        <v>#DIV/0!</v>
      </c>
      <c r="N640" s="213" t="s">
        <v>595</v>
      </c>
    </row>
    <row r="641" spans="1:14" s="202" customFormat="1" ht="12.6" customHeight="1" x14ac:dyDescent="0.2">
      <c r="A641" s="212">
        <v>8680</v>
      </c>
      <c r="B641" s="216" t="s">
        <v>596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 t="e">
        <f>(I629/I612)*BU92</f>
        <v>#DIV/0!</v>
      </c>
      <c r="J641" s="217" t="e">
        <f>(J630/J612)*BU93</f>
        <v>#DIV/0!</v>
      </c>
      <c r="N641" s="213" t="s">
        <v>597</v>
      </c>
    </row>
    <row r="642" spans="1:14" s="202" customFormat="1" ht="12.6" customHeight="1" x14ac:dyDescent="0.2">
      <c r="A642" s="212">
        <v>8690</v>
      </c>
      <c r="B642" s="216" t="s">
        <v>598</v>
      </c>
      <c r="C642" s="217">
        <f>BV85</f>
        <v>64464.899999999994</v>
      </c>
      <c r="D642" s="217">
        <f>(D615/D612)*BV90</f>
        <v>0</v>
      </c>
      <c r="E642" s="219">
        <f>(E623/E612)*SUM(C642:D642)</f>
        <v>21485.737237777736</v>
      </c>
      <c r="F642" s="219">
        <f>(F624/F612)*BV64</f>
        <v>3728.1850853085489</v>
      </c>
      <c r="G642" s="217">
        <f>(G625/G612)*BV91</f>
        <v>0</v>
      </c>
      <c r="H642" s="219">
        <f>(H628/H612)*BV60</f>
        <v>0</v>
      </c>
      <c r="I642" s="217" t="e">
        <f>(I629/I612)*BV92</f>
        <v>#DIV/0!</v>
      </c>
      <c r="J642" s="217" t="e">
        <f>(J630/J612)*BV93</f>
        <v>#DIV/0!</v>
      </c>
      <c r="N642" s="213" t="s">
        <v>599</v>
      </c>
    </row>
    <row r="643" spans="1:14" s="202" customFormat="1" ht="12.6" customHeight="1" x14ac:dyDescent="0.2">
      <c r="A643" s="212">
        <v>8700</v>
      </c>
      <c r="B643" s="216" t="s">
        <v>600</v>
      </c>
      <c r="C643" s="217">
        <f>BW85</f>
        <v>2344801.38</v>
      </c>
      <c r="D643" s="217">
        <f>(D615/D612)*BW90</f>
        <v>0</v>
      </c>
      <c r="E643" s="219">
        <f>(E623/E612)*SUM(C643:D643)</f>
        <v>781507.24387160491</v>
      </c>
      <c r="F643" s="219">
        <f>(F624/F612)*BW64</f>
        <v>0</v>
      </c>
      <c r="G643" s="217">
        <f>(G625/G612)*BW91</f>
        <v>0</v>
      </c>
      <c r="H643" s="219">
        <f>(H628/H612)*BW60</f>
        <v>195.98525388145208</v>
      </c>
      <c r="I643" s="217" t="e">
        <f>(I629/I612)*BW92</f>
        <v>#DIV/0!</v>
      </c>
      <c r="J643" s="217" t="e">
        <f>(J630/J612)*BW93</f>
        <v>#DIV/0!</v>
      </c>
      <c r="N643" s="213" t="s">
        <v>601</v>
      </c>
    </row>
    <row r="644" spans="1:14" s="202" customFormat="1" ht="12.6" customHeight="1" x14ac:dyDescent="0.2">
      <c r="A644" s="212">
        <v>8710</v>
      </c>
      <c r="B644" s="216" t="s">
        <v>602</v>
      </c>
      <c r="C644" s="217">
        <f>BX85</f>
        <v>246655.27000000002</v>
      </c>
      <c r="D644" s="217">
        <f>(D615/D612)*BX90</f>
        <v>6093.6516567488707</v>
      </c>
      <c r="E644" s="219">
        <f>(E623/E612)*SUM(C644:D644)</f>
        <v>84239.5926752167</v>
      </c>
      <c r="F644" s="219">
        <f>(F624/F612)*BX64</f>
        <v>21.665487533216357</v>
      </c>
      <c r="G644" s="217">
        <f>(G625/G612)*BX91</f>
        <v>0</v>
      </c>
      <c r="H644" s="219">
        <f>(H628/H612)*BX60</f>
        <v>250.42560218185542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603</v>
      </c>
    </row>
    <row r="645" spans="1:14" s="202" customFormat="1" ht="12.6" customHeight="1" x14ac:dyDescent="0.2">
      <c r="A645" s="212">
        <v>8720</v>
      </c>
      <c r="B645" s="216" t="s">
        <v>604</v>
      </c>
      <c r="C645" s="217">
        <f>BY85</f>
        <v>1123215.1299999999</v>
      </c>
      <c r="D645" s="217">
        <f>(D615/D612)*BY90</f>
        <v>7698.0188803856508</v>
      </c>
      <c r="E645" s="219">
        <f>(E623/E612)*SUM(C645:D645)</f>
        <v>376926.09087413113</v>
      </c>
      <c r="F645" s="219">
        <f>(F624/F612)*BY64</f>
        <v>57.637582445677111</v>
      </c>
      <c r="G645" s="217">
        <f>(G625/G612)*BY91</f>
        <v>0</v>
      </c>
      <c r="H645" s="219">
        <f>(H628/H612)*BY60</f>
        <v>901.89510351001547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605</v>
      </c>
    </row>
    <row r="646" spans="1:14" s="202" customFormat="1" ht="12.6" customHeight="1" x14ac:dyDescent="0.2">
      <c r="A646" s="212">
        <v>8730</v>
      </c>
      <c r="B646" s="216" t="s">
        <v>606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607</v>
      </c>
    </row>
    <row r="647" spans="1:14" s="202" customFormat="1" ht="12.6" customHeight="1" x14ac:dyDescent="0.2">
      <c r="A647" s="212">
        <v>8740</v>
      </c>
      <c r="B647" s="216" t="s">
        <v>608</v>
      </c>
      <c r="C647" s="217">
        <f>CA85</f>
        <v>3465.9300000000003</v>
      </c>
      <c r="D647" s="217">
        <f>(D615/D612)*CA90</f>
        <v>8227.9016331464209</v>
      </c>
      <c r="E647" s="219">
        <f>(E623/E612)*SUM(C647:D647)</f>
        <v>3897.4789966725662</v>
      </c>
      <c r="F647" s="219">
        <f>(F624/F612)*CA64</f>
        <v>-143.48301760746321</v>
      </c>
      <c r="G647" s="217">
        <f>(G625/G612)*CA91</f>
        <v>0</v>
      </c>
      <c r="H647" s="219">
        <f>(H628/H612)*CA60</f>
        <v>0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609</v>
      </c>
    </row>
    <row r="648" spans="1:14" s="202" customFormat="1" ht="12.6" customHeight="1" x14ac:dyDescent="0.2">
      <c r="A648" s="212"/>
      <c r="B648" s="212"/>
      <c r="C648" s="202">
        <f>SUM(C614:C647)</f>
        <v>23156280.93</v>
      </c>
      <c r="L648" s="215"/>
    </row>
    <row r="666" spans="1:14" s="202" customFormat="1" ht="12.6" customHeight="1" x14ac:dyDescent="0.2">
      <c r="C666" s="210" t="s">
        <v>610</v>
      </c>
      <c r="M666" s="210" t="s">
        <v>611</v>
      </c>
    </row>
    <row r="667" spans="1:14" s="202" customFormat="1" ht="12.6" customHeight="1" x14ac:dyDescent="0.2">
      <c r="C667" s="210" t="s">
        <v>540</v>
      </c>
      <c r="D667" s="210" t="s">
        <v>541</v>
      </c>
      <c r="E667" s="211" t="s">
        <v>542</v>
      </c>
      <c r="F667" s="210" t="s">
        <v>543</v>
      </c>
      <c r="G667" s="210" t="s">
        <v>544</v>
      </c>
      <c r="H667" s="210" t="s">
        <v>545</v>
      </c>
      <c r="I667" s="210" t="s">
        <v>546</v>
      </c>
      <c r="J667" s="210" t="s">
        <v>547</v>
      </c>
      <c r="K667" s="210" t="s">
        <v>548</v>
      </c>
      <c r="L667" s="211" t="s">
        <v>549</v>
      </c>
      <c r="M667" s="210" t="s">
        <v>612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245219.09</v>
      </c>
      <c r="D668" s="217">
        <f>(D615/D612)*C90</f>
        <v>35251.922023945757</v>
      </c>
      <c r="E668" s="219">
        <f>(E623/E612)*SUM(C668:D668)</f>
        <v>93479.187389728337</v>
      </c>
      <c r="F668" s="219">
        <f>(F624/F612)*C64</f>
        <v>2423.6765785950574</v>
      </c>
      <c r="G668" s="217">
        <f>(G625/G612)*C91</f>
        <v>230149.92690480314</v>
      </c>
      <c r="H668" s="219">
        <f>(H628/H612)*C60</f>
        <v>139.73022730436861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25">ROUND(SUM(D668:L668),0)</f>
        <v>#DIV/0!</v>
      </c>
      <c r="N668" s="211" t="s">
        <v>613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25"/>
        <v>#DIV/0!</v>
      </c>
      <c r="N669" s="211" t="s">
        <v>614</v>
      </c>
    </row>
    <row r="670" spans="1:14" s="202" customFormat="1" ht="12.6" customHeight="1" x14ac:dyDescent="0.2">
      <c r="A670" s="212">
        <v>6070</v>
      </c>
      <c r="B670" s="211" t="s">
        <v>615</v>
      </c>
      <c r="C670" s="217">
        <f>E85</f>
        <v>2755199.3600000003</v>
      </c>
      <c r="D670" s="217">
        <f>(D615/D612)*E90</f>
        <v>41639.952987783945</v>
      </c>
      <c r="E670" s="219">
        <f>(E623/E612)*SUM(C670:D670)</f>
        <v>932168.58437913249</v>
      </c>
      <c r="F670" s="219">
        <f>(F624/F612)*E64</f>
        <v>4214.1927923878393</v>
      </c>
      <c r="G670" s="217">
        <f>(G625/G612)*E91</f>
        <v>0</v>
      </c>
      <c r="H670" s="219">
        <f>(H628/H612)*E60</f>
        <v>2339.1202986406643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25"/>
        <v>#DIV/0!</v>
      </c>
      <c r="N670" s="211" t="s">
        <v>616</v>
      </c>
    </row>
    <row r="671" spans="1:14" s="202" customFormat="1" ht="12.6" customHeight="1" x14ac:dyDescent="0.2">
      <c r="A671" s="212">
        <v>6100</v>
      </c>
      <c r="B671" s="211" t="s">
        <v>617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25"/>
        <v>#DIV/0!</v>
      </c>
      <c r="N671" s="211" t="s">
        <v>618</v>
      </c>
    </row>
    <row r="672" spans="1:14" s="202" customFormat="1" ht="12.6" customHeight="1" x14ac:dyDescent="0.2">
      <c r="A672" s="212">
        <v>6120</v>
      </c>
      <c r="B672" s="211" t="s">
        <v>619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25"/>
        <v>#DIV/0!</v>
      </c>
      <c r="N672" s="211" t="s">
        <v>620</v>
      </c>
    </row>
    <row r="673" spans="1:14" s="202" customFormat="1" ht="12.6" customHeight="1" x14ac:dyDescent="0.2">
      <c r="A673" s="212">
        <v>6140</v>
      </c>
      <c r="B673" s="211" t="s">
        <v>621</v>
      </c>
      <c r="C673" s="217">
        <f>H85</f>
        <v>3678732.38</v>
      </c>
      <c r="D673" s="217">
        <f>(D615/D612)*H90</f>
        <v>66279.500991159817</v>
      </c>
      <c r="E673" s="219">
        <f>(E623/E612)*SUM(C673:D673)</f>
        <v>1248188.4130330118</v>
      </c>
      <c r="F673" s="219">
        <f>(F624/F612)*H64</f>
        <v>1014.2073664312053</v>
      </c>
      <c r="G673" s="217">
        <f>(G625/G612)*H91</f>
        <v>723851.07463129074</v>
      </c>
      <c r="H673" s="219">
        <f>(H628/H612)*H60</f>
        <v>5355.1155944830107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25"/>
        <v>#DIV/0!</v>
      </c>
      <c r="N673" s="211" t="s">
        <v>622</v>
      </c>
    </row>
    <row r="674" spans="1:14" s="202" customFormat="1" ht="12.6" customHeight="1" x14ac:dyDescent="0.2">
      <c r="A674" s="212">
        <v>6150</v>
      </c>
      <c r="B674" s="211" t="s">
        <v>623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25"/>
        <v>#DIV/0!</v>
      </c>
      <c r="N674" s="211" t="s">
        <v>624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25"/>
        <v>#DIV/0!</v>
      </c>
      <c r="N675" s="211" t="s">
        <v>625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25"/>
        <v>#DIV/0!</v>
      </c>
      <c r="N676" s="211" t="s">
        <v>626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25"/>
        <v>#DIV/0!</v>
      </c>
      <c r="N677" s="211" t="s">
        <v>627</v>
      </c>
    </row>
    <row r="678" spans="1:14" s="202" customFormat="1" ht="12.6" customHeight="1" x14ac:dyDescent="0.2">
      <c r="A678" s="212">
        <v>6330</v>
      </c>
      <c r="B678" s="211" t="s">
        <v>628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25"/>
        <v>#DIV/0!</v>
      </c>
      <c r="N678" s="211" t="s">
        <v>629</v>
      </c>
    </row>
    <row r="679" spans="1:14" s="202" customFormat="1" ht="12.6" customHeight="1" x14ac:dyDescent="0.2">
      <c r="A679" s="212">
        <v>6400</v>
      </c>
      <c r="B679" s="211" t="s">
        <v>630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25"/>
        <v>#DIV/0!</v>
      </c>
      <c r="N679" s="211" t="s">
        <v>631</v>
      </c>
    </row>
    <row r="680" spans="1:14" s="202" customFormat="1" ht="12.6" customHeight="1" x14ac:dyDescent="0.2">
      <c r="A680" s="212">
        <v>7010</v>
      </c>
      <c r="B680" s="211" t="s">
        <v>632</v>
      </c>
      <c r="C680" s="217">
        <f>O85</f>
        <v>77054</v>
      </c>
      <c r="D680" s="217">
        <f>(D615/D612)*O90</f>
        <v>103047.47644661556</v>
      </c>
      <c r="E680" s="219">
        <f>(E623/E612)*SUM(C680:D680)</f>
        <v>60026.665659417726</v>
      </c>
      <c r="F680" s="219">
        <f>(F624/F612)*O64</f>
        <v>0</v>
      </c>
      <c r="G680" s="217">
        <f>(G625/G612)*O91</f>
        <v>129242.36620928101</v>
      </c>
      <c r="H680" s="219">
        <f>(H628/H612)*O60</f>
        <v>0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25"/>
        <v>#DIV/0!</v>
      </c>
      <c r="N680" s="211" t="s">
        <v>633</v>
      </c>
    </row>
    <row r="681" spans="1:14" s="202" customFormat="1" ht="12.6" customHeight="1" x14ac:dyDescent="0.2">
      <c r="A681" s="212">
        <v>7020</v>
      </c>
      <c r="B681" s="211" t="s">
        <v>634</v>
      </c>
      <c r="C681" s="217">
        <f>P85</f>
        <v>6211857.9500000002</v>
      </c>
      <c r="D681" s="217">
        <f>(D615/D612)*P90</f>
        <v>185164.58415918067</v>
      </c>
      <c r="E681" s="219">
        <f>(E623/E612)*SUM(C681:D681)</f>
        <v>2132086.5350460052</v>
      </c>
      <c r="F681" s="219">
        <f>(F624/F612)*P64</f>
        <v>109363.69182763771</v>
      </c>
      <c r="G681" s="217">
        <f>(G625/G612)*P91</f>
        <v>0</v>
      </c>
      <c r="H681" s="219">
        <f>(H628/H612)*P60</f>
        <v>4014.0683480164075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25"/>
        <v>#DIV/0!</v>
      </c>
      <c r="N681" s="211" t="s">
        <v>635</v>
      </c>
    </row>
    <row r="682" spans="1:14" s="202" customFormat="1" ht="12.6" customHeight="1" x14ac:dyDescent="0.2">
      <c r="A682" s="212">
        <v>7030</v>
      </c>
      <c r="B682" s="211" t="s">
        <v>636</v>
      </c>
      <c r="C682" s="217">
        <f>Q85</f>
        <v>689164.19999999984</v>
      </c>
      <c r="D682" s="217">
        <f>(D615/D612)*Q90</f>
        <v>0</v>
      </c>
      <c r="E682" s="219">
        <f>(E623/E612)*SUM(C682:D682)</f>
        <v>229694.0027035379</v>
      </c>
      <c r="F682" s="219">
        <f>(F624/F612)*Q64</f>
        <v>1700.5409857794539</v>
      </c>
      <c r="G682" s="217">
        <f>(G625/G612)*Q91</f>
        <v>0</v>
      </c>
      <c r="H682" s="219">
        <f>(H628/H612)*Q60</f>
        <v>693.20710169180268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25"/>
        <v>#DIV/0!</v>
      </c>
      <c r="N682" s="211" t="s">
        <v>637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1131282.32</v>
      </c>
      <c r="D683" s="217">
        <f>(D615/D612)*R90</f>
        <v>0</v>
      </c>
      <c r="E683" s="219">
        <f>(E623/E612)*SUM(C683:D683)</f>
        <v>377049.13323783316</v>
      </c>
      <c r="F683" s="219">
        <f>(F624/F612)*R64</f>
        <v>687.38355158329171</v>
      </c>
      <c r="G683" s="217">
        <f>(G625/G612)*R91</f>
        <v>0</v>
      </c>
      <c r="H683" s="219">
        <f>(H628/H612)*R60</f>
        <v>0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25"/>
        <v>#DIV/0!</v>
      </c>
      <c r="N683" s="211" t="s">
        <v>638</v>
      </c>
    </row>
    <row r="684" spans="1:14" s="202" customFormat="1" ht="12.6" customHeight="1" x14ac:dyDescent="0.2">
      <c r="A684" s="212">
        <v>7050</v>
      </c>
      <c r="B684" s="211" t="s">
        <v>639</v>
      </c>
      <c r="C684" s="217">
        <f>S85</f>
        <v>-233495.25999999998</v>
      </c>
      <c r="D684" s="217">
        <f>(D615/D612)*S90</f>
        <v>0</v>
      </c>
      <c r="E684" s="219">
        <f>(E623/E612)*SUM(C684:D684)</f>
        <v>-77822.470873709477</v>
      </c>
      <c r="F684" s="219">
        <f>(F624/F612)*S64</f>
        <v>-10978.148913020992</v>
      </c>
      <c r="G684" s="217">
        <f>(G625/G612)*S91</f>
        <v>0</v>
      </c>
      <c r="H684" s="219">
        <f>(H628/H612)*S60</f>
        <v>1.8146782766801119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25"/>
        <v>#DIV/0!</v>
      </c>
      <c r="N684" s="211" t="s">
        <v>640</v>
      </c>
    </row>
    <row r="685" spans="1:14" s="202" customFormat="1" ht="12.6" customHeight="1" x14ac:dyDescent="0.2">
      <c r="A685" s="212">
        <v>7060</v>
      </c>
      <c r="B685" s="211" t="s">
        <v>641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25"/>
        <v>#DIV/0!</v>
      </c>
      <c r="N685" s="211" t="s">
        <v>642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2568789.5500000003</v>
      </c>
      <c r="D686" s="217">
        <f>(D615/D612)*U90</f>
        <v>41522.20126494822</v>
      </c>
      <c r="E686" s="219">
        <f>(E623/E612)*SUM(C686:D686)</f>
        <v>870000.14575935306</v>
      </c>
      <c r="F686" s="219">
        <f>(F624/F612)*U64</f>
        <v>37806.065491743859</v>
      </c>
      <c r="G686" s="217">
        <f>(G625/G612)*U91</f>
        <v>0</v>
      </c>
      <c r="H686" s="219">
        <f>(H628/H612)*U60</f>
        <v>2121.3589054390504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25"/>
        <v>#DIV/0!</v>
      </c>
      <c r="N686" s="211" t="s">
        <v>643</v>
      </c>
    </row>
    <row r="687" spans="1:14" s="202" customFormat="1" ht="12.6" customHeight="1" x14ac:dyDescent="0.2">
      <c r="A687" s="212">
        <v>7110</v>
      </c>
      <c r="B687" s="211" t="s">
        <v>644</v>
      </c>
      <c r="C687" s="217">
        <f>V85</f>
        <v>135043.88</v>
      </c>
      <c r="D687" s="217">
        <f>(D615/D612)*V90</f>
        <v>0</v>
      </c>
      <c r="E687" s="219">
        <f>(E623/E612)*SUM(C687:D687)</f>
        <v>45009.25808075384</v>
      </c>
      <c r="F687" s="219">
        <f>(F624/F612)*V64</f>
        <v>0</v>
      </c>
      <c r="G687" s="217">
        <f>(G625/G612)*V91</f>
        <v>0</v>
      </c>
      <c r="H687" s="219">
        <f>(H628/H612)*V60</f>
        <v>194.17057560477198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25"/>
        <v>#DIV/0!</v>
      </c>
      <c r="N687" s="211" t="s">
        <v>645</v>
      </c>
    </row>
    <row r="688" spans="1:14" s="202" customFormat="1" ht="12.6" customHeight="1" x14ac:dyDescent="0.2">
      <c r="A688" s="212">
        <v>7120</v>
      </c>
      <c r="B688" s="211" t="s">
        <v>646</v>
      </c>
      <c r="C688" s="217">
        <f>W85</f>
        <v>2073.0299999999997</v>
      </c>
      <c r="D688" s="217">
        <f>(D615/D612)*W90</f>
        <v>0</v>
      </c>
      <c r="E688" s="219">
        <f>(E623/E612)*SUM(C688:D688)</f>
        <v>690.92758797470208</v>
      </c>
      <c r="F688" s="219">
        <f>(F624/F612)*W64</f>
        <v>0</v>
      </c>
      <c r="G688" s="217">
        <f>(G625/G612)*W91</f>
        <v>0</v>
      </c>
      <c r="H688" s="219">
        <f>(H628/H612)*W60</f>
        <v>3.6293565533602239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25"/>
        <v>#DIV/0!</v>
      </c>
      <c r="N688" s="211" t="s">
        <v>647</v>
      </c>
    </row>
    <row r="689" spans="1:14" s="202" customFormat="1" ht="12.6" customHeight="1" x14ac:dyDescent="0.2">
      <c r="A689" s="212">
        <v>7130</v>
      </c>
      <c r="B689" s="211" t="s">
        <v>648</v>
      </c>
      <c r="C689" s="217">
        <f>X85</f>
        <v>297568.53999999998</v>
      </c>
      <c r="D689" s="217">
        <f>(D615/D612)*X90</f>
        <v>0</v>
      </c>
      <c r="E689" s="219">
        <f>(E623/E612)*SUM(C689:D689)</f>
        <v>99177.683680098053</v>
      </c>
      <c r="F689" s="219">
        <f>(F624/F612)*X64</f>
        <v>2623.5111564324279</v>
      </c>
      <c r="G689" s="217">
        <f>(G625/G612)*X91</f>
        <v>0</v>
      </c>
      <c r="H689" s="219">
        <f>(H628/H612)*X60</f>
        <v>366.56501188938262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25"/>
        <v>#DIV/0!</v>
      </c>
      <c r="N689" s="211" t="s">
        <v>649</v>
      </c>
    </row>
    <row r="690" spans="1:14" s="202" customFormat="1" ht="12.6" customHeight="1" x14ac:dyDescent="0.2">
      <c r="A690" s="212">
        <v>7140</v>
      </c>
      <c r="B690" s="211" t="s">
        <v>650</v>
      </c>
      <c r="C690" s="217">
        <f>Y85</f>
        <v>1597558.17</v>
      </c>
      <c r="D690" s="217">
        <f>(D615/D612)*Y90</f>
        <v>49632.351175258918</v>
      </c>
      <c r="E690" s="219">
        <f>(E623/E612)*SUM(C690:D690)</f>
        <v>548998.02401818312</v>
      </c>
      <c r="F690" s="219">
        <f>(F624/F612)*Y64</f>
        <v>472.12294349579713</v>
      </c>
      <c r="G690" s="217">
        <f>(G625/G612)*Y91</f>
        <v>0</v>
      </c>
      <c r="H690" s="219">
        <f>(H628/H612)*Y60</f>
        <v>2286.4946286169406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25"/>
        <v>#DIV/0!</v>
      </c>
      <c r="N690" s="211" t="s">
        <v>651</v>
      </c>
    </row>
    <row r="691" spans="1:14" s="202" customFormat="1" ht="12.6" customHeight="1" x14ac:dyDescent="0.2">
      <c r="A691" s="212">
        <v>7150</v>
      </c>
      <c r="B691" s="211" t="s">
        <v>652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25"/>
        <v>#DIV/0!</v>
      </c>
      <c r="N691" s="211" t="s">
        <v>653</v>
      </c>
    </row>
    <row r="692" spans="1:14" s="202" customFormat="1" ht="12.6" customHeight="1" x14ac:dyDescent="0.2">
      <c r="A692" s="212">
        <v>7160</v>
      </c>
      <c r="B692" s="211" t="s">
        <v>654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>
        <f>(G625/G612)*AA91</f>
        <v>0</v>
      </c>
      <c r="H692" s="219">
        <f>(H628/H612)*AA60</f>
        <v>0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25"/>
        <v>#DIV/0!</v>
      </c>
      <c r="N692" s="211" t="s">
        <v>655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1835518.73</v>
      </c>
      <c r="D693" s="217">
        <f>(D615/D612)*AB90</f>
        <v>20032.51184742805</v>
      </c>
      <c r="E693" s="219">
        <f>(E623/E612)*SUM(C693:D693)</f>
        <v>618443.31432401214</v>
      </c>
      <c r="F693" s="219">
        <f>(F624/F612)*AB64</f>
        <v>39176.181622290125</v>
      </c>
      <c r="G693" s="217">
        <f>(G625/G612)*AB91</f>
        <v>0</v>
      </c>
      <c r="H693" s="219">
        <f>(H628/H612)*AB60</f>
        <v>805.71715484596973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25"/>
        <v>#DIV/0!</v>
      </c>
      <c r="N693" s="211" t="s">
        <v>656</v>
      </c>
    </row>
    <row r="694" spans="1:14" s="202" customFormat="1" ht="12.6" customHeight="1" x14ac:dyDescent="0.2">
      <c r="A694" s="212">
        <v>7180</v>
      </c>
      <c r="B694" s="211" t="s">
        <v>657</v>
      </c>
      <c r="C694" s="217">
        <f>AC85</f>
        <v>683821.48</v>
      </c>
      <c r="D694" s="217">
        <f>(D615/D612)*AC90</f>
        <v>16146.70499384906</v>
      </c>
      <c r="E694" s="219">
        <f>(E623/E612)*SUM(C694:D694)</f>
        <v>233294.90152908073</v>
      </c>
      <c r="F694" s="219">
        <f>(F624/F612)*AC64</f>
        <v>1427.1367608724981</v>
      </c>
      <c r="G694" s="217">
        <f>(G625/G612)*AC91</f>
        <v>0</v>
      </c>
      <c r="H694" s="219">
        <f>(H628/H612)*AC60</f>
        <v>0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25"/>
        <v>#DIV/0!</v>
      </c>
      <c r="N694" s="211" t="s">
        <v>658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25"/>
        <v>#DIV/0!</v>
      </c>
      <c r="N695" s="211" t="s">
        <v>659</v>
      </c>
    </row>
    <row r="696" spans="1:14" s="202" customFormat="1" ht="12.6" customHeight="1" x14ac:dyDescent="0.2">
      <c r="A696" s="212">
        <v>7200</v>
      </c>
      <c r="B696" s="211" t="s">
        <v>660</v>
      </c>
      <c r="C696" s="217">
        <f>AE85</f>
        <v>361306.08999999997</v>
      </c>
      <c r="D696" s="217">
        <f>(D615/D612)*AE90</f>
        <v>17824.667044258171</v>
      </c>
      <c r="E696" s="219">
        <f>(E623/E612)*SUM(C696:D696)</f>
        <v>126361.84690603228</v>
      </c>
      <c r="F696" s="219">
        <f>(F624/F612)*AE64</f>
        <v>1011.4023501884958</v>
      </c>
      <c r="G696" s="217">
        <f>(G625/G612)*AE91</f>
        <v>0</v>
      </c>
      <c r="H696" s="219">
        <f>(H628/H612)*AE60</f>
        <v>524.44202196055232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25"/>
        <v>#DIV/0!</v>
      </c>
      <c r="N696" s="211" t="s">
        <v>661</v>
      </c>
    </row>
    <row r="697" spans="1:14" s="202" customFormat="1" ht="12.6" customHeight="1" x14ac:dyDescent="0.2">
      <c r="A697" s="212">
        <v>7220</v>
      </c>
      <c r="B697" s="211" t="s">
        <v>662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25"/>
        <v>#DIV/0!</v>
      </c>
      <c r="N697" s="211" t="s">
        <v>663</v>
      </c>
    </row>
    <row r="698" spans="1:14" s="202" customFormat="1" ht="12.6" customHeight="1" x14ac:dyDescent="0.2">
      <c r="A698" s="212">
        <v>7230</v>
      </c>
      <c r="B698" s="211" t="s">
        <v>664</v>
      </c>
      <c r="C698" s="217">
        <f>AG85</f>
        <v>5381106.2500000009</v>
      </c>
      <c r="D698" s="217">
        <f>(D615/D612)*AG90</f>
        <v>68163.528556531441</v>
      </c>
      <c r="E698" s="219">
        <f>(E623/E612)*SUM(C698:D698)</f>
        <v>1816206.6271696524</v>
      </c>
      <c r="F698" s="219">
        <f>(F624/F612)*AG64</f>
        <v>11821.666341556347</v>
      </c>
      <c r="G698" s="217">
        <f>(G625/G612)*AG91</f>
        <v>5770.1673480005684</v>
      </c>
      <c r="H698" s="219">
        <f>(H628/H612)*AG60</f>
        <v>4373.3746467990695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25"/>
        <v>#DIV/0!</v>
      </c>
      <c r="N698" s="211" t="s">
        <v>665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25"/>
        <v>#DIV/0!</v>
      </c>
      <c r="N699" s="211" t="s">
        <v>666</v>
      </c>
    </row>
    <row r="700" spans="1:14" s="202" customFormat="1" ht="12.6" customHeight="1" x14ac:dyDescent="0.2">
      <c r="A700" s="212">
        <v>7250</v>
      </c>
      <c r="B700" s="211" t="s">
        <v>667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25"/>
        <v>#DIV/0!</v>
      </c>
      <c r="N700" s="211" t="s">
        <v>668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11977033.18</v>
      </c>
      <c r="D701" s="217">
        <f>(D615/D612)*AJ90</f>
        <v>0</v>
      </c>
      <c r="E701" s="219">
        <f>(E623/E612)*SUM(C701:D701)</f>
        <v>3991868.2537881155</v>
      </c>
      <c r="F701" s="219">
        <f>(F624/F612)*AJ64</f>
        <v>8754.0530041708244</v>
      </c>
      <c r="G701" s="217">
        <f>(G625/G612)*AJ91</f>
        <v>0</v>
      </c>
      <c r="H701" s="219">
        <f>(H628/H612)*AJ60</f>
        <v>10708.41651068934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25"/>
        <v>#DIV/0!</v>
      </c>
      <c r="N701" s="211" t="s">
        <v>669</v>
      </c>
    </row>
    <row r="702" spans="1:14" s="202" customFormat="1" ht="12.6" customHeight="1" x14ac:dyDescent="0.2">
      <c r="A702" s="212">
        <v>7310</v>
      </c>
      <c r="B702" s="211" t="s">
        <v>670</v>
      </c>
      <c r="C702" s="217">
        <f>AK85</f>
        <v>8848.49</v>
      </c>
      <c r="D702" s="217">
        <f>(D615/D612)*AK90</f>
        <v>0</v>
      </c>
      <c r="E702" s="219">
        <f>(E623/E612)*SUM(C702:D702)</f>
        <v>2949.1449004202896</v>
      </c>
      <c r="F702" s="219">
        <f>(F624/F612)*AK64</f>
        <v>0</v>
      </c>
      <c r="G702" s="217">
        <f>(G625/G612)*AK91</f>
        <v>0</v>
      </c>
      <c r="H702" s="219">
        <f>(H628/H612)*AK60</f>
        <v>14.517426213440896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25"/>
        <v>#DIV/0!</v>
      </c>
      <c r="N702" s="211" t="s">
        <v>671</v>
      </c>
    </row>
    <row r="703" spans="1:14" s="202" customFormat="1" ht="12.6" customHeight="1" x14ac:dyDescent="0.2">
      <c r="A703" s="212">
        <v>7320</v>
      </c>
      <c r="B703" s="211" t="s">
        <v>672</v>
      </c>
      <c r="C703" s="217">
        <f>AL85</f>
        <v>68346.939999999988</v>
      </c>
      <c r="D703" s="217">
        <f>(D615/D612)*AL90</f>
        <v>0</v>
      </c>
      <c r="E703" s="219">
        <f>(E623/E612)*SUM(C703:D703)</f>
        <v>22779.596243012249</v>
      </c>
      <c r="F703" s="219">
        <f>(F624/F612)*AL64</f>
        <v>7.7401877454852759</v>
      </c>
      <c r="G703" s="217">
        <f>(G625/G612)*AL91</f>
        <v>0</v>
      </c>
      <c r="H703" s="219">
        <f>(H628/H612)*AL60</f>
        <v>83.475200727285142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25"/>
        <v>#DIV/0!</v>
      </c>
      <c r="N703" s="211" t="s">
        <v>673</v>
      </c>
    </row>
    <row r="704" spans="1:14" s="202" customFormat="1" ht="12.6" customHeight="1" x14ac:dyDescent="0.2">
      <c r="A704" s="212">
        <v>7330</v>
      </c>
      <c r="B704" s="211" t="s">
        <v>674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25"/>
        <v>#DIV/0!</v>
      </c>
      <c r="N704" s="211" t="s">
        <v>675</v>
      </c>
    </row>
    <row r="705" spans="1:14" s="202" customFormat="1" ht="12.6" customHeight="1" x14ac:dyDescent="0.2">
      <c r="A705" s="212">
        <v>7340</v>
      </c>
      <c r="B705" s="211" t="s">
        <v>676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25"/>
        <v>#DIV/0!</v>
      </c>
      <c r="N705" s="211" t="s">
        <v>677</v>
      </c>
    </row>
    <row r="706" spans="1:14" s="202" customFormat="1" ht="12.6" customHeight="1" x14ac:dyDescent="0.2">
      <c r="A706" s="212">
        <v>7350</v>
      </c>
      <c r="B706" s="211" t="s">
        <v>678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25"/>
        <v>#DIV/0!</v>
      </c>
      <c r="N706" s="211" t="s">
        <v>679</v>
      </c>
    </row>
    <row r="707" spans="1:14" s="202" customFormat="1" ht="12.6" customHeight="1" x14ac:dyDescent="0.2">
      <c r="A707" s="212">
        <v>7380</v>
      </c>
      <c r="B707" s="211" t="s">
        <v>680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25"/>
        <v>#DIV/0!</v>
      </c>
      <c r="N707" s="211" t="s">
        <v>681</v>
      </c>
    </row>
    <row r="708" spans="1:14" s="202" customFormat="1" ht="12.6" customHeight="1" x14ac:dyDescent="0.2">
      <c r="A708" s="212">
        <v>7390</v>
      </c>
      <c r="B708" s="211" t="s">
        <v>682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25"/>
        <v>#DIV/0!</v>
      </c>
      <c r="N708" s="211" t="s">
        <v>683</v>
      </c>
    </row>
    <row r="709" spans="1:14" s="202" customFormat="1" ht="12.6" customHeight="1" x14ac:dyDescent="0.2">
      <c r="A709" s="212">
        <v>7400</v>
      </c>
      <c r="B709" s="211" t="s">
        <v>684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25"/>
        <v>#DIV/0!</v>
      </c>
      <c r="N709" s="211" t="s">
        <v>685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25"/>
        <v>#DIV/0!</v>
      </c>
      <c r="N710" s="211" t="s">
        <v>686</v>
      </c>
    </row>
    <row r="711" spans="1:14" s="202" customFormat="1" ht="12.6" customHeight="1" x14ac:dyDescent="0.2">
      <c r="A711" s="212">
        <v>7420</v>
      </c>
      <c r="B711" s="211" t="s">
        <v>687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25"/>
        <v>#DIV/0!</v>
      </c>
      <c r="N711" s="211" t="s">
        <v>688</v>
      </c>
    </row>
    <row r="712" spans="1:14" s="202" customFormat="1" ht="12.6" customHeight="1" x14ac:dyDescent="0.2">
      <c r="A712" s="212">
        <v>7430</v>
      </c>
      <c r="B712" s="211" t="s">
        <v>689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25"/>
        <v>#DIV/0!</v>
      </c>
      <c r="N712" s="211" t="s">
        <v>690</v>
      </c>
    </row>
    <row r="713" spans="1:14" s="202" customFormat="1" ht="12.6" customHeight="1" x14ac:dyDescent="0.2">
      <c r="A713" s="212">
        <v>7490</v>
      </c>
      <c r="B713" s="211" t="s">
        <v>691</v>
      </c>
      <c r="C713" s="217">
        <f>AV85</f>
        <v>0</v>
      </c>
      <c r="D713" s="217">
        <f>(D615/D612)*AV90</f>
        <v>0</v>
      </c>
      <c r="E713" s="219">
        <f>(E623/E612)*SUM(C713:D713)</f>
        <v>0</v>
      </c>
      <c r="F713" s="219">
        <f>(F624/F612)*AV64</f>
        <v>0</v>
      </c>
      <c r="G713" s="217">
        <f>(G625/G612)*AV91</f>
        <v>0</v>
      </c>
      <c r="H713" s="219">
        <f>(H628/H612)*AV60</f>
        <v>0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25"/>
        <v>#DIV/0!</v>
      </c>
      <c r="N713" s="213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62628309.299999997</v>
      </c>
      <c r="D715" s="202">
        <f>SUM(D616:D647)+SUM(D668:D713)</f>
        <v>1028973.4300000002</v>
      </c>
      <c r="E715" s="202">
        <f>SUM(E624:E647)+SUM(E668:E713)</f>
        <v>15655676.799038738</v>
      </c>
      <c r="F715" s="202">
        <f>SUM(F625:F648)+SUM(F668:F713)</f>
        <v>238596.63179720397</v>
      </c>
      <c r="G715" s="202">
        <f>SUM(G626:G647)+SUM(G668:G713)</f>
        <v>1089013.5350933752</v>
      </c>
      <c r="H715" s="202">
        <f>SUM(H629:H647)+SUM(H668:H713)</f>
        <v>39137.166393159976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693</v>
      </c>
    </row>
    <row r="716" spans="1:14" s="202" customFormat="1" ht="12.6" customHeight="1" x14ac:dyDescent="0.2">
      <c r="C716" s="214">
        <f>CE85</f>
        <v>62628309.299999997</v>
      </c>
      <c r="D716" s="202">
        <f>D615</f>
        <v>1028973.43</v>
      </c>
      <c r="E716" s="202">
        <f>E623</f>
        <v>15655676.799038738</v>
      </c>
      <c r="F716" s="202">
        <f>F624</f>
        <v>238596.63179720397</v>
      </c>
      <c r="G716" s="202">
        <f>G625</f>
        <v>1089013.5350933755</v>
      </c>
      <c r="H716" s="202">
        <f>H628</f>
        <v>39137.166393159969</v>
      </c>
      <c r="I716" s="202">
        <f>I629</f>
        <v>1081913.1968201143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23156280.93</v>
      </c>
      <c r="N716" s="211" t="s">
        <v>694</v>
      </c>
    </row>
  </sheetData>
  <sheetProtection algorithmName="SHA-512" hashValue="vxEPuhpjAAbVcvmTRfsaMkk2F6Ey/fvis71hsTRrcKhiaNBBs61IESMUevMhv4ixOZYqDXQdQcMdhoC5vX+RLQ==" saltValue="m2m+wnh/oyuhFKELPLz9bw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C42" sqref="C42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695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696</v>
      </c>
      <c r="G3" s="10"/>
      <c r="J3" s="99"/>
    </row>
    <row r="4" spans="2:10" x14ac:dyDescent="0.25">
      <c r="B4" s="98"/>
      <c r="F4" s="10" t="s">
        <v>697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698</v>
      </c>
      <c r="G8" s="10"/>
      <c r="J8" s="99"/>
    </row>
    <row r="9" spans="2:10" x14ac:dyDescent="0.25">
      <c r="B9" s="95"/>
      <c r="C9" s="96"/>
      <c r="D9" s="96"/>
      <c r="E9" s="96"/>
      <c r="F9" s="103" t="s">
        <v>699</v>
      </c>
      <c r="G9" s="103"/>
      <c r="H9" s="96"/>
      <c r="I9" s="96"/>
      <c r="J9" s="97"/>
    </row>
    <row r="10" spans="2:10" x14ac:dyDescent="0.25">
      <c r="B10" s="98"/>
      <c r="F10" s="10" t="s">
        <v>700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701</v>
      </c>
      <c r="G12" s="10"/>
      <c r="J12" s="99"/>
    </row>
    <row r="13" spans="2:10" x14ac:dyDescent="0.25">
      <c r="B13" s="98"/>
      <c r="F13" s="10" t="s">
        <v>702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703</v>
      </c>
      <c r="J16" s="99"/>
    </row>
    <row r="17" spans="2:10" x14ac:dyDescent="0.25">
      <c r="B17" s="95"/>
      <c r="C17" s="104" t="s">
        <v>704</v>
      </c>
      <c r="D17" s="104"/>
      <c r="E17" s="96" t="str">
        <f>+data!C98</f>
        <v>ASTRIA TOPPENISH HOSPITAL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705</v>
      </c>
      <c r="D18" s="53"/>
      <c r="E18" s="11" t="str">
        <f>+"H-"&amp;data!C97</f>
        <v>H-199</v>
      </c>
      <c r="F18" s="10"/>
      <c r="G18" s="10"/>
      <c r="J18" s="99"/>
    </row>
    <row r="19" spans="2:10" x14ac:dyDescent="0.25">
      <c r="B19" s="98"/>
      <c r="C19" s="53" t="s">
        <v>706</v>
      </c>
      <c r="D19" s="53"/>
      <c r="E19" s="11" t="str">
        <f>+data!C99</f>
        <v>502 W 4th Ave</v>
      </c>
      <c r="F19" s="10"/>
      <c r="G19" s="10"/>
      <c r="J19" s="99"/>
    </row>
    <row r="20" spans="2:10" x14ac:dyDescent="0.25">
      <c r="B20" s="98"/>
      <c r="C20" s="53" t="s">
        <v>707</v>
      </c>
      <c r="D20" s="53"/>
      <c r="E20" s="11" t="str">
        <f>+data!C99</f>
        <v>502 W 4th Ave</v>
      </c>
      <c r="F20" s="10"/>
      <c r="G20" s="10"/>
      <c r="J20" s="99"/>
    </row>
    <row r="21" spans="2:10" x14ac:dyDescent="0.25">
      <c r="B21" s="98"/>
      <c r="C21" s="53" t="s">
        <v>708</v>
      </c>
      <c r="D21" s="53"/>
      <c r="E21" s="11" t="str">
        <f>CONCATENATE(+data!C100,", ",+data!C101)</f>
        <v>Toppenish, Washington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709</v>
      </c>
      <c r="G26" s="106"/>
      <c r="H26" s="106"/>
      <c r="I26" s="106"/>
      <c r="J26" s="108"/>
    </row>
    <row r="27" spans="2:10" x14ac:dyDescent="0.25">
      <c r="B27" s="109" t="s">
        <v>710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711</v>
      </c>
      <c r="J29" s="99"/>
    </row>
    <row r="30" spans="2:10" x14ac:dyDescent="0.25">
      <c r="B30" s="112" t="s">
        <v>712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713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714</v>
      </c>
      <c r="C35" s="106" t="s">
        <v>1060</v>
      </c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715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716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714</v>
      </c>
      <c r="C41" s="106" t="s">
        <v>1062</v>
      </c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715</v>
      </c>
      <c r="C42" s="117"/>
      <c r="D42" s="117"/>
      <c r="E42" s="117"/>
      <c r="F42" s="118"/>
      <c r="G42" s="117"/>
      <c r="H42" s="117"/>
      <c r="I42" s="117"/>
      <c r="J42" s="119"/>
    </row>
  </sheetData>
  <sheetProtection algorithmName="SHA-512" hashValue="YbS4Ga66EucSjJ4Jerg3V+8UFuG3/NaQPmUbIBY7pQZIZkG/R2QCksd92EOCYOzzPqKaPgkPursHWzBc2C0cag==" saltValue="g7jbTGZPK1bNjYtewphGzQ==" spinCount="100000" sheet="1" objects="1" scenarios="1"/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zoomScale="85" zoomScaleNormal="85" workbookViewId="0">
      <selection activeCell="I18" sqref="I18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717</v>
      </c>
    </row>
    <row r="3" spans="1:13" x14ac:dyDescent="0.25">
      <c r="A3" s="54"/>
    </row>
    <row r="4" spans="1:13" x14ac:dyDescent="0.25">
      <c r="A4" s="149" t="s">
        <v>718</v>
      </c>
    </row>
    <row r="5" spans="1:13" x14ac:dyDescent="0.25">
      <c r="A5" s="149" t="s">
        <v>719</v>
      </c>
    </row>
    <row r="6" spans="1:13" x14ac:dyDescent="0.25">
      <c r="A6" s="149" t="s">
        <v>720</v>
      </c>
    </row>
    <row r="7" spans="1:13" x14ac:dyDescent="0.25">
      <c r="A7" s="149"/>
    </row>
    <row r="8" spans="1:13" x14ac:dyDescent="0.25">
      <c r="A8" s="2" t="s">
        <v>721</v>
      </c>
    </row>
    <row r="9" spans="1:13" x14ac:dyDescent="0.25">
      <c r="A9" s="149" t="s">
        <v>26</v>
      </c>
    </row>
    <row r="12" spans="1:13" x14ac:dyDescent="0.25">
      <c r="A12" s="1" t="str">
        <f>data!C97</f>
        <v>199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722</v>
      </c>
      <c r="C13" s="228" t="s">
        <v>722</v>
      </c>
      <c r="D13" s="5" t="s">
        <v>723</v>
      </c>
      <c r="E13" s="5" t="s">
        <v>723</v>
      </c>
      <c r="F13" s="3" t="s">
        <v>724</v>
      </c>
      <c r="G13" s="3" t="s">
        <v>724</v>
      </c>
      <c r="H13" s="3" t="s">
        <v>725</v>
      </c>
    </row>
    <row r="14" spans="1:13" x14ac:dyDescent="0.25">
      <c r="A14" s="1" t="s">
        <v>726</v>
      </c>
      <c r="B14" s="228" t="s">
        <v>360</v>
      </c>
      <c r="C14" s="228" t="s">
        <v>360</v>
      </c>
      <c r="D14" s="4" t="s">
        <v>727</v>
      </c>
      <c r="E14" s="4" t="s">
        <v>727</v>
      </c>
      <c r="F14" s="3" t="s">
        <v>728</v>
      </c>
      <c r="G14" s="3" t="s">
        <v>728</v>
      </c>
      <c r="H14" s="3" t="s">
        <v>729</v>
      </c>
      <c r="I14" s="8" t="s">
        <v>730</v>
      </c>
      <c r="J14" s="55" t="s">
        <v>731</v>
      </c>
    </row>
    <row r="15" spans="1:13" x14ac:dyDescent="0.25">
      <c r="A15" s="1" t="s">
        <v>732</v>
      </c>
      <c r="B15" s="228">
        <f>ROUND(N('Prior Year'!C85), 0)</f>
        <v>476951</v>
      </c>
      <c r="C15" s="228">
        <f>data!C85</f>
        <v>245219.09</v>
      </c>
      <c r="D15" s="228">
        <f>ROUND(N('Prior Year'!C59), 0)</f>
        <v>1282</v>
      </c>
      <c r="E15" s="1">
        <f>data!C59</f>
        <v>316</v>
      </c>
      <c r="F15" s="205">
        <f t="shared" ref="F15:F59" si="0">IF(B15=0,"",IF(D15=0,"",B15/D15))</f>
        <v>372.03666146645867</v>
      </c>
      <c r="G15" s="205">
        <f t="shared" ref="G15:G29" si="1">IF(C15=0,"",IF(E15=0,"",C15/E15))</f>
        <v>776.00977848101263</v>
      </c>
      <c r="H15" s="6">
        <f t="shared" ref="H15:H30" si="2">IF(B15 = 0, "", IF(C15 = 0, "", IF(D15 = 0, "", IF(E15 = 0, "", IF(G15 / F15 - 1 &lt; -0.25, G15 / F15 - 1, IF(G15 / F15 - 1 &gt; 0.25, G15 / F15 - 1, ""))))))</f>
        <v>1.085842227005831</v>
      </c>
      <c r="I15" s="228" t="s">
        <v>1376</v>
      </c>
      <c r="M15" s="7"/>
    </row>
    <row r="16" spans="1:13" x14ac:dyDescent="0.25">
      <c r="A16" s="1" t="s">
        <v>733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ref="I16:I46" si="3">IF(H16 = "", "", IF(ABS(H16) &gt; 25 %, "Please provide explanation for the fluctuation noted here", ""))</f>
        <v/>
      </c>
      <c r="M16" s="7"/>
    </row>
    <row r="17" spans="1:13" x14ac:dyDescent="0.25">
      <c r="A17" s="1" t="s">
        <v>734</v>
      </c>
      <c r="B17" s="228">
        <f>ROUND(N('Prior Year'!E85), 0)</f>
        <v>4248587</v>
      </c>
      <c r="C17" s="228">
        <f>data!E85</f>
        <v>2755199.3600000003</v>
      </c>
      <c r="D17" s="228">
        <f>ROUND(N('Prior Year'!E59), 0)</f>
        <v>1671</v>
      </c>
      <c r="E17" s="1">
        <f>data!E59</f>
        <v>1613</v>
      </c>
      <c r="F17" s="205">
        <f t="shared" si="0"/>
        <v>2542.5415918611611</v>
      </c>
      <c r="G17" s="205">
        <f t="shared" si="1"/>
        <v>1708.1211159330442</v>
      </c>
      <c r="H17" s="6">
        <f t="shared" si="2"/>
        <v>-0.32818360910954236</v>
      </c>
      <c r="I17" s="228" t="s">
        <v>1377</v>
      </c>
      <c r="M17" s="7"/>
    </row>
    <row r="18" spans="1:13" x14ac:dyDescent="0.25">
      <c r="A18" s="1" t="s">
        <v>735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736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737</v>
      </c>
      <c r="B20" s="228">
        <f>ROUND(N('Prior Year'!H85), 0)</f>
        <v>3938699</v>
      </c>
      <c r="C20" s="228">
        <f>data!H85</f>
        <v>3678732.38</v>
      </c>
      <c r="D20" s="228">
        <f>ROUND(N('Prior Year'!H59), 0)</f>
        <v>4978</v>
      </c>
      <c r="E20" s="1">
        <f>data!H59</f>
        <v>5144</v>
      </c>
      <c r="F20" s="205">
        <f t="shared" si="0"/>
        <v>791.22117316191236</v>
      </c>
      <c r="G20" s="205">
        <f t="shared" si="1"/>
        <v>715.15015163297039</v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738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739</v>
      </c>
      <c r="B22" s="228">
        <f>ROUND(N('Prior Year'!J85), 0)</f>
        <v>0</v>
      </c>
      <c r="C22" s="228">
        <f>data!J85</f>
        <v>0</v>
      </c>
      <c r="D22" s="228">
        <f>ROUND(N('Prior Year'!J59), 0)</f>
        <v>0</v>
      </c>
      <c r="E22" s="1">
        <f>data!J59</f>
        <v>0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8" t="str">
        <f t="shared" si="3"/>
        <v/>
      </c>
      <c r="M22" s="7"/>
    </row>
    <row r="23" spans="1:13" x14ac:dyDescent="0.25">
      <c r="A23" s="1" t="s">
        <v>740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741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742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743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744</v>
      </c>
      <c r="B27" s="228">
        <f>ROUND(N('Prior Year'!O85), 0)</f>
        <v>120878</v>
      </c>
      <c r="C27" s="228">
        <f>data!O85</f>
        <v>77054</v>
      </c>
      <c r="D27" s="228">
        <f>ROUND(N('Prior Year'!O59), 0)</f>
        <v>0</v>
      </c>
      <c r="E27" s="1">
        <f>data!O59</f>
        <v>0</v>
      </c>
      <c r="F27" s="205" t="str">
        <f t="shared" si="0"/>
        <v/>
      </c>
      <c r="G27" s="205" t="str">
        <f t="shared" si="1"/>
        <v/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745</v>
      </c>
      <c r="B28" s="228">
        <f>ROUND(N('Prior Year'!P85), 0)</f>
        <v>7701121</v>
      </c>
      <c r="C28" s="228">
        <f>data!P85</f>
        <v>6211857.9500000002</v>
      </c>
      <c r="D28" s="228">
        <f>ROUND(N('Prior Year'!P59), 0)</f>
        <v>0</v>
      </c>
      <c r="E28" s="1">
        <f>data!P59</f>
        <v>0</v>
      </c>
      <c r="F28" s="205" t="str">
        <f t="shared" si="0"/>
        <v/>
      </c>
      <c r="G28" s="205" t="str">
        <f t="shared" si="1"/>
        <v/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746</v>
      </c>
      <c r="B29" s="228">
        <f>ROUND(N('Prior Year'!Q85), 0)</f>
        <v>689842</v>
      </c>
      <c r="C29" s="228">
        <f>data!Q85</f>
        <v>689164.19999999984</v>
      </c>
      <c r="D29" s="228">
        <f>ROUND(N('Prior Year'!Q59), 0)</f>
        <v>0</v>
      </c>
      <c r="E29" s="1">
        <f>data!Q59</f>
        <v>0</v>
      </c>
      <c r="F29" s="205" t="str">
        <f t="shared" si="0"/>
        <v/>
      </c>
      <c r="G29" s="205" t="str">
        <f t="shared" si="1"/>
        <v/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747</v>
      </c>
      <c r="B30" s="228">
        <f>ROUND(N('Prior Year'!R85), 0)</f>
        <v>1221113</v>
      </c>
      <c r="C30" s="228">
        <f>data!R85</f>
        <v>1131282.32</v>
      </c>
      <c r="D30" s="228">
        <f>ROUND(N('Prior Year'!R59), 0)</f>
        <v>0</v>
      </c>
      <c r="E30" s="1">
        <f>data!R59</f>
        <v>0</v>
      </c>
      <c r="F30" s="205" t="str">
        <f t="shared" si="0"/>
        <v/>
      </c>
      <c r="G30" s="205" t="str">
        <f>IFERROR(IF(C30=0,"",IF(E30=0,"",C30/E30)),"")</f>
        <v/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748</v>
      </c>
      <c r="B31" s="228">
        <f>ROUND(N('Prior Year'!S85), 0)</f>
        <v>46412</v>
      </c>
      <c r="C31" s="228">
        <f>data!S85</f>
        <v>-233495.25999999998</v>
      </c>
      <c r="D31" s="228" t="s">
        <v>749</v>
      </c>
      <c r="E31" s="4" t="s">
        <v>749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750</v>
      </c>
      <c r="B32" s="228">
        <f>ROUND(N('Prior Year'!T85), 0)</f>
        <v>54</v>
      </c>
      <c r="C32" s="228">
        <f>data!T85</f>
        <v>0</v>
      </c>
      <c r="D32" s="228" t="s">
        <v>749</v>
      </c>
      <c r="E32" s="4" t="s">
        <v>749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751</v>
      </c>
      <c r="B33" s="228">
        <f>ROUND(N('Prior Year'!U85), 0)</f>
        <v>2674856</v>
      </c>
      <c r="C33" s="228">
        <f>data!U85</f>
        <v>2568789.5500000003</v>
      </c>
      <c r="D33" s="228">
        <f>ROUND(N('Prior Year'!U59), 0)</f>
        <v>0</v>
      </c>
      <c r="E33" s="1">
        <f>data!U59</f>
        <v>0</v>
      </c>
      <c r="F33" s="205" t="str">
        <f t="shared" si="0"/>
        <v/>
      </c>
      <c r="G33" s="205" t="str">
        <f t="shared" ref="G33:G69" si="4">IF(C33=0,"",IF(E33=0,"",C33/E33))</f>
        <v/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752</v>
      </c>
      <c r="B34" s="228">
        <f>ROUND(N('Prior Year'!V85), 0)</f>
        <v>88011</v>
      </c>
      <c r="C34" s="228">
        <f>data!V85</f>
        <v>135043.88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753</v>
      </c>
      <c r="B35" s="228">
        <f>ROUND(N('Prior Year'!W85), 0)</f>
        <v>546617</v>
      </c>
      <c r="C35" s="228">
        <f>data!W85</f>
        <v>2073.0299999999997</v>
      </c>
      <c r="D35" s="228">
        <f>ROUND(N('Prior Year'!W59), 0)</f>
        <v>0</v>
      </c>
      <c r="E35" s="1">
        <f>data!W59</f>
        <v>0</v>
      </c>
      <c r="F35" s="205" t="str">
        <f t="shared" si="0"/>
        <v/>
      </c>
      <c r="G35" s="205" t="str">
        <f t="shared" si="4"/>
        <v/>
      </c>
      <c r="H35" s="6" t="str">
        <f t="shared" si="5"/>
        <v/>
      </c>
      <c r="I35" s="228" t="str">
        <f t="shared" si="3"/>
        <v/>
      </c>
      <c r="M35" s="7"/>
    </row>
    <row r="36" spans="1:13" x14ac:dyDescent="0.25">
      <c r="A36" s="1" t="s">
        <v>754</v>
      </c>
      <c r="B36" s="228">
        <f>ROUND(N('Prior Year'!X85), 0)</f>
        <v>168203</v>
      </c>
      <c r="C36" s="228">
        <f>data!X85</f>
        <v>297568.53999999998</v>
      </c>
      <c r="D36" s="228">
        <f>ROUND(N('Prior Year'!X59), 0)</f>
        <v>0</v>
      </c>
      <c r="E36" s="1">
        <f>data!X59</f>
        <v>0</v>
      </c>
      <c r="F36" s="205" t="str">
        <f t="shared" si="0"/>
        <v/>
      </c>
      <c r="G36" s="205" t="str">
        <f t="shared" si="4"/>
        <v/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755</v>
      </c>
      <c r="B37" s="228">
        <f>ROUND(N('Prior Year'!Y85), 0)</f>
        <v>1563318</v>
      </c>
      <c r="C37" s="228">
        <f>data!Y85</f>
        <v>1597558.17</v>
      </c>
      <c r="D37" s="228">
        <f>ROUND(N('Prior Year'!Y59), 0)</f>
        <v>0</v>
      </c>
      <c r="E37" s="1">
        <f>data!Y59</f>
        <v>0</v>
      </c>
      <c r="F37" s="205" t="str">
        <f t="shared" si="0"/>
        <v/>
      </c>
      <c r="G37" s="205" t="str">
        <f t="shared" si="4"/>
        <v/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756</v>
      </c>
      <c r="B38" s="228">
        <f>ROUND(N('Prior Year'!Z85), 0)</f>
        <v>0</v>
      </c>
      <c r="C38" s="228">
        <f>data!Z85</f>
        <v>0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757</v>
      </c>
      <c r="B39" s="228">
        <f>ROUND(N('Prior Year'!AA85), 0)</f>
        <v>0</v>
      </c>
      <c r="C39" s="228">
        <f>data!AA85</f>
        <v>0</v>
      </c>
      <c r="D39" s="228">
        <f>ROUND(N('Prior Year'!AA59), 0)</f>
        <v>0</v>
      </c>
      <c r="E39" s="1">
        <f>data!AA59</f>
        <v>0</v>
      </c>
      <c r="F39" s="205" t="str">
        <f t="shared" si="0"/>
        <v/>
      </c>
      <c r="G39" s="205" t="str">
        <f t="shared" si="4"/>
        <v/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758</v>
      </c>
      <c r="B40" s="228">
        <f>ROUND(N('Prior Year'!AB85), 0)</f>
        <v>1911744</v>
      </c>
      <c r="C40" s="228">
        <f>data!AB85</f>
        <v>1835518.73</v>
      </c>
      <c r="D40" s="228" t="s">
        <v>749</v>
      </c>
      <c r="E40" s="4" t="s">
        <v>749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759</v>
      </c>
      <c r="B41" s="228">
        <f>ROUND(N('Prior Year'!AC85), 0)</f>
        <v>815311</v>
      </c>
      <c r="C41" s="228">
        <f>data!AC85</f>
        <v>683821.48</v>
      </c>
      <c r="D41" s="228">
        <f>ROUND(N('Prior Year'!AC59), 0)</f>
        <v>0</v>
      </c>
      <c r="E41" s="1">
        <f>data!AC59</f>
        <v>0</v>
      </c>
      <c r="F41" s="205" t="str">
        <f t="shared" si="0"/>
        <v/>
      </c>
      <c r="G41" s="205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760</v>
      </c>
      <c r="B42" s="228">
        <f>ROUND(N('Prior Year'!AD85), 0)</f>
        <v>0</v>
      </c>
      <c r="C42" s="228">
        <f>data!AD85</f>
        <v>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761</v>
      </c>
      <c r="B43" s="228">
        <f>ROUND(N('Prior Year'!AE85), 0)</f>
        <v>352442</v>
      </c>
      <c r="C43" s="228">
        <f>data!AE85</f>
        <v>361306.08999999997</v>
      </c>
      <c r="D43" s="228">
        <f>ROUND(N('Prior Year'!AE59), 0)</f>
        <v>0</v>
      </c>
      <c r="E43" s="1">
        <f>data!AE59</f>
        <v>0</v>
      </c>
      <c r="F43" s="205" t="str">
        <f t="shared" si="0"/>
        <v/>
      </c>
      <c r="G43" s="205" t="str">
        <f t="shared" si="4"/>
        <v/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762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763</v>
      </c>
      <c r="B45" s="228">
        <f>ROUND(N('Prior Year'!AG85), 0)</f>
        <v>5059484</v>
      </c>
      <c r="C45" s="228">
        <f>data!AG85</f>
        <v>5381106.2500000009</v>
      </c>
      <c r="D45" s="228">
        <f>ROUND(N('Prior Year'!AG59), 0)</f>
        <v>0</v>
      </c>
      <c r="E45" s="1">
        <f>data!AG59</f>
        <v>0</v>
      </c>
      <c r="F45" s="205" t="str">
        <f t="shared" si="0"/>
        <v/>
      </c>
      <c r="G45" s="205" t="str">
        <f t="shared" si="4"/>
        <v/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764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765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766</v>
      </c>
      <c r="B48" s="228">
        <f>ROUND(N('Prior Year'!AJ85), 0)</f>
        <v>10146130</v>
      </c>
      <c r="C48" s="228">
        <f>data!AJ85</f>
        <v>11977033.18</v>
      </c>
      <c r="D48" s="228">
        <f>ROUND(N('Prior Year'!AJ59), 0)</f>
        <v>0</v>
      </c>
      <c r="E48" s="1">
        <f>data!AJ59</f>
        <v>0</v>
      </c>
      <c r="F48" s="205" t="str">
        <f t="shared" si="0"/>
        <v/>
      </c>
      <c r="G48" s="205" t="str">
        <f t="shared" si="4"/>
        <v/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767</v>
      </c>
      <c r="B49" s="228">
        <f>ROUND(N('Prior Year'!AK85), 0)</f>
        <v>483</v>
      </c>
      <c r="C49" s="228">
        <f>data!AK85</f>
        <v>8848.49</v>
      </c>
      <c r="D49" s="228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4"/>
        <v/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768</v>
      </c>
      <c r="B50" s="228">
        <f>ROUND(N('Prior Year'!AL85), 0)</f>
        <v>35970</v>
      </c>
      <c r="C50" s="228">
        <f>data!AL85</f>
        <v>68346.939999999988</v>
      </c>
      <c r="D50" s="228">
        <f>ROUND(N('Prior Year'!AL59), 0)</f>
        <v>0</v>
      </c>
      <c r="E50" s="1">
        <f>data!AL59</f>
        <v>0</v>
      </c>
      <c r="F50" s="205" t="str">
        <f t="shared" si="0"/>
        <v/>
      </c>
      <c r="G50" s="205" t="str">
        <f t="shared" si="4"/>
        <v/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769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770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771</v>
      </c>
      <c r="B53" s="228">
        <f>ROUND(N('Prior Year'!AO85), 0)</f>
        <v>0</v>
      </c>
      <c r="C53" s="228">
        <f>data!AO85</f>
        <v>0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772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773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774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775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776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777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778</v>
      </c>
      <c r="B60" s="228">
        <f>ROUND(N('Prior Year'!AV85), 0)</f>
        <v>0</v>
      </c>
      <c r="C60" s="228">
        <f>data!AV85</f>
        <v>0</v>
      </c>
      <c r="D60" s="228" t="s">
        <v>749</v>
      </c>
      <c r="E60" s="4" t="s">
        <v>749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779</v>
      </c>
      <c r="B61" s="228">
        <f>ROUND(N('Prior Year'!AW85), 0)</f>
        <v>0</v>
      </c>
      <c r="C61" s="228">
        <f>data!AW85</f>
        <v>0</v>
      </c>
      <c r="D61" s="228" t="s">
        <v>749</v>
      </c>
      <c r="E61" s="4" t="s">
        <v>749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780</v>
      </c>
      <c r="B62" s="228">
        <f>ROUND(N('Prior Year'!AX85), 0)</f>
        <v>0</v>
      </c>
      <c r="C62" s="228">
        <f>data!AX85</f>
        <v>0</v>
      </c>
      <c r="D62" s="228" t="s">
        <v>749</v>
      </c>
      <c r="E62" s="4" t="s">
        <v>749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781</v>
      </c>
      <c r="B63" s="228">
        <f>ROUND(N('Prior Year'!AY85), 0)</f>
        <v>815084</v>
      </c>
      <c r="C63" s="228">
        <f>data!AY85</f>
        <v>772119.47999999986</v>
      </c>
      <c r="D63" s="228">
        <f>ROUND(N('Prior Year'!AY59), 0)</f>
        <v>26313</v>
      </c>
      <c r="E63" s="1">
        <f>data!AY59</f>
        <v>0</v>
      </c>
      <c r="F63" s="205">
        <f>IF(B63=0,"",IF(D63=0,"",B63/D63))</f>
        <v>30.976475506403681</v>
      </c>
      <c r="G63" s="205" t="str">
        <f t="shared" si="4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7"/>
        <v/>
      </c>
      <c r="M63" s="7"/>
    </row>
    <row r="64" spans="1:13" x14ac:dyDescent="0.25">
      <c r="A64" s="1" t="s">
        <v>782</v>
      </c>
      <c r="B64" s="228">
        <f>ROUND(N('Prior Year'!AZ85), 0)</f>
        <v>0</v>
      </c>
      <c r="C64" s="228">
        <f>data!AZ85</f>
        <v>0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783</v>
      </c>
      <c r="B65" s="228">
        <f>ROUND(N('Prior Year'!BA85), 0)</f>
        <v>0</v>
      </c>
      <c r="C65" s="228">
        <f>data!BA85</f>
        <v>0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784</v>
      </c>
      <c r="B66" s="228">
        <f>ROUND(N('Prior Year'!BB85), 0)</f>
        <v>0</v>
      </c>
      <c r="C66" s="228">
        <f>data!BB85</f>
        <v>0</v>
      </c>
      <c r="D66" s="228" t="s">
        <v>749</v>
      </c>
      <c r="E66" s="4" t="s">
        <v>749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785</v>
      </c>
      <c r="B67" s="228">
        <f>ROUND(N('Prior Year'!BC85), 0)</f>
        <v>0</v>
      </c>
      <c r="C67" s="228">
        <f>data!BC85</f>
        <v>0</v>
      </c>
      <c r="D67" s="228" t="s">
        <v>749</v>
      </c>
      <c r="E67" s="4" t="s">
        <v>749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786</v>
      </c>
      <c r="B68" s="228">
        <f>ROUND(N('Prior Year'!BD85), 0)</f>
        <v>155944</v>
      </c>
      <c r="C68" s="228">
        <f>data!BD85</f>
        <v>130718.76</v>
      </c>
      <c r="D68" s="228" t="s">
        <v>749</v>
      </c>
      <c r="E68" s="4" t="s">
        <v>749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787</v>
      </c>
      <c r="B69" s="228">
        <f>ROUND(N('Prior Year'!BE85), 0)</f>
        <v>1061764</v>
      </c>
      <c r="C69" s="228">
        <f>data!BE85</f>
        <v>1028973.43</v>
      </c>
      <c r="D69" s="228">
        <f>ROUND(N('Prior Year'!BE59), 0)</f>
        <v>70083</v>
      </c>
      <c r="E69" s="1">
        <f>data!BE59</f>
        <v>71201</v>
      </c>
      <c r="F69" s="205">
        <f>IF(B69=0,"",IF(D69=0,"",B69/D69))</f>
        <v>15.150093460610989</v>
      </c>
      <c r="G69" s="205">
        <f t="shared" si="4"/>
        <v>14.451671043946012</v>
      </c>
      <c r="H69" s="6" t="str">
        <f>IF(B69 = 0, "", IF(C69 = 0, "", IF(D69 = 0, "", IF(E69 = 0, "", IF(G69 / F69 - 1 &lt; -0.25, G69 / F69 - 1, IF(G69 / F69 - 1 &gt; 0.25, G69 / F69 - 1, ""))))))</f>
        <v/>
      </c>
      <c r="I69" s="228" t="str">
        <f t="shared" si="7"/>
        <v/>
      </c>
      <c r="M69" s="7"/>
    </row>
    <row r="70" spans="1:13" x14ac:dyDescent="0.25">
      <c r="A70" s="1" t="s">
        <v>788</v>
      </c>
      <c r="B70" s="228">
        <f>ROUND(N('Prior Year'!BF85), 0)</f>
        <v>753450</v>
      </c>
      <c r="C70" s="228">
        <f>data!BF85</f>
        <v>800240.03</v>
      </c>
      <c r="D70" s="228" t="s">
        <v>749</v>
      </c>
      <c r="E70" s="4" t="s">
        <v>749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789</v>
      </c>
      <c r="B71" s="228">
        <f>ROUND(N('Prior Year'!BG85), 0)</f>
        <v>39486</v>
      </c>
      <c r="C71" s="228">
        <f>data!BG85</f>
        <v>47299.33</v>
      </c>
      <c r="D71" s="228" t="s">
        <v>749</v>
      </c>
      <c r="E71" s="4" t="s">
        <v>749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790</v>
      </c>
      <c r="B72" s="228">
        <f>ROUND(N('Prior Year'!BH85), 0)</f>
        <v>581343</v>
      </c>
      <c r="C72" s="228">
        <f>data!BH85</f>
        <v>434564.81</v>
      </c>
      <c r="D72" s="228" t="s">
        <v>749</v>
      </c>
      <c r="E72" s="4" t="s">
        <v>749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791</v>
      </c>
      <c r="B73" s="228">
        <f>ROUND(N('Prior Year'!BI85), 0)</f>
        <v>0</v>
      </c>
      <c r="C73" s="228">
        <f>data!BI85</f>
        <v>0</v>
      </c>
      <c r="D73" s="228" t="s">
        <v>749</v>
      </c>
      <c r="E73" s="4" t="s">
        <v>749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792</v>
      </c>
      <c r="B74" s="228">
        <f>ROUND(N('Prior Year'!BJ85), 0)</f>
        <v>147692</v>
      </c>
      <c r="C74" s="228">
        <f>data!BJ85</f>
        <v>122917.48</v>
      </c>
      <c r="D74" s="228" t="s">
        <v>749</v>
      </c>
      <c r="E74" s="4" t="s">
        <v>749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793</v>
      </c>
      <c r="B75" s="228">
        <f>ROUND(N('Prior Year'!BK85), 0)</f>
        <v>0</v>
      </c>
      <c r="C75" s="228">
        <f>data!BK85</f>
        <v>744.92</v>
      </c>
      <c r="D75" s="228" t="s">
        <v>749</v>
      </c>
      <c r="E75" s="4" t="s">
        <v>749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794</v>
      </c>
      <c r="B76" s="228">
        <f>ROUND(N('Prior Year'!BL85), 0)</f>
        <v>730038</v>
      </c>
      <c r="C76" s="228">
        <f>data!BL85</f>
        <v>795294.6</v>
      </c>
      <c r="D76" s="228" t="s">
        <v>749</v>
      </c>
      <c r="E76" s="4" t="s">
        <v>749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795</v>
      </c>
      <c r="B77" s="228">
        <f>ROUND(N('Prior Year'!BM85), 0)</f>
        <v>0</v>
      </c>
      <c r="C77" s="228">
        <f>data!BM85</f>
        <v>0</v>
      </c>
      <c r="D77" s="228" t="s">
        <v>749</v>
      </c>
      <c r="E77" s="4" t="s">
        <v>749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796</v>
      </c>
      <c r="B78" s="228">
        <f>ROUND(N('Prior Year'!BN85), 0)</f>
        <v>11712127</v>
      </c>
      <c r="C78" s="228">
        <f>data!BN85</f>
        <v>12297974.58</v>
      </c>
      <c r="D78" s="228" t="s">
        <v>749</v>
      </c>
      <c r="E78" s="4" t="s">
        <v>749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797</v>
      </c>
      <c r="B79" s="228">
        <f>ROUND(N('Prior Year'!BO85), 0)</f>
        <v>291</v>
      </c>
      <c r="C79" s="228">
        <f>data!BO85</f>
        <v>527.5</v>
      </c>
      <c r="D79" s="228" t="s">
        <v>749</v>
      </c>
      <c r="E79" s="4" t="s">
        <v>749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798</v>
      </c>
      <c r="B80" s="228">
        <f>ROUND(N('Prior Year'!BP85), 0)</f>
        <v>2106</v>
      </c>
      <c r="C80" s="228">
        <f>data!BP85</f>
        <v>0</v>
      </c>
      <c r="D80" s="228" t="s">
        <v>749</v>
      </c>
      <c r="E80" s="4" t="s">
        <v>749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799</v>
      </c>
      <c r="B81" s="228">
        <f>ROUND(N('Prior Year'!BQ85), 0)</f>
        <v>0</v>
      </c>
      <c r="C81" s="228">
        <f>data!BQ85</f>
        <v>0</v>
      </c>
      <c r="D81" s="228" t="s">
        <v>749</v>
      </c>
      <c r="E81" s="4" t="s">
        <v>749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800</v>
      </c>
      <c r="B82" s="228">
        <f>ROUND(N('Prior Year'!BR85), 0)</f>
        <v>41138</v>
      </c>
      <c r="C82" s="228">
        <f>data!BR85</f>
        <v>28826.25</v>
      </c>
      <c r="D82" s="228" t="s">
        <v>749</v>
      </c>
      <c r="E82" s="4" t="s">
        <v>749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801</v>
      </c>
      <c r="B83" s="228">
        <f>ROUND(N('Prior Year'!BS85), 0)</f>
        <v>0</v>
      </c>
      <c r="C83" s="228">
        <f>data!BS85</f>
        <v>0</v>
      </c>
      <c r="D83" s="228" t="s">
        <v>749</v>
      </c>
      <c r="E83" s="4" t="s">
        <v>749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802</v>
      </c>
      <c r="B84" s="228">
        <f>ROUND(N('Prior Year'!BT85), 0)</f>
        <v>0</v>
      </c>
      <c r="C84" s="228">
        <f>data!BT85</f>
        <v>0</v>
      </c>
      <c r="D84" s="228" t="s">
        <v>749</v>
      </c>
      <c r="E84" s="4" t="s">
        <v>749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803</v>
      </c>
      <c r="B85" s="228">
        <f>ROUND(N('Prior Year'!BU85), 0)</f>
        <v>0</v>
      </c>
      <c r="C85" s="228">
        <f>data!BU85</f>
        <v>0</v>
      </c>
      <c r="D85" s="228" t="s">
        <v>749</v>
      </c>
      <c r="E85" s="4" t="s">
        <v>749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804</v>
      </c>
      <c r="B86" s="228">
        <f>ROUND(N('Prior Year'!BV85), 0)</f>
        <v>365806</v>
      </c>
      <c r="C86" s="228">
        <f>data!BV85</f>
        <v>64464.899999999994</v>
      </c>
      <c r="D86" s="228" t="s">
        <v>749</v>
      </c>
      <c r="E86" s="4" t="s">
        <v>749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805</v>
      </c>
      <c r="B87" s="228">
        <f>ROUND(N('Prior Year'!BW85), 0)</f>
        <v>344544</v>
      </c>
      <c r="C87" s="228">
        <f>data!BW85</f>
        <v>2344801.38</v>
      </c>
      <c r="D87" s="228" t="s">
        <v>749</v>
      </c>
      <c r="E87" s="4" t="s">
        <v>749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806</v>
      </c>
      <c r="B88" s="228">
        <f>ROUND(N('Prior Year'!BX85), 0)</f>
        <v>423283</v>
      </c>
      <c r="C88" s="228">
        <f>data!BX85</f>
        <v>246655.27000000002</v>
      </c>
      <c r="D88" s="228" t="s">
        <v>749</v>
      </c>
      <c r="E88" s="4" t="s">
        <v>749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807</v>
      </c>
      <c r="B89" s="228">
        <f>ROUND(N('Prior Year'!BY85), 0)</f>
        <v>1210718</v>
      </c>
      <c r="C89" s="228">
        <f>data!BY85</f>
        <v>1123215.1299999999</v>
      </c>
      <c r="D89" s="228" t="s">
        <v>749</v>
      </c>
      <c r="E89" s="4" t="s">
        <v>749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808</v>
      </c>
      <c r="B90" s="228">
        <f>ROUND(N('Prior Year'!BZ85), 0)</f>
        <v>0</v>
      </c>
      <c r="C90" s="228">
        <f>data!BZ85</f>
        <v>0</v>
      </c>
      <c r="D90" s="228" t="s">
        <v>749</v>
      </c>
      <c r="E90" s="4" t="s">
        <v>749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809</v>
      </c>
      <c r="B91" s="228">
        <f>ROUND(N('Prior Year'!CA85), 0)</f>
        <v>0</v>
      </c>
      <c r="C91" s="228">
        <f>data!CA85</f>
        <v>3465.9300000000003</v>
      </c>
      <c r="D91" s="228" t="s">
        <v>749</v>
      </c>
      <c r="E91" s="4" t="s">
        <v>749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810</v>
      </c>
      <c r="B92" s="228">
        <f>ROUND(N('Prior Year'!CB85), 0)</f>
        <v>0</v>
      </c>
      <c r="C92" s="228">
        <f>data!CB85</f>
        <v>0</v>
      </c>
      <c r="D92" s="228" t="s">
        <v>749</v>
      </c>
      <c r="E92" s="4" t="s">
        <v>749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811</v>
      </c>
      <c r="B93" s="228">
        <f>ROUND(N('Prior Year'!CC85), 0)</f>
        <v>3775570</v>
      </c>
      <c r="C93" s="228">
        <f>data!CC85</f>
        <v>2913477.15</v>
      </c>
      <c r="D93" s="228" t="s">
        <v>749</v>
      </c>
      <c r="E93" s="4" t="s">
        <v>749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812</v>
      </c>
      <c r="B94" s="228">
        <f>ROUND(N('Prior Year'!CD85), 0)</f>
        <v>0</v>
      </c>
      <c r="C94" s="228">
        <f>data!CD85</f>
        <v>0</v>
      </c>
      <c r="D94" s="228" t="s">
        <v>749</v>
      </c>
      <c r="E94" s="4" t="s">
        <v>749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sheetProtection algorithmName="SHA-512" hashValue="t2sBi92304bcwDLJ/uPZZqqTYOp0KP7P2LLK6/C/3Vi+RHI4/WasBtOyKxyQ7MNqYIO4iG7s2YLejg5vPrdRMA==" saltValue="439tKJYOmj2MIYm2jo5Sow==" spinCount="100000" sheet="1" objects="1" scenarios="1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workbookViewId="0">
      <selection activeCell="D21" sqref="D21"/>
    </sheetView>
  </sheetViews>
  <sheetFormatPr defaultRowHeight="15" x14ac:dyDescent="0.2"/>
  <sheetData>
    <row r="1" spans="1:4" ht="15.75" x14ac:dyDescent="0.25">
      <c r="A1" s="268" t="s">
        <v>813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814</v>
      </c>
      <c r="B3" s="267"/>
      <c r="C3" s="267"/>
      <c r="D3" s="267"/>
    </row>
    <row r="4" spans="1:4" ht="15.75" x14ac:dyDescent="0.25">
      <c r="A4" s="267" t="s">
        <v>815</v>
      </c>
      <c r="B4" s="267"/>
      <c r="C4" s="267"/>
      <c r="D4" s="267"/>
    </row>
    <row r="5" spans="1:4" ht="15.75" x14ac:dyDescent="0.25">
      <c r="A5" s="1" t="s">
        <v>816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817</v>
      </c>
      <c r="B7" s="267"/>
      <c r="C7" s="267"/>
      <c r="D7" s="267"/>
    </row>
    <row r="8" spans="1:4" ht="15.75" x14ac:dyDescent="0.25">
      <c r="A8" s="309" t="s">
        <v>818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819</v>
      </c>
      <c r="B11" s="267"/>
      <c r="C11" s="267"/>
      <c r="D11" s="267">
        <f>N(data!C380)</f>
        <v>1054178</v>
      </c>
    </row>
    <row r="12" spans="1:4" ht="15.75" x14ac:dyDescent="0.25">
      <c r="A12" s="269" t="s">
        <v>820</v>
      </c>
      <c r="B12" s="267"/>
      <c r="C12" s="267"/>
      <c r="D12" s="267" t="str">
        <f>IF(OR(N(data!C380) &gt; 1000000, N(data!C380) / (N(data!D360) + N(data!D383)) &gt; 0.01), "Yes", "No")</f>
        <v>Yes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821</v>
      </c>
      <c r="B14" s="267"/>
      <c r="C14" s="267"/>
      <c r="D14" s="269" t="s">
        <v>822</v>
      </c>
    </row>
    <row r="15" spans="1:4" ht="15.75" x14ac:dyDescent="0.25">
      <c r="A15" s="1" t="s">
        <v>1370</v>
      </c>
      <c r="B15" s="267"/>
      <c r="C15" s="267"/>
      <c r="D15" s="267">
        <v>11.7</v>
      </c>
    </row>
    <row r="16" spans="1:4" ht="15.75" x14ac:dyDescent="0.25">
      <c r="A16" s="1" t="s">
        <v>1371</v>
      </c>
      <c r="B16" s="267"/>
      <c r="C16" s="267"/>
      <c r="D16" s="267">
        <v>1511.71</v>
      </c>
    </row>
    <row r="17" spans="1:4" ht="15.75" x14ac:dyDescent="0.25">
      <c r="A17" s="1" t="s">
        <v>1373</v>
      </c>
      <c r="B17" s="267"/>
      <c r="C17" s="267"/>
      <c r="D17" s="267">
        <v>2273.1</v>
      </c>
    </row>
    <row r="18" spans="1:4" ht="15.75" x14ac:dyDescent="0.25">
      <c r="A18" s="1" t="s">
        <v>1374</v>
      </c>
      <c r="B18" s="267"/>
      <c r="C18" s="267"/>
      <c r="D18" s="267">
        <v>367.95</v>
      </c>
    </row>
    <row r="19" spans="1:4" ht="15.75" x14ac:dyDescent="0.25">
      <c r="A19" s="1" t="s">
        <v>1375</v>
      </c>
      <c r="B19" s="267"/>
      <c r="C19" s="267"/>
      <c r="D19" s="267">
        <v>13.34</v>
      </c>
    </row>
    <row r="20" spans="1:4" ht="15.75" x14ac:dyDescent="0.25">
      <c r="A20" s="1" t="s">
        <v>1372</v>
      </c>
      <c r="B20" s="267"/>
      <c r="C20" s="267"/>
      <c r="D20" s="267">
        <v>1050000</v>
      </c>
    </row>
    <row r="21" spans="1:4" ht="15.75" x14ac:dyDescent="0.25">
      <c r="A21" s="267" t="s">
        <v>823</v>
      </c>
      <c r="B21" s="267"/>
      <c r="C21" s="267"/>
      <c r="D21" s="267"/>
    </row>
    <row r="22" spans="1:4" ht="15.75" x14ac:dyDescent="0.25">
      <c r="A22" s="267"/>
      <c r="B22" s="267"/>
      <c r="C22" s="267"/>
      <c r="D22" s="267"/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824</v>
      </c>
      <c r="B25" s="267"/>
      <c r="C25" s="267"/>
      <c r="D25" s="267">
        <f>N(data!C414)</f>
        <v>368913.12</v>
      </c>
    </row>
    <row r="26" spans="1:4" ht="15.75" x14ac:dyDescent="0.25">
      <c r="A26" s="269" t="s">
        <v>820</v>
      </c>
      <c r="B26" s="267"/>
      <c r="C26" s="267"/>
      <c r="D26" s="267" t="str">
        <f>IF(OR(N(data!C414)&gt;1000000,N(data!C414)/(N(data!D416))&gt;0.01),"Yes","No")</f>
        <v>No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821</v>
      </c>
      <c r="B28" s="267"/>
      <c r="C28" s="267"/>
      <c r="D28" s="269" t="s">
        <v>822</v>
      </c>
    </row>
    <row r="29" spans="1:4" ht="15.75" x14ac:dyDescent="0.25">
      <c r="A29" s="267" t="s">
        <v>825</v>
      </c>
      <c r="B29" s="267"/>
      <c r="C29" s="267"/>
      <c r="D29" s="267"/>
    </row>
    <row r="30" spans="1:4" ht="15.75" x14ac:dyDescent="0.25">
      <c r="A30" s="267" t="s">
        <v>825</v>
      </c>
      <c r="B30" s="267"/>
      <c r="C30" s="267"/>
      <c r="D30" s="267"/>
    </row>
    <row r="31" spans="1:4" ht="15.75" x14ac:dyDescent="0.25">
      <c r="A31" s="267" t="s">
        <v>825</v>
      </c>
      <c r="B31" s="267"/>
      <c r="C31" s="267"/>
      <c r="D31" s="267"/>
    </row>
    <row r="32" spans="1:4" ht="15.75" x14ac:dyDescent="0.25">
      <c r="A32" s="267" t="s">
        <v>825</v>
      </c>
      <c r="B32" s="267"/>
      <c r="C32" s="267"/>
      <c r="D32" s="267"/>
    </row>
    <row r="33" spans="1:4" ht="15.75" x14ac:dyDescent="0.25">
      <c r="A33" s="267" t="s">
        <v>825</v>
      </c>
      <c r="B33" s="267"/>
      <c r="C33" s="267"/>
      <c r="D33" s="267"/>
    </row>
    <row r="34" spans="1:4" ht="15.75" x14ac:dyDescent="0.25">
      <c r="A34" s="267" t="s">
        <v>825</v>
      </c>
      <c r="B34" s="267"/>
      <c r="C34" s="267"/>
      <c r="D34" s="267"/>
    </row>
    <row r="35" spans="1:4" ht="15.75" x14ac:dyDescent="0.25">
      <c r="A35" s="267" t="s">
        <v>825</v>
      </c>
      <c r="B35" s="267"/>
      <c r="C35" s="267"/>
      <c r="D35" s="267"/>
    </row>
    <row r="36" spans="1:4" ht="15.75" x14ac:dyDescent="0.25">
      <c r="A36" s="267"/>
      <c r="B36" s="267"/>
      <c r="C36" s="267"/>
      <c r="D36" s="267"/>
    </row>
  </sheetData>
  <sheetProtection algorithmName="SHA-512" hashValue="8a7HciNdS3g1Z/gyr73qpW2CMs14wWQ/yhBG0ABAj71UJnLB74ssIxGda1pJAmtd4mjX90tLZsrw54323pK8HA==" saltValue="g1+gouU25R+gD2Pgwwtgs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826</v>
      </c>
    </row>
    <row r="2" spans="1:7" ht="20.100000000000001" customHeight="1" x14ac:dyDescent="0.25">
      <c r="A2" s="62" t="s">
        <v>827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H-199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ASTRIA TOPPENISH HOSPITAL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"&amp;data!C103</f>
        <v xml:space="preserve">  Yakima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828</v>
      </c>
      <c r="C7" s="67"/>
      <c r="D7" s="64" t="str">
        <f>"  "&amp;data!C104</f>
        <v xml:space="preserve">  Cathy Bambrick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829</v>
      </c>
      <c r="C8" s="67"/>
      <c r="D8" s="64" t="str">
        <f>"  "&amp;data!C105</f>
        <v xml:space="preserve">  Matthew Matthiessen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830</v>
      </c>
      <c r="C9" s="67"/>
      <c r="D9" s="64" t="str">
        <f>"  "&amp;data!C106</f>
        <v xml:space="preserve">  Bertha Ortega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831</v>
      </c>
      <c r="C10" s="67"/>
      <c r="D10" s="64" t="str">
        <f>"  "&amp;data!C107</f>
        <v xml:space="preserve">  509-865-3105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832</v>
      </c>
      <c r="C11" s="67"/>
      <c r="D11" s="64" t="str">
        <f>"  "&amp;data!C108</f>
        <v xml:space="preserve">  509-865-1519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833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322</v>
      </c>
      <c r="B15" s="74"/>
      <c r="C15" s="75" t="s">
        <v>324</v>
      </c>
      <c r="D15" s="74"/>
      <c r="E15" s="75" t="s">
        <v>326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834</v>
      </c>
      <c r="E16" s="229" t="str">
        <f>IF(data!C120&gt;0," X","")</f>
        <v/>
      </c>
      <c r="F16" s="81" t="s">
        <v>327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310</v>
      </c>
      <c r="C17" s="79" t="str">
        <f>IF(data!C118&gt;0," X","")</f>
        <v xml:space="preserve"> X</v>
      </c>
      <c r="D17" s="80" t="s">
        <v>407</v>
      </c>
      <c r="E17" s="229" t="str">
        <f>IF(data!C121&gt;0," X","")</f>
        <v/>
      </c>
      <c r="F17" s="81" t="s">
        <v>328</v>
      </c>
      <c r="G17" s="67"/>
    </row>
    <row r="18" spans="1:7" ht="20.100000000000001" customHeight="1" x14ac:dyDescent="0.25">
      <c r="A18" s="63"/>
      <c r="B18" s="67" t="s">
        <v>835</v>
      </c>
      <c r="C18" s="67"/>
      <c r="D18" s="67"/>
      <c r="E18" s="229" t="str">
        <f>IF(data!C122&gt;0," X","")</f>
        <v/>
      </c>
      <c r="F18" s="81" t="s">
        <v>329</v>
      </c>
      <c r="G18" s="67"/>
    </row>
    <row r="19" spans="1:7" ht="20.100000000000001" customHeight="1" x14ac:dyDescent="0.25">
      <c r="A19" s="78" t="str">
        <f>IF(data!C115&gt;0," X","")</f>
        <v/>
      </c>
      <c r="B19" s="80" t="s">
        <v>836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837</v>
      </c>
      <c r="C22" s="64"/>
      <c r="D22" s="64"/>
      <c r="E22" s="64"/>
      <c r="F22" s="78" t="s">
        <v>332</v>
      </c>
      <c r="G22" s="79" t="s">
        <v>241</v>
      </c>
    </row>
    <row r="23" spans="1:7" ht="20.100000000000001" customHeight="1" x14ac:dyDescent="0.25">
      <c r="A23" s="63"/>
      <c r="B23" s="64" t="s">
        <v>838</v>
      </c>
      <c r="C23" s="64"/>
      <c r="D23" s="64"/>
      <c r="E23" s="64"/>
      <c r="F23" s="63">
        <f>data!C127</f>
        <v>552</v>
      </c>
      <c r="G23" s="67">
        <f>data!D127</f>
        <v>7073</v>
      </c>
    </row>
    <row r="24" spans="1:7" ht="20.100000000000001" customHeight="1" x14ac:dyDescent="0.25">
      <c r="A24" s="63"/>
      <c r="B24" s="64" t="s">
        <v>839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840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336</v>
      </c>
      <c r="C26" s="64"/>
      <c r="D26" s="64"/>
      <c r="E26" s="64"/>
      <c r="F26" s="63">
        <f>data!C130</f>
        <v>0</v>
      </c>
      <c r="G26" s="67">
        <f>data!D130</f>
        <v>0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841</v>
      </c>
      <c r="C29" s="67"/>
      <c r="D29" s="79" t="s">
        <v>193</v>
      </c>
      <c r="E29" s="83" t="s">
        <v>841</v>
      </c>
      <c r="F29" s="67"/>
      <c r="G29" s="79" t="s">
        <v>193</v>
      </c>
    </row>
    <row r="30" spans="1:7" ht="20.100000000000001" customHeight="1" x14ac:dyDescent="0.25">
      <c r="A30" s="63"/>
      <c r="B30" s="64" t="s">
        <v>338</v>
      </c>
      <c r="C30" s="67"/>
      <c r="D30" s="67">
        <f>data!C132</f>
        <v>0</v>
      </c>
      <c r="E30" s="64" t="s">
        <v>344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842</v>
      </c>
      <c r="C31" s="67"/>
      <c r="D31" s="67">
        <f>data!C133</f>
        <v>0</v>
      </c>
      <c r="E31" s="64" t="s">
        <v>345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843</v>
      </c>
      <c r="C32" s="67"/>
      <c r="D32" s="67">
        <f>data!C134</f>
        <v>18</v>
      </c>
      <c r="E32" s="64" t="s">
        <v>844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845</v>
      </c>
      <c r="C33" s="67"/>
      <c r="D33" s="67">
        <f>data!C135</f>
        <v>0</v>
      </c>
      <c r="E33" s="64" t="s">
        <v>846</v>
      </c>
      <c r="F33" s="67"/>
      <c r="G33" s="67">
        <f>data!C142</f>
        <v>10</v>
      </c>
    </row>
    <row r="34" spans="1:7" ht="20.100000000000001" customHeight="1" x14ac:dyDescent="0.25">
      <c r="A34" s="63"/>
      <c r="B34" s="83" t="s">
        <v>847</v>
      </c>
      <c r="C34" s="67"/>
      <c r="D34" s="67">
        <f>data!C136</f>
        <v>12</v>
      </c>
      <c r="E34" s="64" t="s">
        <v>347</v>
      </c>
      <c r="F34" s="67"/>
      <c r="G34" s="67">
        <f>data!E143</f>
        <v>55</v>
      </c>
    </row>
    <row r="35" spans="1:7" ht="20.100000000000001" customHeight="1" x14ac:dyDescent="0.25">
      <c r="A35" s="63"/>
      <c r="B35" s="83" t="s">
        <v>848</v>
      </c>
      <c r="C35" s="67"/>
      <c r="D35" s="67">
        <f>data!C137</f>
        <v>0</v>
      </c>
      <c r="E35" s="64" t="s">
        <v>849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15</v>
      </c>
      <c r="E36" s="64" t="s">
        <v>348</v>
      </c>
      <c r="F36" s="67"/>
      <c r="G36" s="67">
        <f>data!C144</f>
        <v>78</v>
      </c>
    </row>
    <row r="37" spans="1:7" ht="20.100000000000001" customHeight="1" x14ac:dyDescent="0.25">
      <c r="A37" s="63"/>
      <c r="E37" s="64" t="s">
        <v>349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344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850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851</v>
      </c>
      <c r="G1" s="61" t="s">
        <v>852</v>
      </c>
    </row>
    <row r="2" spans="1:7" ht="20.100000000000001" customHeight="1" x14ac:dyDescent="0.25">
      <c r="A2" s="1" t="str">
        <f>"Hospital: "&amp;data!C98</f>
        <v>Hospital: ASTRIA TOPPENISH HOSPITAL</v>
      </c>
      <c r="G2" s="4" t="s">
        <v>853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854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855</v>
      </c>
      <c r="C5" s="74"/>
      <c r="D5" s="74"/>
      <c r="E5" s="125" t="s">
        <v>359</v>
      </c>
      <c r="F5" s="74"/>
      <c r="G5" s="74"/>
    </row>
    <row r="6" spans="1:7" ht="20.100000000000001" customHeight="1" x14ac:dyDescent="0.25">
      <c r="A6" s="126" t="s">
        <v>856</v>
      </c>
      <c r="B6" s="79" t="s">
        <v>332</v>
      </c>
      <c r="C6" s="79" t="s">
        <v>857</v>
      </c>
      <c r="D6" s="79" t="s">
        <v>355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353</v>
      </c>
      <c r="B7" s="127">
        <f>data!B154</f>
        <v>216</v>
      </c>
      <c r="C7" s="127">
        <f>data!B155</f>
        <v>3189</v>
      </c>
      <c r="D7" s="127">
        <f>data!B156</f>
        <v>44832.807795820714</v>
      </c>
      <c r="E7" s="127">
        <f>data!B157</f>
        <v>16847845.870000001</v>
      </c>
      <c r="F7" s="127">
        <f>data!B158</f>
        <v>41689773.960000001</v>
      </c>
      <c r="G7" s="127">
        <f>data!B157+data!B158</f>
        <v>58537619.829999998</v>
      </c>
    </row>
    <row r="8" spans="1:7" ht="20.100000000000001" customHeight="1" x14ac:dyDescent="0.25">
      <c r="A8" s="63" t="s">
        <v>354</v>
      </c>
      <c r="B8" s="127">
        <f>data!C154</f>
        <v>239</v>
      </c>
      <c r="C8" s="127">
        <f>data!C155</f>
        <v>3540</v>
      </c>
      <c r="D8" s="127">
        <f>data!C156</f>
        <v>44201.335486901633</v>
      </c>
      <c r="E8" s="127">
        <f>data!C157</f>
        <v>16610543.130000001</v>
      </c>
      <c r="F8" s="127">
        <f>data!C158</f>
        <v>54973195.369999997</v>
      </c>
      <c r="G8" s="127">
        <f>data!C157+data!C158</f>
        <v>71583738.5</v>
      </c>
    </row>
    <row r="9" spans="1:7" ht="20.100000000000001" customHeight="1" x14ac:dyDescent="0.25">
      <c r="A9" s="63" t="s">
        <v>858</v>
      </c>
      <c r="B9" s="127">
        <f>data!D154</f>
        <v>97</v>
      </c>
      <c r="C9" s="127">
        <f>data!D155</f>
        <v>344</v>
      </c>
      <c r="D9" s="127">
        <f>data!D156</f>
        <v>18360.856717277664</v>
      </c>
      <c r="E9" s="127">
        <f>data!D157</f>
        <v>6899877.5499999998</v>
      </c>
      <c r="F9" s="127">
        <f>data!D158</f>
        <v>64299873.390000001</v>
      </c>
      <c r="G9" s="127">
        <f>data!D157+data!D158</f>
        <v>71199750.939999998</v>
      </c>
    </row>
    <row r="10" spans="1:7" ht="20.100000000000001" customHeight="1" x14ac:dyDescent="0.25">
      <c r="A10" s="78" t="s">
        <v>229</v>
      </c>
      <c r="B10" s="127">
        <f>data!E154</f>
        <v>552</v>
      </c>
      <c r="C10" s="127">
        <f>data!E155</f>
        <v>7073</v>
      </c>
      <c r="D10" s="127">
        <f>data!E156</f>
        <v>107395.00000000001</v>
      </c>
      <c r="E10" s="127">
        <f>data!E157</f>
        <v>40358266.549999997</v>
      </c>
      <c r="F10" s="127">
        <f>data!E158</f>
        <v>160962842.72</v>
      </c>
      <c r="G10" s="127">
        <f>E10+F10</f>
        <v>201321109.26999998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859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855</v>
      </c>
      <c r="C14" s="133"/>
      <c r="D14" s="133"/>
      <c r="E14" s="133" t="s">
        <v>359</v>
      </c>
      <c r="F14" s="133"/>
      <c r="G14" s="133"/>
    </row>
    <row r="15" spans="1:7" ht="20.100000000000001" customHeight="1" x14ac:dyDescent="0.25">
      <c r="A15" s="126" t="s">
        <v>856</v>
      </c>
      <c r="B15" s="79" t="s">
        <v>332</v>
      </c>
      <c r="C15" s="79" t="s">
        <v>857</v>
      </c>
      <c r="D15" s="79" t="s">
        <v>355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353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354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858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229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860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855</v>
      </c>
      <c r="C23" s="74"/>
      <c r="D23" s="74"/>
      <c r="E23" s="74" t="s">
        <v>359</v>
      </c>
      <c r="F23" s="74"/>
      <c r="G23" s="74"/>
    </row>
    <row r="24" spans="1:7" ht="20.100000000000001" customHeight="1" x14ac:dyDescent="0.25">
      <c r="A24" s="126" t="s">
        <v>856</v>
      </c>
      <c r="B24" s="79" t="s">
        <v>332</v>
      </c>
      <c r="C24" s="79" t="s">
        <v>857</v>
      </c>
      <c r="D24" s="79" t="s">
        <v>355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353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354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858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861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862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863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362</v>
      </c>
      <c r="B1" s="62"/>
      <c r="C1" s="61" t="s">
        <v>864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ASTRIA TOPPENISH HOSPITAL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363</v>
      </c>
      <c r="C5" s="123"/>
    </row>
    <row r="6" spans="1:3" ht="20.100000000000001" customHeight="1" x14ac:dyDescent="0.25">
      <c r="A6" s="143">
        <v>2</v>
      </c>
      <c r="B6" s="64" t="s">
        <v>865</v>
      </c>
      <c r="C6" s="63">
        <f>data!C181</f>
        <v>1539481</v>
      </c>
    </row>
    <row r="7" spans="1:3" ht="20.100000000000001" customHeight="1" x14ac:dyDescent="0.25">
      <c r="A7" s="144">
        <v>3</v>
      </c>
      <c r="B7" s="83" t="s">
        <v>365</v>
      </c>
      <c r="C7" s="63">
        <f>data!C182</f>
        <v>169713</v>
      </c>
    </row>
    <row r="8" spans="1:3" ht="20.100000000000001" customHeight="1" x14ac:dyDescent="0.25">
      <c r="A8" s="144">
        <v>4</v>
      </c>
      <c r="B8" s="64" t="s">
        <v>366</v>
      </c>
      <c r="C8" s="63">
        <f>data!C183</f>
        <v>228196</v>
      </c>
    </row>
    <row r="9" spans="1:3" ht="20.100000000000001" customHeight="1" x14ac:dyDescent="0.25">
      <c r="A9" s="144">
        <v>5</v>
      </c>
      <c r="B9" s="64" t="s">
        <v>367</v>
      </c>
      <c r="C9" s="63">
        <f>data!C184</f>
        <v>2351523</v>
      </c>
    </row>
    <row r="10" spans="1:3" ht="20.100000000000001" customHeight="1" x14ac:dyDescent="0.25">
      <c r="A10" s="144">
        <v>6</v>
      </c>
      <c r="B10" s="64" t="s">
        <v>368</v>
      </c>
      <c r="C10" s="63">
        <f>data!C185</f>
        <v>0</v>
      </c>
    </row>
    <row r="11" spans="1:3" ht="20.100000000000001" customHeight="1" x14ac:dyDescent="0.25">
      <c r="A11" s="144">
        <v>7</v>
      </c>
      <c r="B11" s="64" t="s">
        <v>369</v>
      </c>
      <c r="C11" s="63">
        <f>data!C186</f>
        <v>691670</v>
      </c>
    </row>
    <row r="12" spans="1:3" ht="20.100000000000001" customHeight="1" x14ac:dyDescent="0.25">
      <c r="A12" s="144">
        <v>8</v>
      </c>
      <c r="B12" s="64" t="s">
        <v>370</v>
      </c>
      <c r="C12" s="63">
        <f>data!C187</f>
        <v>0</v>
      </c>
    </row>
    <row r="13" spans="1:3" ht="20.100000000000001" customHeight="1" x14ac:dyDescent="0.25">
      <c r="A13" s="144">
        <v>9</v>
      </c>
      <c r="B13" s="64" t="s">
        <v>370</v>
      </c>
      <c r="C13" s="63">
        <f>data!C188</f>
        <v>588</v>
      </c>
    </row>
    <row r="14" spans="1:3" ht="20.100000000000001" customHeight="1" x14ac:dyDescent="0.25">
      <c r="A14" s="144">
        <v>10</v>
      </c>
      <c r="B14" s="64" t="s">
        <v>866</v>
      </c>
      <c r="C14" s="63">
        <f>data!D189</f>
        <v>4981171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371</v>
      </c>
      <c r="C17" s="77"/>
    </row>
    <row r="18" spans="1:3" ht="20.100000000000001" customHeight="1" x14ac:dyDescent="0.25">
      <c r="A18" s="63">
        <v>12</v>
      </c>
      <c r="B18" s="64" t="s">
        <v>867</v>
      </c>
      <c r="C18" s="63">
        <f>data!C191</f>
        <v>653875.92000000004</v>
      </c>
    </row>
    <row r="19" spans="1:3" ht="20.100000000000001" customHeight="1" x14ac:dyDescent="0.25">
      <c r="A19" s="63">
        <v>13</v>
      </c>
      <c r="B19" s="64" t="s">
        <v>868</v>
      </c>
      <c r="C19" s="63">
        <f>data!C192</f>
        <v>73718.080000000002</v>
      </c>
    </row>
    <row r="20" spans="1:3" ht="20.100000000000001" customHeight="1" x14ac:dyDescent="0.25">
      <c r="A20" s="63">
        <v>14</v>
      </c>
      <c r="B20" s="64" t="s">
        <v>869</v>
      </c>
      <c r="C20" s="63">
        <f>data!D193</f>
        <v>727594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374</v>
      </c>
      <c r="C23" s="123"/>
    </row>
    <row r="24" spans="1:3" ht="20.100000000000001" customHeight="1" x14ac:dyDescent="0.25">
      <c r="A24" s="63">
        <v>16</v>
      </c>
      <c r="B24" s="75" t="s">
        <v>870</v>
      </c>
      <c r="C24" s="148"/>
    </row>
    <row r="25" spans="1:3" ht="20.100000000000001" customHeight="1" x14ac:dyDescent="0.25">
      <c r="A25" s="63">
        <v>17</v>
      </c>
      <c r="B25" s="64" t="s">
        <v>871</v>
      </c>
      <c r="C25" s="63">
        <f>data!C195</f>
        <v>603929.81000000006</v>
      </c>
    </row>
    <row r="26" spans="1:3" ht="20.100000000000001" customHeight="1" x14ac:dyDescent="0.25">
      <c r="A26" s="63">
        <v>18</v>
      </c>
      <c r="B26" s="64" t="s">
        <v>376</v>
      </c>
      <c r="C26" s="63">
        <f>data!C196</f>
        <v>0</v>
      </c>
    </row>
    <row r="27" spans="1:3" ht="20.100000000000001" customHeight="1" x14ac:dyDescent="0.25">
      <c r="A27" s="63">
        <v>19</v>
      </c>
      <c r="B27" s="64" t="s">
        <v>872</v>
      </c>
      <c r="C27" s="63">
        <f>data!D197</f>
        <v>603929.81000000006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873</v>
      </c>
      <c r="C30" s="133"/>
    </row>
    <row r="31" spans="1:3" ht="20.100000000000001" customHeight="1" x14ac:dyDescent="0.25">
      <c r="A31" s="63">
        <v>21</v>
      </c>
      <c r="B31" s="64" t="s">
        <v>378</v>
      </c>
      <c r="C31" s="63">
        <f>data!C199</f>
        <v>18825.03</v>
      </c>
    </row>
    <row r="32" spans="1:3" ht="20.100000000000001" customHeight="1" x14ac:dyDescent="0.25">
      <c r="A32" s="63">
        <v>22</v>
      </c>
      <c r="B32" s="64" t="s">
        <v>874</v>
      </c>
      <c r="C32" s="63">
        <f>data!C200</f>
        <v>2221542.14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0</v>
      </c>
    </row>
    <row r="34" spans="1:3" ht="20.100000000000001" customHeight="1" x14ac:dyDescent="0.25">
      <c r="A34" s="63">
        <v>24</v>
      </c>
      <c r="B34" s="64" t="s">
        <v>875</v>
      </c>
      <c r="C34" s="63">
        <f>data!D202</f>
        <v>2240367.17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380</v>
      </c>
      <c r="C37" s="123"/>
    </row>
    <row r="38" spans="1:3" ht="20.100000000000001" customHeight="1" x14ac:dyDescent="0.25">
      <c r="A38" s="63">
        <v>26</v>
      </c>
      <c r="B38" s="64" t="s">
        <v>876</v>
      </c>
      <c r="C38" s="63">
        <f>data!C204</f>
        <v>0</v>
      </c>
    </row>
    <row r="39" spans="1:3" ht="20.100000000000001" customHeight="1" x14ac:dyDescent="0.25">
      <c r="A39" s="63">
        <v>27</v>
      </c>
      <c r="B39" s="64" t="s">
        <v>382</v>
      </c>
      <c r="C39" s="63">
        <f>data!C205</f>
        <v>2456469.41</v>
      </c>
    </row>
    <row r="40" spans="1:3" ht="20.100000000000001" customHeight="1" x14ac:dyDescent="0.25">
      <c r="A40" s="63">
        <v>28</v>
      </c>
      <c r="B40" s="64" t="s">
        <v>877</v>
      </c>
      <c r="C40" s="63">
        <f>data!D206</f>
        <v>2456469.41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383</v>
      </c>
      <c r="B1" s="62"/>
      <c r="C1" s="62"/>
      <c r="D1" s="62"/>
      <c r="E1" s="62"/>
      <c r="F1" s="61" t="s">
        <v>878</v>
      </c>
    </row>
    <row r="3" spans="1:6" ht="20.100000000000001" customHeight="1" x14ac:dyDescent="0.25">
      <c r="A3" s="120" t="str">
        <f>"Hospital: "&amp;data!C98</f>
        <v>Hospital: ASTRIA TOPPENISH HOSPITAL</v>
      </c>
      <c r="F3" s="142" t="str">
        <f>"FYE: "&amp;data!C96</f>
        <v>FYE: 12/31/2024</v>
      </c>
    </row>
    <row r="4" spans="1:6" ht="20.100000000000001" customHeight="1" x14ac:dyDescent="0.25">
      <c r="A4" s="148" t="s">
        <v>384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879</v>
      </c>
      <c r="D5" s="151"/>
      <c r="E5" s="151"/>
      <c r="F5" s="151" t="s">
        <v>880</v>
      </c>
    </row>
    <row r="6" spans="1:6" ht="20.100000000000001" customHeight="1" x14ac:dyDescent="0.25">
      <c r="A6" s="152"/>
      <c r="B6" s="70"/>
      <c r="C6" s="153" t="s">
        <v>881</v>
      </c>
      <c r="D6" s="153" t="s">
        <v>386</v>
      </c>
      <c r="E6" s="153" t="s">
        <v>882</v>
      </c>
      <c r="F6" s="153" t="s">
        <v>881</v>
      </c>
    </row>
    <row r="7" spans="1:6" ht="20.100000000000001" customHeight="1" x14ac:dyDescent="0.25">
      <c r="A7" s="63">
        <v>1</v>
      </c>
      <c r="B7" s="67" t="s">
        <v>389</v>
      </c>
      <c r="C7" s="67">
        <f>data!B211</f>
        <v>550000</v>
      </c>
      <c r="D7" s="67">
        <f>data!C211</f>
        <v>0</v>
      </c>
      <c r="E7" s="67">
        <f>data!D211</f>
        <v>0</v>
      </c>
      <c r="F7" s="67">
        <f>data!E211</f>
        <v>550000</v>
      </c>
    </row>
    <row r="8" spans="1:6" ht="20.100000000000001" customHeight="1" x14ac:dyDescent="0.25">
      <c r="A8" s="63">
        <v>2</v>
      </c>
      <c r="B8" s="67" t="s">
        <v>390</v>
      </c>
      <c r="C8" s="67">
        <f>data!B212</f>
        <v>26953</v>
      </c>
      <c r="D8" s="67">
        <f>data!C212</f>
        <v>0</v>
      </c>
      <c r="E8" s="67">
        <f>data!D212</f>
        <v>0</v>
      </c>
      <c r="F8" s="67">
        <f>data!E212</f>
        <v>26953</v>
      </c>
    </row>
    <row r="9" spans="1:6" ht="20.100000000000001" customHeight="1" x14ac:dyDescent="0.25">
      <c r="A9" s="63">
        <v>3</v>
      </c>
      <c r="B9" s="67" t="s">
        <v>391</v>
      </c>
      <c r="C9" s="67">
        <f>data!B213</f>
        <v>8244365</v>
      </c>
      <c r="D9" s="67">
        <f>data!C213</f>
        <v>443878.87</v>
      </c>
      <c r="E9" s="67">
        <f>data!D213</f>
        <v>0</v>
      </c>
      <c r="F9" s="67">
        <f>data!E213</f>
        <v>8688243.8699999992</v>
      </c>
    </row>
    <row r="10" spans="1:6" ht="20.100000000000001" customHeight="1" x14ac:dyDescent="0.25">
      <c r="A10" s="63">
        <v>4</v>
      </c>
      <c r="B10" s="67" t="s">
        <v>883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00000000000001" customHeight="1" x14ac:dyDescent="0.25">
      <c r="A11" s="63">
        <v>5</v>
      </c>
      <c r="B11" s="67" t="s">
        <v>884</v>
      </c>
      <c r="C11" s="67">
        <f>data!B215</f>
        <v>0</v>
      </c>
      <c r="D11" s="67">
        <f>data!C215</f>
        <v>0</v>
      </c>
      <c r="E11" s="67">
        <f>data!D215</f>
        <v>0</v>
      </c>
      <c r="F11" s="67">
        <f>data!E215</f>
        <v>0</v>
      </c>
    </row>
    <row r="12" spans="1:6" ht="20.100000000000001" customHeight="1" x14ac:dyDescent="0.25">
      <c r="A12" s="63">
        <v>6</v>
      </c>
      <c r="B12" s="67" t="s">
        <v>885</v>
      </c>
      <c r="C12" s="67">
        <f>data!B216</f>
        <v>6073926.9399999995</v>
      </c>
      <c r="D12" s="67">
        <f>data!C216</f>
        <v>266056.75</v>
      </c>
      <c r="E12" s="67">
        <f>data!D216</f>
        <v>1000966.8900000001</v>
      </c>
      <c r="F12" s="67">
        <f>data!E216</f>
        <v>5339016.7999999989</v>
      </c>
    </row>
    <row r="13" spans="1:6" ht="20.100000000000001" customHeight="1" x14ac:dyDescent="0.25">
      <c r="A13" s="63">
        <v>7</v>
      </c>
      <c r="B13" s="67" t="s">
        <v>886</v>
      </c>
      <c r="C13" s="67">
        <f>data!B217</f>
        <v>402887</v>
      </c>
      <c r="D13" s="67">
        <f>data!C217</f>
        <v>12311.34</v>
      </c>
      <c r="E13" s="67">
        <f>data!D217</f>
        <v>0</v>
      </c>
      <c r="F13" s="67">
        <f>data!E217</f>
        <v>415198.34</v>
      </c>
    </row>
    <row r="14" spans="1:6" ht="20.100000000000001" customHeight="1" x14ac:dyDescent="0.25">
      <c r="A14" s="63">
        <v>8</v>
      </c>
      <c r="B14" s="67" t="s">
        <v>396</v>
      </c>
      <c r="C14" s="67">
        <f>data!B218</f>
        <v>0</v>
      </c>
      <c r="D14" s="67">
        <f>data!C218</f>
        <v>0</v>
      </c>
      <c r="E14" s="67">
        <f>data!D218</f>
        <v>0</v>
      </c>
      <c r="F14" s="67">
        <f>data!E218</f>
        <v>0</v>
      </c>
    </row>
    <row r="15" spans="1:6" ht="20.100000000000001" customHeight="1" x14ac:dyDescent="0.25">
      <c r="A15" s="63">
        <v>9</v>
      </c>
      <c r="B15" s="67" t="s">
        <v>887</v>
      </c>
      <c r="C15" s="67">
        <f>data!B219</f>
        <v>822336</v>
      </c>
      <c r="D15" s="67">
        <f>data!C219</f>
        <v>1422132.47</v>
      </c>
      <c r="E15" s="67">
        <f>data!D219</f>
        <v>0</v>
      </c>
      <c r="F15" s="67">
        <f>data!E219</f>
        <v>2244468.4699999997</v>
      </c>
    </row>
    <row r="16" spans="1:6" ht="20.100000000000001" customHeight="1" x14ac:dyDescent="0.25">
      <c r="A16" s="63">
        <v>10</v>
      </c>
      <c r="B16" s="67" t="s">
        <v>611</v>
      </c>
      <c r="C16" s="67">
        <f>data!B220</f>
        <v>16120467.939999999</v>
      </c>
      <c r="D16" s="67">
        <f>data!C220</f>
        <v>2144379.4299999997</v>
      </c>
      <c r="E16" s="67">
        <f>data!D220</f>
        <v>1000966.8900000001</v>
      </c>
      <c r="F16" s="67">
        <f>data!E220</f>
        <v>17263880.479999997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398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879</v>
      </c>
      <c r="D21" s="4" t="s">
        <v>229</v>
      </c>
      <c r="E21" s="153"/>
      <c r="F21" s="153" t="s">
        <v>880</v>
      </c>
    </row>
    <row r="22" spans="1:6" ht="20.100000000000001" customHeight="1" x14ac:dyDescent="0.25">
      <c r="A22" s="154"/>
      <c r="B22" s="146"/>
      <c r="C22" s="153" t="s">
        <v>881</v>
      </c>
      <c r="D22" s="153" t="s">
        <v>888</v>
      </c>
      <c r="E22" s="153" t="s">
        <v>882</v>
      </c>
      <c r="F22" s="153" t="s">
        <v>881</v>
      </c>
    </row>
    <row r="23" spans="1:6" ht="20.100000000000001" customHeight="1" x14ac:dyDescent="0.25">
      <c r="A23" s="63">
        <v>11</v>
      </c>
      <c r="B23" s="155" t="s">
        <v>389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390</v>
      </c>
      <c r="C24" s="67">
        <f>data!B225</f>
        <v>8051</v>
      </c>
      <c r="D24" s="67">
        <f>data!C225</f>
        <v>1796.88</v>
      </c>
      <c r="E24" s="67">
        <f>data!D225</f>
        <v>0</v>
      </c>
      <c r="F24" s="67">
        <f>data!E225</f>
        <v>9847.880000000001</v>
      </c>
    </row>
    <row r="25" spans="1:6" ht="20.100000000000001" customHeight="1" x14ac:dyDescent="0.25">
      <c r="A25" s="63">
        <v>13</v>
      </c>
      <c r="B25" s="67" t="s">
        <v>391</v>
      </c>
      <c r="C25" s="67">
        <f>data!B226</f>
        <v>3031797</v>
      </c>
      <c r="D25" s="67">
        <f>data!C226</f>
        <v>504248.8</v>
      </c>
      <c r="E25" s="67">
        <f>data!D226</f>
        <v>0</v>
      </c>
      <c r="F25" s="67">
        <f>data!E226</f>
        <v>3536045.8</v>
      </c>
    </row>
    <row r="26" spans="1:6" ht="20.100000000000001" customHeight="1" x14ac:dyDescent="0.25">
      <c r="A26" s="63">
        <v>14</v>
      </c>
      <c r="B26" s="67" t="s">
        <v>883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00000000000001" customHeight="1" x14ac:dyDescent="0.25">
      <c r="A27" s="63">
        <v>15</v>
      </c>
      <c r="B27" s="67" t="s">
        <v>884</v>
      </c>
      <c r="C27" s="67">
        <f>data!B228</f>
        <v>0</v>
      </c>
      <c r="D27" s="67">
        <f>data!C228</f>
        <v>0</v>
      </c>
      <c r="E27" s="67">
        <f>data!D228</f>
        <v>0</v>
      </c>
      <c r="F27" s="67">
        <f>data!E228</f>
        <v>0</v>
      </c>
    </row>
    <row r="28" spans="1:6" ht="20.100000000000001" customHeight="1" x14ac:dyDescent="0.25">
      <c r="A28" s="63">
        <v>16</v>
      </c>
      <c r="B28" s="67" t="s">
        <v>885</v>
      </c>
      <c r="C28" s="67">
        <f>data!B229</f>
        <v>1592801</v>
      </c>
      <c r="D28" s="67">
        <f>data!C229</f>
        <v>199161.78</v>
      </c>
      <c r="E28" s="67">
        <f>data!D229</f>
        <v>155.75</v>
      </c>
      <c r="F28" s="67">
        <f>data!E229</f>
        <v>1791807.03</v>
      </c>
    </row>
    <row r="29" spans="1:6" ht="20.100000000000001" customHeight="1" x14ac:dyDescent="0.25">
      <c r="A29" s="63">
        <v>17</v>
      </c>
      <c r="B29" s="67" t="s">
        <v>886</v>
      </c>
      <c r="C29" s="67">
        <f>data!B230</f>
        <v>296689</v>
      </c>
      <c r="D29" s="67">
        <f>data!C230</f>
        <v>25422</v>
      </c>
      <c r="E29" s="67">
        <f>data!D230</f>
        <v>0</v>
      </c>
      <c r="F29" s="67">
        <f>data!E230</f>
        <v>322111</v>
      </c>
    </row>
    <row r="30" spans="1:6" ht="20.100000000000001" customHeight="1" x14ac:dyDescent="0.25">
      <c r="A30" s="63">
        <v>18</v>
      </c>
      <c r="B30" s="67" t="s">
        <v>396</v>
      </c>
      <c r="C30" s="67">
        <f>data!B231</f>
        <v>0</v>
      </c>
      <c r="D30" s="67">
        <f>data!C231</f>
        <v>0</v>
      </c>
      <c r="E30" s="67">
        <f>data!D231</f>
        <v>0</v>
      </c>
      <c r="F30" s="67">
        <f>data!E231</f>
        <v>0</v>
      </c>
    </row>
    <row r="31" spans="1:6" ht="20.100000000000001" customHeight="1" x14ac:dyDescent="0.25">
      <c r="A31" s="63">
        <v>19</v>
      </c>
      <c r="B31" s="67" t="s">
        <v>887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611</v>
      </c>
      <c r="C32" s="67">
        <f>data!B233</f>
        <v>4929338</v>
      </c>
      <c r="D32" s="67">
        <f>data!C233</f>
        <v>730629.46</v>
      </c>
      <c r="E32" s="67">
        <f>data!D233</f>
        <v>155.75</v>
      </c>
      <c r="F32" s="67">
        <f>data!E233</f>
        <v>5659811.71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889</v>
      </c>
      <c r="B1" s="62"/>
      <c r="C1" s="62"/>
      <c r="D1" s="61" t="s">
        <v>890</v>
      </c>
    </row>
    <row r="2" spans="1:4" ht="20.100000000000001" customHeight="1" x14ac:dyDescent="0.25">
      <c r="A2" s="120" t="str">
        <f>"Hospital: "&amp;data!C98</f>
        <v>Hospital: ASTRIA TOPPENISH HOSPITAL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891</v>
      </c>
      <c r="C4" s="156" t="s">
        <v>892</v>
      </c>
      <c r="D4" s="157"/>
    </row>
    <row r="5" spans="1:4" ht="20.100000000000001" customHeight="1" x14ac:dyDescent="0.25">
      <c r="A5" s="124">
        <v>1</v>
      </c>
      <c r="B5" s="158"/>
      <c r="C5" s="80" t="s">
        <v>400</v>
      </c>
      <c r="D5" s="67">
        <f>data!D237</f>
        <v>3712442.25</v>
      </c>
    </row>
    <row r="6" spans="1:4" ht="20.100000000000001" customHeight="1" x14ac:dyDescent="0.25">
      <c r="A6" s="63">
        <v>2</v>
      </c>
      <c r="B6" s="69"/>
      <c r="C6" s="142" t="s">
        <v>496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353</v>
      </c>
      <c r="D7" s="67">
        <f>data!C239</f>
        <v>62409669.299999997</v>
      </c>
    </row>
    <row r="8" spans="1:4" ht="20.100000000000001" customHeight="1" x14ac:dyDescent="0.25">
      <c r="A8" s="63">
        <v>4</v>
      </c>
      <c r="B8" s="158">
        <v>5820</v>
      </c>
      <c r="C8" s="67" t="s">
        <v>354</v>
      </c>
      <c r="D8" s="67">
        <f>data!C240</f>
        <v>40097045.850000001</v>
      </c>
    </row>
    <row r="9" spans="1:4" ht="20.100000000000001" customHeight="1" x14ac:dyDescent="0.25">
      <c r="A9" s="63">
        <v>5</v>
      </c>
      <c r="B9" s="158">
        <v>5830</v>
      </c>
      <c r="C9" s="67" t="s">
        <v>366</v>
      </c>
      <c r="D9" s="67">
        <f>data!C241</f>
        <v>3799994.15</v>
      </c>
    </row>
    <row r="10" spans="1:4" ht="20.100000000000001" customHeight="1" x14ac:dyDescent="0.25">
      <c r="A10" s="63">
        <v>6</v>
      </c>
      <c r="B10" s="158">
        <v>5840</v>
      </c>
      <c r="C10" s="67" t="s">
        <v>405</v>
      </c>
      <c r="D10" s="67">
        <f>data!C242</f>
        <v>2639673.0600000033</v>
      </c>
    </row>
    <row r="11" spans="1:4" ht="20.100000000000001" customHeight="1" x14ac:dyDescent="0.25">
      <c r="A11" s="63">
        <v>7</v>
      </c>
      <c r="B11" s="158">
        <v>5850</v>
      </c>
      <c r="C11" s="67" t="s">
        <v>893</v>
      </c>
      <c r="D11" s="67">
        <f>data!C243</f>
        <v>29331281.969999999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4629114.47</v>
      </c>
    </row>
    <row r="13" spans="1:4" ht="20.100000000000001" customHeight="1" x14ac:dyDescent="0.25">
      <c r="A13" s="63">
        <v>9</v>
      </c>
      <c r="B13" s="67"/>
      <c r="C13" s="67" t="s">
        <v>894</v>
      </c>
      <c r="D13" s="67">
        <f>data!D245</f>
        <v>142906778.80000001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409</v>
      </c>
      <c r="D15" s="153"/>
    </row>
    <row r="16" spans="1:4" ht="20.100000000000001" customHeight="1" x14ac:dyDescent="0.25">
      <c r="A16" s="152">
        <v>12</v>
      </c>
      <c r="B16" s="79"/>
      <c r="C16" s="64" t="s">
        <v>895</v>
      </c>
      <c r="D16" s="63">
        <f>data!C247</f>
        <v>209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411</v>
      </c>
      <c r="D18" s="67">
        <f>data!C249</f>
        <v>96826.73</v>
      </c>
    </row>
    <row r="19" spans="1:4" ht="20.100000000000001" customHeight="1" x14ac:dyDescent="0.25">
      <c r="A19" s="161">
        <v>15</v>
      </c>
      <c r="B19" s="158">
        <v>5910</v>
      </c>
      <c r="C19" s="80" t="s">
        <v>896</v>
      </c>
      <c r="D19" s="67">
        <f>data!C250</f>
        <v>2351656.52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897</v>
      </c>
      <c r="D22" s="67">
        <f>data!D252</f>
        <v>2448483.25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415</v>
      </c>
      <c r="D24" s="67">
        <f>data!C254</f>
        <v>0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898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899</v>
      </c>
      <c r="C27" s="79"/>
      <c r="D27" s="67">
        <f>data!D256</f>
        <v>0</v>
      </c>
    </row>
    <row r="28" spans="1:4" ht="20.100000000000001" customHeight="1" x14ac:dyDescent="0.25">
      <c r="A28" s="72">
        <v>24</v>
      </c>
      <c r="B28" s="138" t="s">
        <v>900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901</v>
      </c>
      <c r="B1" s="169"/>
      <c r="C1" s="169"/>
    </row>
    <row r="2" spans="1:3" ht="20.100000000000001" customHeight="1" x14ac:dyDescent="0.25">
      <c r="A2" s="168"/>
      <c r="B2" s="169"/>
      <c r="C2" s="94" t="s">
        <v>902</v>
      </c>
    </row>
    <row r="3" spans="1:3" ht="20.100000000000001" customHeight="1" x14ac:dyDescent="0.25">
      <c r="A3" s="120" t="str">
        <f>"Hospital: "&amp;data!C98</f>
        <v>Hospital: ASTRIA TOPPENISH HOSPITAL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903</v>
      </c>
      <c r="C4" s="173"/>
    </row>
    <row r="5" spans="1:3" ht="20.100000000000001" customHeight="1" x14ac:dyDescent="0.25">
      <c r="A5" s="174">
        <v>1</v>
      </c>
      <c r="B5" s="175" t="s">
        <v>419</v>
      </c>
      <c r="C5" s="175"/>
    </row>
    <row r="6" spans="1:3" ht="20.100000000000001" customHeight="1" x14ac:dyDescent="0.25">
      <c r="A6" s="174">
        <v>2</v>
      </c>
      <c r="B6" s="176" t="s">
        <v>420</v>
      </c>
      <c r="C6" s="176">
        <f>data!C266</f>
        <v>145752</v>
      </c>
    </row>
    <row r="7" spans="1:3" ht="20.100000000000001" customHeight="1" x14ac:dyDescent="0.25">
      <c r="A7" s="174">
        <v>3</v>
      </c>
      <c r="B7" s="176" t="s">
        <v>421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422</v>
      </c>
      <c r="C8" s="176">
        <f>data!C268</f>
        <v>47637676</v>
      </c>
    </row>
    <row r="9" spans="1:3" ht="20.100000000000001" customHeight="1" x14ac:dyDescent="0.25">
      <c r="A9" s="174">
        <v>5</v>
      </c>
      <c r="B9" s="176" t="s">
        <v>904</v>
      </c>
      <c r="C9" s="176">
        <f>data!C269</f>
        <v>39130000</v>
      </c>
    </row>
    <row r="10" spans="1:3" ht="20.100000000000001" customHeight="1" x14ac:dyDescent="0.25">
      <c r="A10" s="174">
        <v>6</v>
      </c>
      <c r="B10" s="176" t="s">
        <v>905</v>
      </c>
      <c r="C10" s="176">
        <f>data!C270</f>
        <v>-36492656</v>
      </c>
    </row>
    <row r="11" spans="1:3" ht="20.100000000000001" customHeight="1" x14ac:dyDescent="0.25">
      <c r="A11" s="174">
        <v>7</v>
      </c>
      <c r="B11" s="176" t="s">
        <v>906</v>
      </c>
      <c r="C11" s="176">
        <f>data!C271</f>
        <v>5233</v>
      </c>
    </row>
    <row r="12" spans="1:3" ht="20.100000000000001" customHeight="1" x14ac:dyDescent="0.25">
      <c r="A12" s="174">
        <v>8</v>
      </c>
      <c r="B12" s="176" t="s">
        <v>426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427</v>
      </c>
      <c r="C13" s="176">
        <f>data!C273</f>
        <v>3046163</v>
      </c>
    </row>
    <row r="14" spans="1:3" ht="20.100000000000001" customHeight="1" x14ac:dyDescent="0.25">
      <c r="A14" s="174">
        <v>10</v>
      </c>
      <c r="B14" s="176" t="s">
        <v>428</v>
      </c>
      <c r="C14" s="176">
        <f>data!C274</f>
        <v>319825</v>
      </c>
    </row>
    <row r="15" spans="1:3" ht="20.100000000000001" customHeight="1" x14ac:dyDescent="0.25">
      <c r="A15" s="174">
        <v>11</v>
      </c>
      <c r="B15" s="176" t="s">
        <v>907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908</v>
      </c>
      <c r="C16" s="176">
        <f>data!D276</f>
        <v>-24468007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909</v>
      </c>
      <c r="C18" s="175"/>
    </row>
    <row r="19" spans="1:3" ht="20.100000000000001" customHeight="1" x14ac:dyDescent="0.25">
      <c r="A19" s="174">
        <v>15</v>
      </c>
      <c r="B19" s="176" t="s">
        <v>420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421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432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910</v>
      </c>
      <c r="C22" s="176">
        <f>data!D281</f>
        <v>0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911</v>
      </c>
      <c r="C24" s="175"/>
    </row>
    <row r="25" spans="1:3" ht="20.100000000000001" customHeight="1" x14ac:dyDescent="0.25">
      <c r="A25" s="174">
        <v>21</v>
      </c>
      <c r="B25" s="176" t="s">
        <v>389</v>
      </c>
      <c r="C25" s="176">
        <f>data!C283</f>
        <v>550000</v>
      </c>
    </row>
    <row r="26" spans="1:3" ht="20.100000000000001" customHeight="1" x14ac:dyDescent="0.25">
      <c r="A26" s="174">
        <v>22</v>
      </c>
      <c r="B26" s="176" t="s">
        <v>390</v>
      </c>
      <c r="C26" s="176">
        <f>data!C284</f>
        <v>26953</v>
      </c>
    </row>
    <row r="27" spans="1:3" ht="20.100000000000001" customHeight="1" x14ac:dyDescent="0.25">
      <c r="A27" s="174">
        <v>23</v>
      </c>
      <c r="B27" s="176" t="s">
        <v>391</v>
      </c>
      <c r="C27" s="176">
        <f>data!C285</f>
        <v>8688244</v>
      </c>
    </row>
    <row r="28" spans="1:3" ht="20.100000000000001" customHeight="1" x14ac:dyDescent="0.25">
      <c r="A28" s="174">
        <v>24</v>
      </c>
      <c r="B28" s="176" t="s">
        <v>912</v>
      </c>
      <c r="C28" s="176">
        <f>data!C286</f>
        <v>0</v>
      </c>
    </row>
    <row r="29" spans="1:3" ht="20.100000000000001" customHeight="1" x14ac:dyDescent="0.25">
      <c r="A29" s="174">
        <v>25</v>
      </c>
      <c r="B29" s="176" t="s">
        <v>393</v>
      </c>
      <c r="C29" s="176">
        <f>data!C287</f>
        <v>0</v>
      </c>
    </row>
    <row r="30" spans="1:3" ht="20.100000000000001" customHeight="1" x14ac:dyDescent="0.25">
      <c r="A30" s="174">
        <v>26</v>
      </c>
      <c r="B30" s="176" t="s">
        <v>437</v>
      </c>
      <c r="C30" s="176">
        <f>data!C288</f>
        <v>5754216</v>
      </c>
    </row>
    <row r="31" spans="1:3" ht="20.100000000000001" customHeight="1" x14ac:dyDescent="0.25">
      <c r="A31" s="174">
        <v>27</v>
      </c>
      <c r="B31" s="176" t="s">
        <v>396</v>
      </c>
      <c r="C31" s="176">
        <f>data!C289</f>
        <v>0</v>
      </c>
    </row>
    <row r="32" spans="1:3" ht="20.100000000000001" customHeight="1" x14ac:dyDescent="0.25">
      <c r="A32" s="174">
        <v>28</v>
      </c>
      <c r="B32" s="176" t="s">
        <v>397</v>
      </c>
      <c r="C32" s="176">
        <f>data!C290</f>
        <v>2244468</v>
      </c>
    </row>
    <row r="33" spans="1:3" ht="20.100000000000001" customHeight="1" x14ac:dyDescent="0.25">
      <c r="A33" s="174">
        <v>29</v>
      </c>
      <c r="B33" s="176" t="s">
        <v>611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913</v>
      </c>
      <c r="C34" s="176">
        <f>data!C292</f>
        <v>5659811.71</v>
      </c>
    </row>
    <row r="35" spans="1:3" ht="20.100000000000001" customHeight="1" x14ac:dyDescent="0.25">
      <c r="A35" s="174">
        <v>31</v>
      </c>
      <c r="B35" s="176" t="s">
        <v>914</v>
      </c>
      <c r="C35" s="176">
        <f>data!D293</f>
        <v>11604069.289999999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915</v>
      </c>
      <c r="C37" s="175"/>
    </row>
    <row r="38" spans="1:3" ht="20.100000000000001" customHeight="1" x14ac:dyDescent="0.25">
      <c r="A38" s="174">
        <v>34</v>
      </c>
      <c r="B38" s="176" t="s">
        <v>916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917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444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432</v>
      </c>
      <c r="C41" s="176">
        <f>data!C298</f>
        <v>0</v>
      </c>
    </row>
    <row r="42" spans="1:3" ht="20.100000000000001" customHeight="1" x14ac:dyDescent="0.25">
      <c r="A42" s="174">
        <v>38</v>
      </c>
      <c r="B42" s="176" t="s">
        <v>918</v>
      </c>
      <c r="C42" s="176">
        <f>data!D299</f>
        <v>0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919</v>
      </c>
      <c r="C44" s="175"/>
    </row>
    <row r="45" spans="1:3" ht="20.100000000000001" customHeight="1" x14ac:dyDescent="0.25">
      <c r="A45" s="174">
        <v>41</v>
      </c>
      <c r="B45" s="176" t="s">
        <v>447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448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920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450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921</v>
      </c>
      <c r="C49" s="176">
        <f>data!D306</f>
        <v>0</v>
      </c>
    </row>
    <row r="50" spans="1:3" ht="20.100000000000001" customHeight="1" x14ac:dyDescent="0.25">
      <c r="A50" s="179">
        <v>46</v>
      </c>
      <c r="B50" s="180" t="s">
        <v>922</v>
      </c>
      <c r="C50" s="176">
        <f>data!D308</f>
        <v>-12863937.710000001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923</v>
      </c>
      <c r="B53" s="169"/>
      <c r="C53" s="169"/>
    </row>
    <row r="54" spans="1:3" ht="20.100000000000001" customHeight="1" x14ac:dyDescent="0.25">
      <c r="A54" s="168"/>
      <c r="B54" s="169"/>
      <c r="C54" s="94" t="s">
        <v>924</v>
      </c>
    </row>
    <row r="55" spans="1:3" ht="20.100000000000001" customHeight="1" x14ac:dyDescent="0.25">
      <c r="A55" s="120" t="str">
        <f>"Hospital: "&amp;data!C98</f>
        <v>Hospital: ASTRIA TOPPENISH HOSPITAL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925</v>
      </c>
      <c r="C56" s="173"/>
    </row>
    <row r="57" spans="1:3" ht="20.100000000000001" customHeight="1" x14ac:dyDescent="0.25">
      <c r="A57" s="183">
        <v>1</v>
      </c>
      <c r="B57" s="168" t="s">
        <v>454</v>
      </c>
      <c r="C57" s="184"/>
    </row>
    <row r="58" spans="1:3" ht="20.100000000000001" customHeight="1" x14ac:dyDescent="0.25">
      <c r="A58" s="174">
        <v>2</v>
      </c>
      <c r="B58" s="176" t="s">
        <v>455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926</v>
      </c>
      <c r="C59" s="176">
        <f>data!C315</f>
        <v>2371896.6799999997</v>
      </c>
    </row>
    <row r="60" spans="1:3" ht="20.100000000000001" customHeight="1" x14ac:dyDescent="0.25">
      <c r="A60" s="174">
        <v>4</v>
      </c>
      <c r="B60" s="176" t="s">
        <v>927</v>
      </c>
      <c r="C60" s="176">
        <f>data!C316</f>
        <v>1863783</v>
      </c>
    </row>
    <row r="61" spans="1:3" ht="20.100000000000001" customHeight="1" x14ac:dyDescent="0.25">
      <c r="A61" s="174">
        <v>5</v>
      </c>
      <c r="B61" s="176" t="s">
        <v>458</v>
      </c>
      <c r="C61" s="176">
        <f>data!C317</f>
        <v>1269000</v>
      </c>
    </row>
    <row r="62" spans="1:3" ht="20.100000000000001" customHeight="1" x14ac:dyDescent="0.25">
      <c r="A62" s="174">
        <v>6</v>
      </c>
      <c r="B62" s="176" t="s">
        <v>928</v>
      </c>
      <c r="C62" s="176">
        <f>data!C318</f>
        <v>1030000</v>
      </c>
    </row>
    <row r="63" spans="1:3" ht="20.100000000000001" customHeight="1" x14ac:dyDescent="0.25">
      <c r="A63" s="174">
        <v>7</v>
      </c>
      <c r="B63" s="176" t="s">
        <v>929</v>
      </c>
      <c r="C63" s="176">
        <f>data!C319</f>
        <v>300000</v>
      </c>
    </row>
    <row r="64" spans="1:3" ht="20.100000000000001" customHeight="1" x14ac:dyDescent="0.25">
      <c r="A64" s="174">
        <v>8</v>
      </c>
      <c r="B64" s="176" t="s">
        <v>461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462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463</v>
      </c>
      <c r="C66" s="176">
        <f>data!C322</f>
        <v>1194055</v>
      </c>
    </row>
    <row r="67" spans="1:3" ht="20.100000000000001" customHeight="1" x14ac:dyDescent="0.25">
      <c r="A67" s="174">
        <v>11</v>
      </c>
      <c r="B67" s="176" t="s">
        <v>930</v>
      </c>
      <c r="C67" s="176">
        <f>data!C323</f>
        <v>623456</v>
      </c>
    </row>
    <row r="68" spans="1:3" ht="20.100000000000001" customHeight="1" x14ac:dyDescent="0.25">
      <c r="A68" s="174">
        <v>12</v>
      </c>
      <c r="B68" s="176" t="s">
        <v>931</v>
      </c>
      <c r="C68" s="176">
        <f>data!D324</f>
        <v>8652190.6799999997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932</v>
      </c>
      <c r="C70" s="175"/>
    </row>
    <row r="71" spans="1:3" ht="20.100000000000001" customHeight="1" x14ac:dyDescent="0.25">
      <c r="A71" s="174">
        <v>15</v>
      </c>
      <c r="B71" s="176" t="s">
        <v>467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933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469</v>
      </c>
      <c r="C73" s="176">
        <f>data!C328</f>
        <v>0</v>
      </c>
    </row>
    <row r="74" spans="1:3" ht="20.100000000000001" customHeight="1" x14ac:dyDescent="0.25">
      <c r="A74" s="174">
        <v>18</v>
      </c>
      <c r="B74" s="176" t="s">
        <v>934</v>
      </c>
      <c r="C74" s="176">
        <f>data!D329</f>
        <v>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471</v>
      </c>
      <c r="C76" s="175"/>
    </row>
    <row r="77" spans="1:3" ht="20.100000000000001" customHeight="1" x14ac:dyDescent="0.25">
      <c r="A77" s="174">
        <v>21</v>
      </c>
      <c r="B77" s="176" t="s">
        <v>472</v>
      </c>
      <c r="C77" s="176">
        <f>data!C331</f>
        <v>135820</v>
      </c>
    </row>
    <row r="78" spans="1:3" ht="20.100000000000001" customHeight="1" x14ac:dyDescent="0.25">
      <c r="A78" s="174">
        <v>22</v>
      </c>
      <c r="B78" s="176" t="s">
        <v>935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474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936</v>
      </c>
      <c r="C80" s="176">
        <f>data!C334</f>
        <v>3067979</v>
      </c>
    </row>
    <row r="81" spans="1:3" ht="20.100000000000001" customHeight="1" x14ac:dyDescent="0.25">
      <c r="A81" s="174">
        <v>25</v>
      </c>
      <c r="B81" s="176" t="s">
        <v>476</v>
      </c>
      <c r="C81" s="176">
        <f>data!C335</f>
        <v>0</v>
      </c>
    </row>
    <row r="82" spans="1:3" ht="20.100000000000001" customHeight="1" x14ac:dyDescent="0.25">
      <c r="A82" s="174">
        <v>26</v>
      </c>
      <c r="B82" s="176" t="s">
        <v>937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478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479</v>
      </c>
      <c r="C84" s="176">
        <f>data!C338</f>
        <v>0</v>
      </c>
    </row>
    <row r="85" spans="1:3" ht="20.100000000000001" customHeight="1" x14ac:dyDescent="0.25">
      <c r="A85" s="174">
        <v>29</v>
      </c>
      <c r="B85" s="176" t="s">
        <v>611</v>
      </c>
      <c r="C85" s="176">
        <f>data!D339</f>
        <v>3203799</v>
      </c>
    </row>
    <row r="86" spans="1:3" ht="20.100000000000001" customHeight="1" x14ac:dyDescent="0.25">
      <c r="A86" s="174">
        <v>30</v>
      </c>
      <c r="B86" s="176" t="s">
        <v>938</v>
      </c>
      <c r="C86" s="176">
        <f>data!D340</f>
        <v>623456</v>
      </c>
    </row>
    <row r="87" spans="1:3" ht="20.100000000000001" customHeight="1" x14ac:dyDescent="0.25">
      <c r="A87" s="174">
        <v>31</v>
      </c>
      <c r="B87" s="176" t="s">
        <v>939</v>
      </c>
      <c r="C87" s="176">
        <f>data!D341</f>
        <v>2580343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940</v>
      </c>
      <c r="C89" s="176">
        <f>data!C343</f>
        <v>-24096470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941</v>
      </c>
      <c r="C91" s="175"/>
    </row>
    <row r="92" spans="1:3" ht="20.100000000000001" customHeight="1" x14ac:dyDescent="0.25">
      <c r="A92" s="174">
        <v>36</v>
      </c>
      <c r="B92" s="176" t="s">
        <v>483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484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942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943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944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945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946</v>
      </c>
      <c r="C102" s="176">
        <f>data!C343+data!C345+data!C346+data!C347+data!C348-data!C349</f>
        <v>-24096470</v>
      </c>
    </row>
    <row r="103" spans="1:3" ht="20.100000000000001" customHeight="1" x14ac:dyDescent="0.25">
      <c r="A103" s="174">
        <v>47</v>
      </c>
      <c r="B103" s="176" t="s">
        <v>947</v>
      </c>
      <c r="C103" s="176">
        <f>data!D352</f>
        <v>-12863937.710000001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948</v>
      </c>
      <c r="B106" s="169"/>
      <c r="C106" s="169"/>
    </row>
    <row r="107" spans="1:3" ht="20.100000000000001" customHeight="1" x14ac:dyDescent="0.25">
      <c r="A107" s="170"/>
      <c r="C107" s="94" t="s">
        <v>949</v>
      </c>
    </row>
    <row r="108" spans="1:3" ht="20.100000000000001" customHeight="1" x14ac:dyDescent="0.25">
      <c r="A108" s="120" t="str">
        <f>"Hospital: "&amp;data!C98</f>
        <v>Hospital: ASTRIA TOPPENISH HOSPITAL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950</v>
      </c>
      <c r="C110" s="175"/>
    </row>
    <row r="111" spans="1:3" ht="20.100000000000001" customHeight="1" x14ac:dyDescent="0.25">
      <c r="A111" s="174">
        <v>2</v>
      </c>
      <c r="B111" s="176" t="s">
        <v>492</v>
      </c>
      <c r="C111" s="176">
        <f>data!C358</f>
        <v>40358266.549999997</v>
      </c>
    </row>
    <row r="112" spans="1:3" ht="20.100000000000001" customHeight="1" x14ac:dyDescent="0.25">
      <c r="A112" s="174">
        <v>3</v>
      </c>
      <c r="B112" s="176" t="s">
        <v>493</v>
      </c>
      <c r="C112" s="176">
        <f>data!C359</f>
        <v>160962842.72</v>
      </c>
    </row>
    <row r="113" spans="1:3" ht="20.100000000000001" customHeight="1" x14ac:dyDescent="0.25">
      <c r="A113" s="174">
        <v>4</v>
      </c>
      <c r="B113" s="176" t="s">
        <v>951</v>
      </c>
      <c r="C113" s="176">
        <f>data!D360</f>
        <v>201321109.26999998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952</v>
      </c>
      <c r="C115" s="175"/>
    </row>
    <row r="116" spans="1:3" ht="20.100000000000001" customHeight="1" x14ac:dyDescent="0.25">
      <c r="A116" s="174">
        <v>7</v>
      </c>
      <c r="B116" s="188" t="s">
        <v>953</v>
      </c>
      <c r="C116" s="189">
        <f>data!C362</f>
        <v>3712442.25</v>
      </c>
    </row>
    <row r="117" spans="1:3" ht="20.100000000000001" customHeight="1" x14ac:dyDescent="0.25">
      <c r="A117" s="174">
        <v>8</v>
      </c>
      <c r="B117" s="176" t="s">
        <v>496</v>
      </c>
      <c r="C117" s="189">
        <f>data!C363</f>
        <v>142906778.80000001</v>
      </c>
    </row>
    <row r="118" spans="1:3" ht="20.100000000000001" customHeight="1" x14ac:dyDescent="0.25">
      <c r="A118" s="174">
        <v>9</v>
      </c>
      <c r="B118" s="176" t="s">
        <v>954</v>
      </c>
      <c r="C118" s="189">
        <f>data!C364</f>
        <v>2448483.25</v>
      </c>
    </row>
    <row r="119" spans="1:3" ht="20.100000000000001" customHeight="1" x14ac:dyDescent="0.25">
      <c r="A119" s="174">
        <v>10</v>
      </c>
      <c r="B119" s="176" t="s">
        <v>955</v>
      </c>
      <c r="C119" s="189">
        <f>data!C365</f>
        <v>0</v>
      </c>
    </row>
    <row r="120" spans="1:3" ht="20.100000000000001" customHeight="1" x14ac:dyDescent="0.25">
      <c r="A120" s="174">
        <v>11</v>
      </c>
      <c r="B120" s="176" t="s">
        <v>899</v>
      </c>
      <c r="C120" s="189">
        <f>data!D366</f>
        <v>149067704.30000001</v>
      </c>
    </row>
    <row r="121" spans="1:3" ht="20.100000000000001" customHeight="1" x14ac:dyDescent="0.25">
      <c r="A121" s="174">
        <v>12</v>
      </c>
      <c r="B121" s="176" t="s">
        <v>956</v>
      </c>
      <c r="C121" s="189">
        <f>data!D367</f>
        <v>52253404.969999969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500</v>
      </c>
      <c r="C123" s="175"/>
    </row>
    <row r="124" spans="1:3" ht="20.100000000000001" customHeight="1" x14ac:dyDescent="0.25">
      <c r="A124" s="174">
        <v>15</v>
      </c>
      <c r="B124" s="190" t="s">
        <v>501</v>
      </c>
      <c r="C124" s="191"/>
    </row>
    <row r="125" spans="1:3" ht="20.100000000000001" customHeight="1" x14ac:dyDescent="0.25">
      <c r="A125" s="195" t="s">
        <v>957</v>
      </c>
      <c r="B125" s="192" t="s">
        <v>502</v>
      </c>
      <c r="C125" s="191">
        <f>data!C370</f>
        <v>0</v>
      </c>
    </row>
    <row r="126" spans="1:3" ht="20.100000000000001" customHeight="1" x14ac:dyDescent="0.25">
      <c r="A126" s="195" t="s">
        <v>958</v>
      </c>
      <c r="B126" s="192" t="s">
        <v>503</v>
      </c>
      <c r="C126" s="191">
        <f>data!C371</f>
        <v>1527066</v>
      </c>
    </row>
    <row r="127" spans="1:3" ht="20.100000000000001" customHeight="1" x14ac:dyDescent="0.25">
      <c r="A127" s="195" t="s">
        <v>959</v>
      </c>
      <c r="B127" s="192" t="s">
        <v>504</v>
      </c>
      <c r="C127" s="191">
        <f>data!C372</f>
        <v>0</v>
      </c>
    </row>
    <row r="128" spans="1:3" ht="20.100000000000001" customHeight="1" x14ac:dyDescent="0.25">
      <c r="A128" s="195" t="s">
        <v>960</v>
      </c>
      <c r="B128" s="192" t="s">
        <v>505</v>
      </c>
      <c r="C128" s="191">
        <f>data!C373</f>
        <v>0</v>
      </c>
    </row>
    <row r="129" spans="1:3" ht="20.100000000000001" customHeight="1" x14ac:dyDescent="0.25">
      <c r="A129" s="195" t="s">
        <v>961</v>
      </c>
      <c r="B129" s="192" t="s">
        <v>506</v>
      </c>
      <c r="C129" s="191">
        <f>data!C374</f>
        <v>121.58</v>
      </c>
    </row>
    <row r="130" spans="1:3" ht="20.100000000000001" customHeight="1" x14ac:dyDescent="0.25">
      <c r="A130" s="195" t="s">
        <v>962</v>
      </c>
      <c r="B130" s="192" t="s">
        <v>507</v>
      </c>
      <c r="C130" s="191">
        <f>data!C375</f>
        <v>0</v>
      </c>
    </row>
    <row r="131" spans="1:3" ht="20.100000000000001" customHeight="1" x14ac:dyDescent="0.25">
      <c r="A131" s="195" t="s">
        <v>963</v>
      </c>
      <c r="B131" s="192" t="s">
        <v>508</v>
      </c>
      <c r="C131" s="191">
        <f>data!C376</f>
        <v>57824.05</v>
      </c>
    </row>
    <row r="132" spans="1:3" ht="20.100000000000001" customHeight="1" x14ac:dyDescent="0.25">
      <c r="A132" s="195" t="s">
        <v>964</v>
      </c>
      <c r="B132" s="192" t="s">
        <v>509</v>
      </c>
      <c r="C132" s="191">
        <f>data!C377</f>
        <v>0</v>
      </c>
    </row>
    <row r="133" spans="1:3" ht="20.100000000000001" customHeight="1" x14ac:dyDescent="0.25">
      <c r="A133" s="195" t="s">
        <v>965</v>
      </c>
      <c r="B133" s="192" t="s">
        <v>510</v>
      </c>
      <c r="C133" s="191">
        <f>data!C378</f>
        <v>158488.9</v>
      </c>
    </row>
    <row r="134" spans="1:3" ht="20.100000000000001" customHeight="1" x14ac:dyDescent="0.25">
      <c r="A134" s="195" t="s">
        <v>966</v>
      </c>
      <c r="B134" s="192" t="s">
        <v>511</v>
      </c>
      <c r="C134" s="191">
        <f>data!C379</f>
        <v>106180.71</v>
      </c>
    </row>
    <row r="135" spans="1:3" ht="20.100000000000001" customHeight="1" x14ac:dyDescent="0.25">
      <c r="A135" s="195" t="s">
        <v>967</v>
      </c>
      <c r="B135" s="192" t="s">
        <v>512</v>
      </c>
      <c r="C135" s="191">
        <f>data!C380</f>
        <v>1054178</v>
      </c>
    </row>
    <row r="136" spans="1:3" ht="20.100000000000001" customHeight="1" x14ac:dyDescent="0.25">
      <c r="A136" s="174">
        <v>16</v>
      </c>
      <c r="B136" s="176" t="s">
        <v>514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968</v>
      </c>
      <c r="C137" s="189">
        <f>data!D383</f>
        <v>2903859.24</v>
      </c>
    </row>
    <row r="138" spans="1:3" ht="20.100000000000001" customHeight="1" x14ac:dyDescent="0.25">
      <c r="A138" s="174">
        <v>18</v>
      </c>
      <c r="B138" s="176" t="s">
        <v>969</v>
      </c>
      <c r="C138" s="189">
        <f>data!D384</f>
        <v>55157264.209999971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970</v>
      </c>
      <c r="C140" s="175"/>
    </row>
    <row r="141" spans="1:3" ht="20.100000000000001" customHeight="1" x14ac:dyDescent="0.25">
      <c r="A141" s="174">
        <v>21</v>
      </c>
      <c r="B141" s="176" t="s">
        <v>518</v>
      </c>
      <c r="C141" s="189">
        <f>data!C389</f>
        <v>24369077.32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4981170.32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405444.27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5389095.2000000002</v>
      </c>
    </row>
    <row r="145" spans="1:3" ht="20.100000000000001" customHeight="1" x14ac:dyDescent="0.25">
      <c r="A145" s="174">
        <v>25</v>
      </c>
      <c r="B145" s="176" t="s">
        <v>971</v>
      </c>
      <c r="C145" s="189">
        <f>data!C393</f>
        <v>643791.25</v>
      </c>
    </row>
    <row r="146" spans="1:3" ht="20.100000000000001" customHeight="1" x14ac:dyDescent="0.25">
      <c r="A146" s="174">
        <v>26</v>
      </c>
      <c r="B146" s="176" t="s">
        <v>972</v>
      </c>
      <c r="C146" s="189">
        <f>data!C394</f>
        <v>7391445.71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783647.51</v>
      </c>
    </row>
    <row r="148" spans="1:3" ht="20.100000000000001" customHeight="1" x14ac:dyDescent="0.25">
      <c r="A148" s="174">
        <v>28</v>
      </c>
      <c r="B148" s="176" t="s">
        <v>973</v>
      </c>
      <c r="C148" s="189">
        <f>data!C396</f>
        <v>998489.52</v>
      </c>
    </row>
    <row r="149" spans="1:3" ht="20.100000000000001" customHeight="1" x14ac:dyDescent="0.25">
      <c r="A149" s="174">
        <v>29</v>
      </c>
      <c r="B149" s="176" t="s">
        <v>523</v>
      </c>
      <c r="C149" s="189">
        <f>data!C397</f>
        <v>603929.81000000006</v>
      </c>
    </row>
    <row r="150" spans="1:3" ht="20.100000000000001" customHeight="1" x14ac:dyDescent="0.25">
      <c r="A150" s="174">
        <v>30</v>
      </c>
      <c r="B150" s="176" t="s">
        <v>974</v>
      </c>
      <c r="C150" s="189">
        <f>data!C398</f>
        <v>2240367.17</v>
      </c>
    </row>
    <row r="151" spans="1:3" ht="20.100000000000001" customHeight="1" x14ac:dyDescent="0.25">
      <c r="A151" s="174">
        <v>31</v>
      </c>
      <c r="B151" s="176" t="s">
        <v>525</v>
      </c>
      <c r="C151" s="189">
        <f>data!C399</f>
        <v>2456469.41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975</v>
      </c>
      <c r="B153" s="193" t="s">
        <v>269</v>
      </c>
      <c r="C153" s="189">
        <f>data!C401</f>
        <v>0</v>
      </c>
    </row>
    <row r="154" spans="1:3" ht="20.100000000000001" customHeight="1" x14ac:dyDescent="0.25">
      <c r="A154" s="195" t="s">
        <v>976</v>
      </c>
      <c r="B154" s="193" t="s">
        <v>270</v>
      </c>
      <c r="C154" s="189">
        <f>data!C402</f>
        <v>2380812.39</v>
      </c>
    </row>
    <row r="155" spans="1:3" ht="20.100000000000001" customHeight="1" x14ac:dyDescent="0.25">
      <c r="A155" s="195" t="s">
        <v>977</v>
      </c>
      <c r="B155" s="193" t="s">
        <v>978</v>
      </c>
      <c r="C155" s="189">
        <f>data!C403</f>
        <v>0</v>
      </c>
    </row>
    <row r="156" spans="1:3" ht="20.100000000000001" customHeight="1" x14ac:dyDescent="0.25">
      <c r="A156" s="195" t="s">
        <v>979</v>
      </c>
      <c r="B156" s="193" t="s">
        <v>272</v>
      </c>
      <c r="C156" s="189">
        <f>data!C404</f>
        <v>0</v>
      </c>
    </row>
    <row r="157" spans="1:3" ht="20.100000000000001" customHeight="1" x14ac:dyDescent="0.25">
      <c r="A157" s="195" t="s">
        <v>980</v>
      </c>
      <c r="B157" s="193" t="s">
        <v>273</v>
      </c>
      <c r="C157" s="189">
        <f>data!C405</f>
        <v>0</v>
      </c>
    </row>
    <row r="158" spans="1:3" ht="20.100000000000001" customHeight="1" x14ac:dyDescent="0.25">
      <c r="A158" s="195" t="s">
        <v>981</v>
      </c>
      <c r="B158" s="193" t="s">
        <v>274</v>
      </c>
      <c r="C158" s="189">
        <f>data!C406</f>
        <v>0</v>
      </c>
    </row>
    <row r="159" spans="1:3" ht="20.100000000000001" customHeight="1" x14ac:dyDescent="0.25">
      <c r="A159" s="195" t="s">
        <v>982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983</v>
      </c>
      <c r="B160" s="193" t="s">
        <v>276</v>
      </c>
      <c r="C160" s="189">
        <f>data!C408</f>
        <v>295756.5</v>
      </c>
    </row>
    <row r="161" spans="1:3" ht="20.100000000000001" customHeight="1" x14ac:dyDescent="0.25">
      <c r="A161" s="195" t="s">
        <v>984</v>
      </c>
      <c r="B161" s="193" t="s">
        <v>277</v>
      </c>
      <c r="C161" s="189">
        <f>data!C409</f>
        <v>9319896.6300000008</v>
      </c>
    </row>
    <row r="162" spans="1:3" ht="20.100000000000001" customHeight="1" x14ac:dyDescent="0.25">
      <c r="A162" s="195" t="s">
        <v>985</v>
      </c>
      <c r="B162" s="193" t="s">
        <v>278</v>
      </c>
      <c r="C162" s="189">
        <f>data!C410</f>
        <v>0</v>
      </c>
    </row>
    <row r="163" spans="1:3" ht="20.100000000000001" customHeight="1" x14ac:dyDescent="0.25">
      <c r="A163" s="195" t="s">
        <v>986</v>
      </c>
      <c r="B163" s="193" t="s">
        <v>279</v>
      </c>
      <c r="C163" s="189">
        <f>data!C411</f>
        <v>0</v>
      </c>
    </row>
    <row r="164" spans="1:3" ht="20.100000000000001" customHeight="1" x14ac:dyDescent="0.25">
      <c r="A164" s="195" t="s">
        <v>987</v>
      </c>
      <c r="B164" s="193" t="s">
        <v>280</v>
      </c>
      <c r="C164" s="189">
        <f>data!C412</f>
        <v>0</v>
      </c>
    </row>
    <row r="165" spans="1:3" ht="20.100000000000001" customHeight="1" x14ac:dyDescent="0.25">
      <c r="A165" s="195" t="s">
        <v>988</v>
      </c>
      <c r="B165" s="193" t="s">
        <v>281</v>
      </c>
      <c r="C165" s="189">
        <f>data!C413</f>
        <v>0</v>
      </c>
    </row>
    <row r="166" spans="1:3" ht="20.100000000000001" customHeight="1" x14ac:dyDescent="0.25">
      <c r="A166" s="195" t="s">
        <v>989</v>
      </c>
      <c r="B166" s="193" t="s">
        <v>990</v>
      </c>
      <c r="C166" s="189">
        <f>data!C414</f>
        <v>368913.12</v>
      </c>
    </row>
    <row r="167" spans="1:3" ht="20.100000000000001" customHeight="1" x14ac:dyDescent="0.25">
      <c r="A167" s="174">
        <v>34</v>
      </c>
      <c r="B167" s="176" t="s">
        <v>991</v>
      </c>
      <c r="C167" s="189">
        <f>data!D416</f>
        <v>62628306.13000001</v>
      </c>
    </row>
    <row r="168" spans="1:3" ht="20.100000000000001" customHeight="1" x14ac:dyDescent="0.25">
      <c r="A168" s="174">
        <v>35</v>
      </c>
      <c r="B168" s="176" t="s">
        <v>992</v>
      </c>
      <c r="C168" s="189">
        <f>data!D417</f>
        <v>-7471041.920000039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993</v>
      </c>
      <c r="C170" s="189">
        <f>data!D420</f>
        <v>0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994</v>
      </c>
      <c r="C172" s="176">
        <f>data!D421</f>
        <v>-7471041.920000039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995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996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997</v>
      </c>
      <c r="C177" s="189">
        <f>data!D424</f>
        <v>-7471041.920000039</v>
      </c>
    </row>
    <row r="178" spans="1:3" ht="20.100000000000001" customHeight="1" x14ac:dyDescent="0.25">
      <c r="A178" s="179">
        <v>45</v>
      </c>
      <c r="B178" s="178" t="s">
        <v>998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999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1000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ASTRIA TOPPENISH HOSPITAL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1001</v>
      </c>
      <c r="C6" s="243" t="s">
        <v>117</v>
      </c>
      <c r="D6" s="244" t="s">
        <v>1002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1003</v>
      </c>
      <c r="E7" s="244" t="s">
        <v>189</v>
      </c>
      <c r="F7" s="244" t="s">
        <v>1004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1005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316</v>
      </c>
      <c r="D9" s="238">
        <f>data!D59</f>
        <v>0</v>
      </c>
      <c r="E9" s="238">
        <f>data!E59</f>
        <v>1613</v>
      </c>
      <c r="F9" s="238">
        <f>data!F59</f>
        <v>0</v>
      </c>
      <c r="G9" s="238">
        <f>data!G59</f>
        <v>0</v>
      </c>
      <c r="H9" s="238">
        <f>data!H59</f>
        <v>5144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0.77</v>
      </c>
      <c r="D10" s="245">
        <f>data!D60</f>
        <v>0</v>
      </c>
      <c r="E10" s="245">
        <f>data!E60</f>
        <v>12.89</v>
      </c>
      <c r="F10" s="245">
        <f>data!F60</f>
        <v>0</v>
      </c>
      <c r="G10" s="245">
        <f>data!G60</f>
        <v>0</v>
      </c>
      <c r="H10" s="245">
        <f>data!H60</f>
        <v>29.51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123972.38</v>
      </c>
      <c r="D11" s="238">
        <f>data!D61</f>
        <v>0</v>
      </c>
      <c r="E11" s="238">
        <f>data!E61</f>
        <v>1123907.53</v>
      </c>
      <c r="F11" s="238">
        <f>data!F61</f>
        <v>0</v>
      </c>
      <c r="G11" s="238">
        <f>data!G61</f>
        <v>0</v>
      </c>
      <c r="H11" s="238">
        <f>data!H61</f>
        <v>2650392.5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26346</v>
      </c>
      <c r="D12" s="238">
        <f>data!D62</f>
        <v>0</v>
      </c>
      <c r="E12" s="238">
        <f>data!E62</f>
        <v>248132</v>
      </c>
      <c r="F12" s="238">
        <f>data!F62</f>
        <v>0</v>
      </c>
      <c r="G12" s="238">
        <f>data!G62</f>
        <v>0</v>
      </c>
      <c r="H12" s="238">
        <f>data!H62</f>
        <v>576595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0</v>
      </c>
      <c r="D13" s="238">
        <f>data!D63</f>
        <v>0</v>
      </c>
      <c r="E13" s="238">
        <f>data!E63</f>
        <v>0</v>
      </c>
      <c r="F13" s="238">
        <f>data!F63</f>
        <v>0</v>
      </c>
      <c r="G13" s="238">
        <f>data!G63</f>
        <v>0</v>
      </c>
      <c r="H13" s="238">
        <f>data!H63</f>
        <v>74820.899999999994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54409.279999999999</v>
      </c>
      <c r="D14" s="238">
        <f>data!D64</f>
        <v>0</v>
      </c>
      <c r="E14" s="238">
        <f>data!E64</f>
        <v>94604.7</v>
      </c>
      <c r="F14" s="238">
        <f>data!F64</f>
        <v>0</v>
      </c>
      <c r="G14" s="238">
        <f>data!G64</f>
        <v>0</v>
      </c>
      <c r="H14" s="238">
        <f>data!H64</f>
        <v>22768.01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520</v>
      </c>
      <c r="C15" s="238">
        <f>data!C82</f>
        <v>0</v>
      </c>
      <c r="D15" s="238">
        <f>data!D82</f>
        <v>0</v>
      </c>
      <c r="E15" s="238">
        <f>data!E82</f>
        <v>780.36</v>
      </c>
      <c r="F15" s="238">
        <f>data!F82</f>
        <v>0</v>
      </c>
      <c r="G15" s="238">
        <f>data!G82</f>
        <v>0</v>
      </c>
      <c r="H15" s="238">
        <f>data!H82</f>
        <v>349.7</v>
      </c>
      <c r="I15" s="238">
        <f>data!I82</f>
        <v>0</v>
      </c>
    </row>
    <row r="16" spans="1:9" ht="20.100000000000001" customHeight="1" x14ac:dyDescent="0.2">
      <c r="A16" s="230">
        <v>11</v>
      </c>
      <c r="B16" s="238" t="s">
        <v>521</v>
      </c>
      <c r="C16" s="238">
        <f>data!C66</f>
        <v>435.24</v>
      </c>
      <c r="D16" s="238">
        <f>data!D66</f>
        <v>0</v>
      </c>
      <c r="E16" s="238">
        <f>data!E66</f>
        <v>100285.39</v>
      </c>
      <c r="F16" s="238">
        <f>data!F66</f>
        <v>0</v>
      </c>
      <c r="G16" s="238">
        <f>data!G66</f>
        <v>0</v>
      </c>
      <c r="H16" s="238">
        <f>data!H66</f>
        <v>918.71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26360</v>
      </c>
      <c r="D17" s="238">
        <f>data!D67</f>
        <v>0</v>
      </c>
      <c r="E17" s="238">
        <f>data!E67</f>
        <v>31136</v>
      </c>
      <c r="F17" s="238">
        <f>data!F67</f>
        <v>0</v>
      </c>
      <c r="G17" s="238">
        <f>data!G67</f>
        <v>0</v>
      </c>
      <c r="H17" s="238">
        <f>data!H67</f>
        <v>49561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1006</v>
      </c>
      <c r="C18" s="238">
        <f>data!C68</f>
        <v>6801.4</v>
      </c>
      <c r="D18" s="238">
        <f>data!D68</f>
        <v>0</v>
      </c>
      <c r="E18" s="238">
        <f>data!E68</f>
        <v>692.01</v>
      </c>
      <c r="F18" s="238">
        <f>data!F68</f>
        <v>0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1007</v>
      </c>
      <c r="C19" s="238">
        <f>data!C69</f>
        <v>6894.79</v>
      </c>
      <c r="D19" s="238">
        <f>data!D69</f>
        <v>0</v>
      </c>
      <c r="E19" s="238">
        <f>data!E69</f>
        <v>1156441.7300000002</v>
      </c>
      <c r="F19" s="238">
        <f>data!F69</f>
        <v>0</v>
      </c>
      <c r="G19" s="238">
        <f>data!G69</f>
        <v>0</v>
      </c>
      <c r="H19" s="238">
        <f>data!H69</f>
        <v>303676.26000000007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0</v>
      </c>
      <c r="D20" s="238">
        <f>-data!D84</f>
        <v>0</v>
      </c>
      <c r="E20" s="238">
        <f>-data!E84</f>
        <v>0</v>
      </c>
      <c r="F20" s="238">
        <f>-data!F84</f>
        <v>0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1008</v>
      </c>
      <c r="C21" s="238">
        <f>data!C85</f>
        <v>245219.09</v>
      </c>
      <c r="D21" s="238">
        <f>data!D85</f>
        <v>0</v>
      </c>
      <c r="E21" s="238">
        <f>data!E85</f>
        <v>2755199.3600000003</v>
      </c>
      <c r="F21" s="238">
        <f>data!F85</f>
        <v>0</v>
      </c>
      <c r="G21" s="238">
        <f>data!G85</f>
        <v>0</v>
      </c>
      <c r="H21" s="238">
        <f>data!H85</f>
        <v>3678732.38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1009</v>
      </c>
      <c r="C23" s="246" t="e">
        <f>+data!M668</f>
        <v>#DIV/0!</v>
      </c>
      <c r="D23" s="246" t="e">
        <f>+data!M669</f>
        <v>#DIV/0!</v>
      </c>
      <c r="E23" s="246" t="e">
        <f>+data!M670</f>
        <v>#DIV/0!</v>
      </c>
      <c r="F23" s="246" t="e">
        <f>+data!M671</f>
        <v>#DIV/0!</v>
      </c>
      <c r="G23" s="246" t="e">
        <f>+data!M672</f>
        <v>#DIV/0!</v>
      </c>
      <c r="H23" s="246" t="e">
        <f>+data!M673</f>
        <v>#DIV/0!</v>
      </c>
      <c r="I23" s="246" t="e">
        <f>+data!M674</f>
        <v>#DIV/0!</v>
      </c>
    </row>
    <row r="24" spans="1:9" ht="20.100000000000001" customHeight="1" x14ac:dyDescent="0.2">
      <c r="A24" s="230">
        <v>19</v>
      </c>
      <c r="B24" s="246" t="s">
        <v>1010</v>
      </c>
      <c r="C24" s="238">
        <f>data!C87</f>
        <v>40238</v>
      </c>
      <c r="D24" s="238">
        <f>data!D87</f>
        <v>0</v>
      </c>
      <c r="E24" s="238">
        <f>data!E87</f>
        <v>-3837399.87</v>
      </c>
      <c r="F24" s="238">
        <f>data!F87</f>
        <v>0</v>
      </c>
      <c r="G24" s="238">
        <f>data!G87</f>
        <v>0</v>
      </c>
      <c r="H24" s="238">
        <f>data!H87</f>
        <v>-11543136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1011</v>
      </c>
      <c r="C25" s="238">
        <f>data!C88</f>
        <v>0</v>
      </c>
      <c r="D25" s="238">
        <f>data!D88</f>
        <v>0</v>
      </c>
      <c r="E25" s="238">
        <f>data!E88</f>
        <v>-6859318.21</v>
      </c>
      <c r="F25" s="238">
        <f>data!F88</f>
        <v>0</v>
      </c>
      <c r="G25" s="238">
        <f>data!G88</f>
        <v>0</v>
      </c>
      <c r="H25" s="238">
        <f>data!H88</f>
        <v>0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1012</v>
      </c>
      <c r="C26" s="238">
        <f>data!C89</f>
        <v>40238</v>
      </c>
      <c r="D26" s="238">
        <f>data!D89</f>
        <v>0</v>
      </c>
      <c r="E26" s="238">
        <f>data!E89</f>
        <v>-10696718.08</v>
      </c>
      <c r="F26" s="238">
        <f>data!F89</f>
        <v>0</v>
      </c>
      <c r="G26" s="238">
        <f>data!G89</f>
        <v>0</v>
      </c>
      <c r="H26" s="238">
        <f>data!H89</f>
        <v>-11543136</v>
      </c>
      <c r="I26" s="238">
        <f>data!I89</f>
        <v>0</v>
      </c>
    </row>
    <row r="27" spans="1:9" ht="20.100000000000001" customHeight="1" x14ac:dyDescent="0.2">
      <c r="A27" s="230" t="s">
        <v>1013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1014</v>
      </c>
      <c r="C28" s="238">
        <f>data!C90</f>
        <v>2395</v>
      </c>
      <c r="D28" s="238">
        <f>data!D90</f>
        <v>0</v>
      </c>
      <c r="E28" s="238">
        <f>data!E90</f>
        <v>2829</v>
      </c>
      <c r="F28" s="238">
        <f>data!F90</f>
        <v>0</v>
      </c>
      <c r="G28" s="238">
        <f>data!G90</f>
        <v>0</v>
      </c>
      <c r="H28" s="238">
        <f>data!H90</f>
        <v>4503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1015</v>
      </c>
      <c r="C29" s="238">
        <f>data!C91</f>
        <v>4906</v>
      </c>
      <c r="D29" s="238">
        <f>data!D91</f>
        <v>0</v>
      </c>
      <c r="E29" s="238">
        <f>data!E91</f>
        <v>0</v>
      </c>
      <c r="F29" s="238">
        <f>data!F91</f>
        <v>0</v>
      </c>
      <c r="G29" s="238">
        <f>data!G91</f>
        <v>0</v>
      </c>
      <c r="H29" s="238">
        <f>data!H91</f>
        <v>15430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1016</v>
      </c>
      <c r="C30" s="238">
        <f>data!C92</f>
        <v>0</v>
      </c>
      <c r="D30" s="238">
        <f>data!D92</f>
        <v>0</v>
      </c>
      <c r="E30" s="238">
        <f>data!E92</f>
        <v>0</v>
      </c>
      <c r="F30" s="238">
        <f>data!F92</f>
        <v>0</v>
      </c>
      <c r="G30" s="238">
        <f>data!G92</f>
        <v>0</v>
      </c>
      <c r="H30" s="238">
        <f>data!H92</f>
        <v>0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1017</v>
      </c>
      <c r="C31" s="238">
        <f>data!C93</f>
        <v>63855</v>
      </c>
      <c r="D31" s="238">
        <f>data!D93</f>
        <v>0</v>
      </c>
      <c r="E31" s="238">
        <f>data!E93</f>
        <v>0</v>
      </c>
      <c r="F31" s="238">
        <f>data!F93</f>
        <v>0</v>
      </c>
      <c r="G31" s="238">
        <f>data!G93</f>
        <v>0</v>
      </c>
      <c r="H31" s="238">
        <f>data!H93</f>
        <v>45074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0.73</v>
      </c>
      <c r="D32" s="245">
        <f>data!D94</f>
        <v>0</v>
      </c>
      <c r="E32" s="245">
        <f>data!E94</f>
        <v>5.79</v>
      </c>
      <c r="F32" s="245">
        <f>data!F94</f>
        <v>0</v>
      </c>
      <c r="G32" s="245">
        <f>data!G94</f>
        <v>0</v>
      </c>
      <c r="H32" s="245">
        <f>data!H94</f>
        <v>8.82</v>
      </c>
      <c r="I32" s="245">
        <f>data!I94</f>
        <v>0</v>
      </c>
    </row>
    <row r="33" spans="1:9" ht="20.100000000000001" customHeight="1" x14ac:dyDescent="0.2">
      <c r="A33" s="231" t="s">
        <v>999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1018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ASTRIA TOPPENISH HOSPITAL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1001</v>
      </c>
      <c r="C38" s="244"/>
      <c r="D38" s="244" t="s">
        <v>125</v>
      </c>
      <c r="E38" s="244" t="s">
        <v>126</v>
      </c>
      <c r="F38" s="244" t="s">
        <v>1019</v>
      </c>
      <c r="G38" s="244" t="s">
        <v>128</v>
      </c>
      <c r="H38" s="244" t="s">
        <v>1020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1005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0</v>
      </c>
      <c r="D41" s="238">
        <f>data!K59</f>
        <v>0</v>
      </c>
      <c r="E41" s="238">
        <f>data!L59</f>
        <v>0</v>
      </c>
      <c r="F41" s="238">
        <f>data!M59</f>
        <v>0</v>
      </c>
      <c r="G41" s="238">
        <f>data!N59</f>
        <v>0</v>
      </c>
      <c r="H41" s="238">
        <f>data!O59</f>
        <v>0</v>
      </c>
      <c r="I41" s="238">
        <f>data!P59</f>
        <v>0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0</v>
      </c>
      <c r="D42" s="245">
        <f>data!K60</f>
        <v>0</v>
      </c>
      <c r="E42" s="245">
        <f>data!L60</f>
        <v>0</v>
      </c>
      <c r="F42" s="245">
        <f>data!M60</f>
        <v>0</v>
      </c>
      <c r="G42" s="245">
        <f>data!N60</f>
        <v>0</v>
      </c>
      <c r="H42" s="245">
        <f>data!O60</f>
        <v>0</v>
      </c>
      <c r="I42" s="245">
        <f>data!P60</f>
        <v>22.12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0</v>
      </c>
      <c r="D43" s="238">
        <f>data!K61</f>
        <v>0</v>
      </c>
      <c r="E43" s="238">
        <f>data!L61</f>
        <v>0</v>
      </c>
      <c r="F43" s="238">
        <f>data!M61</f>
        <v>0</v>
      </c>
      <c r="G43" s="238">
        <f>data!N61</f>
        <v>0</v>
      </c>
      <c r="H43" s="238">
        <f>data!O61</f>
        <v>0</v>
      </c>
      <c r="I43" s="238">
        <f>data!P61</f>
        <v>2120540.39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0</v>
      </c>
      <c r="D44" s="238">
        <f>data!K62</f>
        <v>0</v>
      </c>
      <c r="E44" s="238">
        <f>data!L62</f>
        <v>0</v>
      </c>
      <c r="F44" s="238">
        <f>data!M62</f>
        <v>0</v>
      </c>
      <c r="G44" s="238">
        <f>data!N62</f>
        <v>0</v>
      </c>
      <c r="H44" s="238">
        <f>data!O62</f>
        <v>0</v>
      </c>
      <c r="I44" s="238">
        <f>data!P62</f>
        <v>486106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0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0</v>
      </c>
      <c r="H45" s="238">
        <f>data!O63</f>
        <v>0</v>
      </c>
      <c r="I45" s="238">
        <f>data!P63</f>
        <v>0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0</v>
      </c>
      <c r="D46" s="238">
        <f>data!K64</f>
        <v>0</v>
      </c>
      <c r="E46" s="238">
        <f>data!L64</f>
        <v>0</v>
      </c>
      <c r="F46" s="238">
        <f>data!M64</f>
        <v>0</v>
      </c>
      <c r="G46" s="238">
        <f>data!N64</f>
        <v>0</v>
      </c>
      <c r="H46" s="238">
        <f>data!O64</f>
        <v>0</v>
      </c>
      <c r="I46" s="238">
        <f>data!P64</f>
        <v>2455112.94</v>
      </c>
    </row>
    <row r="47" spans="1:9" ht="20.100000000000001" customHeight="1" x14ac:dyDescent="0.2">
      <c r="A47" s="230">
        <v>10</v>
      </c>
      <c r="B47" s="238" t="s">
        <v>520</v>
      </c>
      <c r="C47" s="238">
        <f>data!J82</f>
        <v>0</v>
      </c>
      <c r="D47" s="238">
        <f>data!K82</f>
        <v>0</v>
      </c>
      <c r="E47" s="238">
        <f>data!L82</f>
        <v>0</v>
      </c>
      <c r="F47" s="238">
        <f>data!M82</f>
        <v>0</v>
      </c>
      <c r="G47" s="238">
        <f>data!N82</f>
        <v>0</v>
      </c>
      <c r="H47" s="238">
        <f>data!O82</f>
        <v>0</v>
      </c>
      <c r="I47" s="238">
        <f>data!P82</f>
        <v>13657.91</v>
      </c>
    </row>
    <row r="48" spans="1:9" ht="20.100000000000001" customHeight="1" x14ac:dyDescent="0.2">
      <c r="A48" s="230">
        <v>11</v>
      </c>
      <c r="B48" s="238" t="s">
        <v>521</v>
      </c>
      <c r="C48" s="238">
        <f>data!J66</f>
        <v>0</v>
      </c>
      <c r="D48" s="238">
        <f>data!K66</f>
        <v>0</v>
      </c>
      <c r="E48" s="238">
        <f>data!L66</f>
        <v>0</v>
      </c>
      <c r="F48" s="238">
        <f>data!M66</f>
        <v>0</v>
      </c>
      <c r="G48" s="238">
        <f>data!N66</f>
        <v>0</v>
      </c>
      <c r="H48" s="238">
        <f>data!O66</f>
        <v>0</v>
      </c>
      <c r="I48" s="238">
        <f>data!P66</f>
        <v>127201.15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0</v>
      </c>
      <c r="D49" s="238">
        <f>data!K67</f>
        <v>0</v>
      </c>
      <c r="E49" s="238">
        <f>data!L67</f>
        <v>0</v>
      </c>
      <c r="F49" s="238">
        <f>data!M67</f>
        <v>0</v>
      </c>
      <c r="G49" s="238">
        <f>data!N67</f>
        <v>0</v>
      </c>
      <c r="H49" s="238">
        <f>data!O67</f>
        <v>77054</v>
      </c>
      <c r="I49" s="238">
        <f>data!P67</f>
        <v>138457</v>
      </c>
    </row>
    <row r="50" spans="1:11" ht="20.100000000000001" customHeight="1" x14ac:dyDescent="0.2">
      <c r="A50" s="230">
        <v>13</v>
      </c>
      <c r="B50" s="238" t="s">
        <v>1006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0</v>
      </c>
      <c r="H50" s="238">
        <f>data!O68</f>
        <v>0</v>
      </c>
      <c r="I50" s="238">
        <f>data!P68</f>
        <v>274989.03999999998</v>
      </c>
    </row>
    <row r="51" spans="1:11" ht="20.100000000000001" customHeight="1" x14ac:dyDescent="0.2">
      <c r="A51" s="230">
        <v>14</v>
      </c>
      <c r="B51" s="238" t="s">
        <v>1007</v>
      </c>
      <c r="C51" s="238">
        <f>data!J69</f>
        <v>0</v>
      </c>
      <c r="D51" s="238">
        <f>data!K69</f>
        <v>0</v>
      </c>
      <c r="E51" s="238">
        <f>data!L69</f>
        <v>0</v>
      </c>
      <c r="F51" s="238">
        <f>data!M69</f>
        <v>0</v>
      </c>
      <c r="G51" s="238">
        <f>data!N69</f>
        <v>0</v>
      </c>
      <c r="H51" s="238">
        <f>data!O69</f>
        <v>0</v>
      </c>
      <c r="I51" s="238">
        <f>data!P69</f>
        <v>609451.43000000005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0</v>
      </c>
      <c r="I52" s="238">
        <f>-data!P84</f>
        <v>0</v>
      </c>
    </row>
    <row r="53" spans="1:11" ht="20.100000000000001" customHeight="1" x14ac:dyDescent="0.2">
      <c r="A53" s="230">
        <v>16</v>
      </c>
      <c r="B53" s="246" t="s">
        <v>1008</v>
      </c>
      <c r="C53" s="238">
        <f>data!J85</f>
        <v>0</v>
      </c>
      <c r="D53" s="238">
        <f>data!K85</f>
        <v>0</v>
      </c>
      <c r="E53" s="238">
        <f>data!L85</f>
        <v>0</v>
      </c>
      <c r="F53" s="238">
        <f>data!M85</f>
        <v>0</v>
      </c>
      <c r="G53" s="238">
        <f>data!N85</f>
        <v>0</v>
      </c>
      <c r="H53" s="238">
        <f>data!O85</f>
        <v>77054</v>
      </c>
      <c r="I53" s="238">
        <f>data!P85</f>
        <v>6211857.9500000002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1009</v>
      </c>
      <c r="C55" s="246" t="e">
        <f>+data!M675</f>
        <v>#DIV/0!</v>
      </c>
      <c r="D55" s="246" t="e">
        <f>+data!M676</f>
        <v>#DIV/0!</v>
      </c>
      <c r="E55" s="246" t="e">
        <f>+data!M691</f>
        <v>#DIV/0!</v>
      </c>
      <c r="F55" s="246" t="e">
        <f>+data!M692</f>
        <v>#DIV/0!</v>
      </c>
      <c r="G55" s="246" t="e">
        <f>+data!M693</f>
        <v>#DIV/0!</v>
      </c>
      <c r="H55" s="246" t="e">
        <f>+data!M680</f>
        <v>#DIV/0!</v>
      </c>
      <c r="I55" s="246" t="e">
        <f>+data!M681</f>
        <v>#DIV/0!</v>
      </c>
    </row>
    <row r="56" spans="1:11" ht="20.100000000000001" customHeight="1" x14ac:dyDescent="0.2">
      <c r="A56" s="230">
        <v>19</v>
      </c>
      <c r="B56" s="246" t="s">
        <v>1010</v>
      </c>
      <c r="C56" s="238">
        <f>data!J87</f>
        <v>0</v>
      </c>
      <c r="D56" s="238">
        <f>data!K87</f>
        <v>0</v>
      </c>
      <c r="E56" s="238">
        <f>data!L87</f>
        <v>0</v>
      </c>
      <c r="F56" s="238">
        <f>data!M87</f>
        <v>0</v>
      </c>
      <c r="G56" s="238">
        <f>data!N87</f>
        <v>0</v>
      </c>
      <c r="H56" s="238">
        <f>data!O87</f>
        <v>7464</v>
      </c>
      <c r="I56" s="238">
        <f>data!P87</f>
        <v>-2379608.9</v>
      </c>
    </row>
    <row r="57" spans="1:11" ht="20.100000000000001" customHeight="1" x14ac:dyDescent="0.2">
      <c r="A57" s="230">
        <v>20</v>
      </c>
      <c r="B57" s="246" t="s">
        <v>1011</v>
      </c>
      <c r="C57" s="238">
        <f>data!J88</f>
        <v>0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1326</v>
      </c>
      <c r="I57" s="238">
        <f>data!P88</f>
        <v>-41873827.920000002</v>
      </c>
    </row>
    <row r="58" spans="1:11" ht="20.100000000000001" customHeight="1" x14ac:dyDescent="0.2">
      <c r="A58" s="230">
        <v>21</v>
      </c>
      <c r="B58" s="246" t="s">
        <v>1012</v>
      </c>
      <c r="C58" s="238">
        <f>data!J89</f>
        <v>0</v>
      </c>
      <c r="D58" s="238">
        <f>data!K89</f>
        <v>0</v>
      </c>
      <c r="E58" s="238">
        <f>data!L89</f>
        <v>0</v>
      </c>
      <c r="F58" s="238">
        <f>data!M89</f>
        <v>0</v>
      </c>
      <c r="G58" s="238">
        <f>data!N89</f>
        <v>0</v>
      </c>
      <c r="H58" s="238">
        <f>data!O89</f>
        <v>8790</v>
      </c>
      <c r="I58" s="238">
        <f>data!P89</f>
        <v>-44253436.82</v>
      </c>
    </row>
    <row r="59" spans="1:11" ht="20.100000000000001" customHeight="1" x14ac:dyDescent="0.2">
      <c r="A59" s="230" t="s">
        <v>1013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1014</v>
      </c>
      <c r="C60" s="238">
        <f>data!J90</f>
        <v>0</v>
      </c>
      <c r="D60" s="238">
        <f>data!K90</f>
        <v>0</v>
      </c>
      <c r="E60" s="238">
        <f>data!L90</f>
        <v>0</v>
      </c>
      <c r="F60" s="238">
        <f>data!M90</f>
        <v>0</v>
      </c>
      <c r="G60" s="238">
        <f>data!N90</f>
        <v>0</v>
      </c>
      <c r="H60" s="238">
        <f>data!O90</f>
        <v>7001</v>
      </c>
      <c r="I60" s="238">
        <f>data!P90</f>
        <v>12580</v>
      </c>
      <c r="K60" s="249"/>
    </row>
    <row r="61" spans="1:11" ht="20.100000000000001" customHeight="1" x14ac:dyDescent="0.2">
      <c r="A61" s="230">
        <v>23</v>
      </c>
      <c r="B61" s="238" t="s">
        <v>1015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2755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1016</v>
      </c>
      <c r="C62" s="238">
        <f>data!J92</f>
        <v>0</v>
      </c>
      <c r="D62" s="238">
        <f>data!K92</f>
        <v>0</v>
      </c>
      <c r="E62" s="238">
        <f>data!L92</f>
        <v>0</v>
      </c>
      <c r="F62" s="238">
        <f>data!M92</f>
        <v>0</v>
      </c>
      <c r="G62" s="238">
        <f>data!N92</f>
        <v>0</v>
      </c>
      <c r="H62" s="238">
        <f>data!O92</f>
        <v>0</v>
      </c>
      <c r="I62" s="238">
        <f>data!P92</f>
        <v>0</v>
      </c>
    </row>
    <row r="63" spans="1:11" ht="20.100000000000001" customHeight="1" x14ac:dyDescent="0.2">
      <c r="A63" s="230">
        <v>25</v>
      </c>
      <c r="B63" s="238" t="s">
        <v>1017</v>
      </c>
      <c r="C63" s="238">
        <f>data!J93</f>
        <v>0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0</v>
      </c>
      <c r="I63" s="238">
        <f>data!P93</f>
        <v>75124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0</v>
      </c>
      <c r="D64" s="245">
        <f>data!K94</f>
        <v>0</v>
      </c>
      <c r="E64" s="245">
        <f>data!L94</f>
        <v>0</v>
      </c>
      <c r="F64" s="245">
        <f>data!M94</f>
        <v>0</v>
      </c>
      <c r="G64" s="245">
        <f>data!N94</f>
        <v>0</v>
      </c>
      <c r="H64" s="245">
        <f>data!O94</f>
        <v>0</v>
      </c>
      <c r="I64" s="245">
        <f>data!P94</f>
        <v>10.06</v>
      </c>
    </row>
    <row r="65" spans="1:9" ht="20.100000000000001" customHeight="1" x14ac:dyDescent="0.2">
      <c r="A65" s="231" t="s">
        <v>999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1021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ASTRIA TOPPENISH HOSPITAL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1001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1022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1005</v>
      </c>
      <c r="C72" s="240" t="s">
        <v>1023</v>
      </c>
      <c r="D72" s="239" t="s">
        <v>1024</v>
      </c>
      <c r="E72" s="250"/>
      <c r="F72" s="250"/>
      <c r="G72" s="239" t="s">
        <v>1025</v>
      </c>
      <c r="H72" s="239" t="s">
        <v>1025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0</v>
      </c>
      <c r="D73" s="246">
        <f>data!R59</f>
        <v>0</v>
      </c>
      <c r="E73" s="250"/>
      <c r="F73" s="250"/>
      <c r="G73" s="238">
        <f>data!U59</f>
        <v>0</v>
      </c>
      <c r="H73" s="238">
        <f>data!V59</f>
        <v>0</v>
      </c>
      <c r="I73" s="238">
        <f>data!W59</f>
        <v>0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3.82</v>
      </c>
      <c r="D74" s="245">
        <f>data!R60</f>
        <v>0</v>
      </c>
      <c r="E74" s="245">
        <f>data!S60</f>
        <v>0.01</v>
      </c>
      <c r="F74" s="245">
        <f>data!T60</f>
        <v>0</v>
      </c>
      <c r="G74" s="245">
        <f>data!U60</f>
        <v>11.69</v>
      </c>
      <c r="H74" s="245">
        <f>data!V60</f>
        <v>1.07</v>
      </c>
      <c r="I74" s="245">
        <f>data!W60</f>
        <v>0.02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534443.81999999995</v>
      </c>
      <c r="D75" s="238">
        <f>data!R61</f>
        <v>0</v>
      </c>
      <c r="E75" s="238">
        <f>data!S61</f>
        <v>481.75</v>
      </c>
      <c r="F75" s="238">
        <f>data!T61</f>
        <v>0</v>
      </c>
      <c r="G75" s="238">
        <f>data!U61</f>
        <v>888319.84</v>
      </c>
      <c r="H75" s="238">
        <f>data!V61</f>
        <v>113194.88</v>
      </c>
      <c r="I75" s="238">
        <f>data!W61</f>
        <v>-264.97000000000003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116206</v>
      </c>
      <c r="D76" s="238">
        <f>data!R62</f>
        <v>0</v>
      </c>
      <c r="E76" s="238">
        <f>data!S62</f>
        <v>117</v>
      </c>
      <c r="F76" s="238">
        <f>data!T62</f>
        <v>0</v>
      </c>
      <c r="G76" s="238">
        <f>data!U62</f>
        <v>201058</v>
      </c>
      <c r="H76" s="238">
        <f>data!V62</f>
        <v>21449</v>
      </c>
      <c r="I76" s="238">
        <f>data!W62</f>
        <v>73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0</v>
      </c>
      <c r="D77" s="238">
        <f>data!R63</f>
        <v>0</v>
      </c>
      <c r="E77" s="238">
        <f>data!S63</f>
        <v>0</v>
      </c>
      <c r="F77" s="238">
        <f>data!T63</f>
        <v>0</v>
      </c>
      <c r="G77" s="238">
        <f>data!U63</f>
        <v>60000</v>
      </c>
      <c r="H77" s="238">
        <f>data!V63</f>
        <v>0</v>
      </c>
      <c r="I77" s="238">
        <f>data!W63</f>
        <v>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38175.56</v>
      </c>
      <c r="D78" s="238">
        <f>data!R64</f>
        <v>15431.12</v>
      </c>
      <c r="E78" s="238">
        <f>data!S64</f>
        <v>-246449.21</v>
      </c>
      <c r="F78" s="238">
        <f>data!T64</f>
        <v>0</v>
      </c>
      <c r="G78" s="238">
        <f>data!U64</f>
        <v>848710.93</v>
      </c>
      <c r="H78" s="238">
        <f>data!V64</f>
        <v>0</v>
      </c>
      <c r="I78" s="238">
        <f>data!W64</f>
        <v>0</v>
      </c>
    </row>
    <row r="79" spans="1:9" ht="20.100000000000001" customHeight="1" x14ac:dyDescent="0.2">
      <c r="A79" s="230">
        <v>10</v>
      </c>
      <c r="B79" s="238" t="s">
        <v>520</v>
      </c>
      <c r="C79" s="238">
        <f>data!Q82</f>
        <v>0</v>
      </c>
      <c r="D79" s="238">
        <f>data!R82</f>
        <v>0</v>
      </c>
      <c r="E79" s="238">
        <f>data!S82</f>
        <v>0</v>
      </c>
      <c r="F79" s="238">
        <f>data!T82</f>
        <v>0</v>
      </c>
      <c r="G79" s="238">
        <f>data!U82</f>
        <v>75</v>
      </c>
      <c r="H79" s="238">
        <f>data!V82</f>
        <v>0</v>
      </c>
      <c r="I79" s="238">
        <f>data!W82</f>
        <v>0</v>
      </c>
    </row>
    <row r="80" spans="1:9" ht="20.100000000000001" customHeight="1" x14ac:dyDescent="0.2">
      <c r="A80" s="230">
        <v>11</v>
      </c>
      <c r="B80" s="238" t="s">
        <v>521</v>
      </c>
      <c r="C80" s="238">
        <f>data!Q66</f>
        <v>0</v>
      </c>
      <c r="D80" s="238">
        <f>data!R66</f>
        <v>1115851.2</v>
      </c>
      <c r="E80" s="238">
        <f>data!S66</f>
        <v>12355.2</v>
      </c>
      <c r="F80" s="238">
        <f>data!T66</f>
        <v>0</v>
      </c>
      <c r="G80" s="238">
        <f>data!U66</f>
        <v>444271.39</v>
      </c>
      <c r="H80" s="238">
        <f>data!V66</f>
        <v>0</v>
      </c>
      <c r="I80" s="238">
        <f>data!W66</f>
        <v>2265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0</v>
      </c>
      <c r="D81" s="238">
        <f>data!R67</f>
        <v>0</v>
      </c>
      <c r="E81" s="238">
        <f>data!S67</f>
        <v>0</v>
      </c>
      <c r="F81" s="238">
        <f>data!T67</f>
        <v>0</v>
      </c>
      <c r="G81" s="238">
        <f>data!U67</f>
        <v>31048</v>
      </c>
      <c r="H81" s="238">
        <f>data!V67</f>
        <v>0</v>
      </c>
      <c r="I81" s="238">
        <f>data!W67</f>
        <v>0</v>
      </c>
    </row>
    <row r="82" spans="1:9" ht="20.100000000000001" customHeight="1" x14ac:dyDescent="0.2">
      <c r="A82" s="230">
        <v>13</v>
      </c>
      <c r="B82" s="238" t="s">
        <v>1006</v>
      </c>
      <c r="C82" s="238">
        <f>data!Q68</f>
        <v>0</v>
      </c>
      <c r="D82" s="238">
        <f>data!R68</f>
        <v>0</v>
      </c>
      <c r="E82" s="238">
        <f>data!S68</f>
        <v>0</v>
      </c>
      <c r="F82" s="238">
        <f>data!T68</f>
        <v>0</v>
      </c>
      <c r="G82" s="238">
        <f>data!U68</f>
        <v>64503.48</v>
      </c>
      <c r="H82" s="238">
        <f>data!V68</f>
        <v>0</v>
      </c>
      <c r="I82" s="238">
        <f>data!W68</f>
        <v>0</v>
      </c>
    </row>
    <row r="83" spans="1:9" ht="20.100000000000001" customHeight="1" x14ac:dyDescent="0.2">
      <c r="A83" s="230">
        <v>14</v>
      </c>
      <c r="B83" s="238" t="s">
        <v>1007</v>
      </c>
      <c r="C83" s="238">
        <f>data!Q69</f>
        <v>338.82</v>
      </c>
      <c r="D83" s="238">
        <f>data!R69</f>
        <v>0</v>
      </c>
      <c r="E83" s="238">
        <f>data!S69</f>
        <v>0</v>
      </c>
      <c r="F83" s="238">
        <f>data!T69</f>
        <v>0</v>
      </c>
      <c r="G83" s="238">
        <f>data!U69</f>
        <v>30877.91</v>
      </c>
      <c r="H83" s="238">
        <f>data!V69</f>
        <v>400</v>
      </c>
      <c r="I83" s="238">
        <f>data!W69</f>
        <v>0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0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1008</v>
      </c>
      <c r="C85" s="238">
        <f>data!Q85</f>
        <v>689164.19999999984</v>
      </c>
      <c r="D85" s="238">
        <f>data!R85</f>
        <v>1131282.32</v>
      </c>
      <c r="E85" s="238">
        <f>data!S85</f>
        <v>-233495.25999999998</v>
      </c>
      <c r="F85" s="238">
        <f>data!T85</f>
        <v>0</v>
      </c>
      <c r="G85" s="238">
        <f>data!U85</f>
        <v>2568789.5500000003</v>
      </c>
      <c r="H85" s="238">
        <f>data!V85</f>
        <v>135043.88</v>
      </c>
      <c r="I85" s="238">
        <f>data!W85</f>
        <v>2073.0299999999997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1009</v>
      </c>
      <c r="C87" s="246" t="e">
        <f>+data!M682</f>
        <v>#DIV/0!</v>
      </c>
      <c r="D87" s="246" t="e">
        <f>+data!M683</f>
        <v>#DIV/0!</v>
      </c>
      <c r="E87" s="246" t="e">
        <f>+data!M684</f>
        <v>#DIV/0!</v>
      </c>
      <c r="F87" s="246" t="e">
        <f>+data!M685</f>
        <v>#DIV/0!</v>
      </c>
      <c r="G87" s="246" t="e">
        <f>+data!M686</f>
        <v>#DIV/0!</v>
      </c>
      <c r="H87" s="246" t="e">
        <f>+data!M687</f>
        <v>#DIV/0!</v>
      </c>
      <c r="I87" s="246" t="e">
        <f>+data!M688</f>
        <v>#DIV/0!</v>
      </c>
    </row>
    <row r="88" spans="1:9" ht="20.100000000000001" customHeight="1" x14ac:dyDescent="0.2">
      <c r="A88" s="230">
        <v>19</v>
      </c>
      <c r="B88" s="246" t="s">
        <v>1010</v>
      </c>
      <c r="C88" s="238">
        <f>data!Q87</f>
        <v>-112277.11</v>
      </c>
      <c r="D88" s="238">
        <f>data!R87</f>
        <v>-155575.23000000001</v>
      </c>
      <c r="E88" s="238">
        <f>data!S87</f>
        <v>-744747</v>
      </c>
      <c r="F88" s="238">
        <f>data!T87</f>
        <v>0</v>
      </c>
      <c r="G88" s="238">
        <f>data!U87</f>
        <v>-4161297.37</v>
      </c>
      <c r="H88" s="238">
        <f>data!V87</f>
        <v>-645914.57999999996</v>
      </c>
      <c r="I88" s="238">
        <f>data!W87</f>
        <v>-10717.01</v>
      </c>
    </row>
    <row r="89" spans="1:9" ht="20.100000000000001" customHeight="1" x14ac:dyDescent="0.2">
      <c r="A89" s="230">
        <v>20</v>
      </c>
      <c r="B89" s="246" t="s">
        <v>1011</v>
      </c>
      <c r="C89" s="238">
        <f>data!Q88</f>
        <v>-1603841.27</v>
      </c>
      <c r="D89" s="238">
        <f>data!R88</f>
        <v>-584770.55000000005</v>
      </c>
      <c r="E89" s="238">
        <f>data!S88</f>
        <v>-4327676.0199999996</v>
      </c>
      <c r="F89" s="238">
        <f>data!T88</f>
        <v>-127303</v>
      </c>
      <c r="G89" s="238">
        <f>data!U88</f>
        <v>-14256574.130000001</v>
      </c>
      <c r="H89" s="238">
        <f>data!V88</f>
        <v>-2078158.67</v>
      </c>
      <c r="I89" s="238">
        <f>data!W88</f>
        <v>0.01</v>
      </c>
    </row>
    <row r="90" spans="1:9" ht="20.100000000000001" customHeight="1" x14ac:dyDescent="0.2">
      <c r="A90" s="230">
        <v>21</v>
      </c>
      <c r="B90" s="246" t="s">
        <v>1012</v>
      </c>
      <c r="C90" s="238">
        <f>data!Q89</f>
        <v>-1716118.3800000001</v>
      </c>
      <c r="D90" s="238">
        <f>data!R89</f>
        <v>-740345.78</v>
      </c>
      <c r="E90" s="238">
        <f>data!S89</f>
        <v>-5072423.0199999996</v>
      </c>
      <c r="F90" s="238">
        <f>data!T89</f>
        <v>-127303</v>
      </c>
      <c r="G90" s="238">
        <f>data!U89</f>
        <v>-18417871.5</v>
      </c>
      <c r="H90" s="238">
        <f>data!V89</f>
        <v>-2724073.25</v>
      </c>
      <c r="I90" s="238">
        <f>data!W89</f>
        <v>-10717</v>
      </c>
    </row>
    <row r="91" spans="1:9" ht="20.100000000000001" customHeight="1" x14ac:dyDescent="0.2">
      <c r="A91" s="230" t="s">
        <v>1013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1014</v>
      </c>
      <c r="C92" s="238">
        <f>data!Q90</f>
        <v>0</v>
      </c>
      <c r="D92" s="238">
        <f>data!R90</f>
        <v>0</v>
      </c>
      <c r="E92" s="238">
        <f>data!S90</f>
        <v>0</v>
      </c>
      <c r="F92" s="238">
        <f>data!T90</f>
        <v>0</v>
      </c>
      <c r="G92" s="238">
        <f>data!U90</f>
        <v>2821</v>
      </c>
      <c r="H92" s="238">
        <f>data!V90</f>
        <v>0</v>
      </c>
      <c r="I92" s="238">
        <f>data!W90</f>
        <v>0</v>
      </c>
    </row>
    <row r="93" spans="1:9" ht="20.100000000000001" customHeight="1" x14ac:dyDescent="0.2">
      <c r="A93" s="230">
        <v>23</v>
      </c>
      <c r="B93" s="238" t="s">
        <v>1015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1016</v>
      </c>
      <c r="C94" s="238">
        <f>data!Q92</f>
        <v>0</v>
      </c>
      <c r="D94" s="238">
        <f>data!R92</f>
        <v>0</v>
      </c>
      <c r="E94" s="238">
        <f>data!S92</f>
        <v>0</v>
      </c>
      <c r="F94" s="238">
        <f>data!T92</f>
        <v>0</v>
      </c>
      <c r="G94" s="238">
        <f>data!U92</f>
        <v>0</v>
      </c>
      <c r="H94" s="238">
        <f>data!V92</f>
        <v>0</v>
      </c>
      <c r="I94" s="238">
        <f>data!W92</f>
        <v>0</v>
      </c>
    </row>
    <row r="95" spans="1:9" ht="20.100000000000001" customHeight="1" x14ac:dyDescent="0.2">
      <c r="A95" s="230">
        <v>25</v>
      </c>
      <c r="B95" s="238" t="s">
        <v>1017</v>
      </c>
      <c r="C95" s="238">
        <f>data!Q93</f>
        <v>0</v>
      </c>
      <c r="D95" s="238">
        <f>data!R93</f>
        <v>0</v>
      </c>
      <c r="E95" s="238">
        <f>data!S93</f>
        <v>0</v>
      </c>
      <c r="F95" s="238">
        <f>data!T93</f>
        <v>0</v>
      </c>
      <c r="G95" s="238">
        <f>data!U93</f>
        <v>0</v>
      </c>
      <c r="H95" s="238">
        <f>data!V93</f>
        <v>0</v>
      </c>
      <c r="I95" s="238">
        <f>data!W93</f>
        <v>0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3.81</v>
      </c>
      <c r="D96" s="245">
        <f>data!R94</f>
        <v>0</v>
      </c>
      <c r="E96" s="245">
        <f>data!S94</f>
        <v>0</v>
      </c>
      <c r="F96" s="245">
        <f>data!T94</f>
        <v>0</v>
      </c>
      <c r="G96" s="245">
        <f>data!U94</f>
        <v>0</v>
      </c>
      <c r="H96" s="245">
        <f>data!V94</f>
        <v>0</v>
      </c>
      <c r="I96" s="245">
        <f>data!W94</f>
        <v>0</v>
      </c>
    </row>
    <row r="97" spans="1:9" ht="20.100000000000001" customHeight="1" x14ac:dyDescent="0.2">
      <c r="A97" s="231" t="s">
        <v>999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1026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ASTRIA TOPPENISH HOSPITAL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1001</v>
      </c>
      <c r="C102" s="244" t="s">
        <v>1027</v>
      </c>
      <c r="D102" s="244" t="s">
        <v>1028</v>
      </c>
      <c r="E102" s="244" t="s">
        <v>1028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1005</v>
      </c>
      <c r="C104" s="239" t="s">
        <v>250</v>
      </c>
      <c r="D104" s="240" t="s">
        <v>1029</v>
      </c>
      <c r="E104" s="240" t="s">
        <v>1029</v>
      </c>
      <c r="F104" s="240" t="s">
        <v>1029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0</v>
      </c>
      <c r="D105" s="238">
        <f>data!Y59</f>
        <v>0</v>
      </c>
      <c r="E105" s="238">
        <f>data!Z59</f>
        <v>0</v>
      </c>
      <c r="F105" s="238">
        <f>data!AA59</f>
        <v>0</v>
      </c>
      <c r="G105" s="250"/>
      <c r="H105" s="238">
        <f>data!AC59</f>
        <v>0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2.02</v>
      </c>
      <c r="D106" s="245">
        <f>data!Y60</f>
        <v>12.6</v>
      </c>
      <c r="E106" s="245">
        <f>data!Z60</f>
        <v>0</v>
      </c>
      <c r="F106" s="245">
        <f>data!AA60</f>
        <v>0</v>
      </c>
      <c r="G106" s="245">
        <f>data!AB60</f>
        <v>4.4400000000000004</v>
      </c>
      <c r="H106" s="245">
        <f>data!AC60</f>
        <v>0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194242.09</v>
      </c>
      <c r="D107" s="238">
        <f>data!Y61</f>
        <v>1014122.77</v>
      </c>
      <c r="E107" s="238">
        <f>data!Z61</f>
        <v>0</v>
      </c>
      <c r="F107" s="238">
        <f>data!AA61</f>
        <v>0</v>
      </c>
      <c r="G107" s="238">
        <f>data!AB61</f>
        <v>478926.17</v>
      </c>
      <c r="H107" s="238">
        <f>data!AC61</f>
        <v>0</v>
      </c>
      <c r="I107" s="238">
        <f>data!AD61</f>
        <v>0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44067</v>
      </c>
      <c r="D108" s="238">
        <f>data!Y62</f>
        <v>227519</v>
      </c>
      <c r="E108" s="238">
        <f>data!Z62</f>
        <v>0</v>
      </c>
      <c r="F108" s="238">
        <f>data!AA62</f>
        <v>0</v>
      </c>
      <c r="G108" s="238">
        <f>data!AB62</f>
        <v>107247</v>
      </c>
      <c r="H108" s="238">
        <f>data!AC62</f>
        <v>0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0</v>
      </c>
      <c r="D109" s="238">
        <f>data!Y63</f>
        <v>0</v>
      </c>
      <c r="E109" s="238">
        <f>data!Z63</f>
        <v>0</v>
      </c>
      <c r="F109" s="238">
        <f>data!AA63</f>
        <v>0</v>
      </c>
      <c r="G109" s="238">
        <f>data!AB63</f>
        <v>0</v>
      </c>
      <c r="H109" s="238">
        <f>data!AC63</f>
        <v>0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58895.38</v>
      </c>
      <c r="D110" s="238">
        <f>data!Y64</f>
        <v>10598.72</v>
      </c>
      <c r="E110" s="238">
        <f>data!Z64</f>
        <v>0</v>
      </c>
      <c r="F110" s="238">
        <f>data!AA64</f>
        <v>0</v>
      </c>
      <c r="G110" s="238">
        <f>data!AB64</f>
        <v>879468.76</v>
      </c>
      <c r="H110" s="238">
        <f>data!AC64</f>
        <v>32037.89</v>
      </c>
      <c r="I110" s="238">
        <f>data!AD64</f>
        <v>0</v>
      </c>
    </row>
    <row r="111" spans="1:9" ht="20.100000000000001" customHeight="1" x14ac:dyDescent="0.2">
      <c r="A111" s="230">
        <v>10</v>
      </c>
      <c r="B111" s="238" t="s">
        <v>520</v>
      </c>
      <c r="C111" s="238">
        <f>data!X82</f>
        <v>0</v>
      </c>
      <c r="D111" s="238">
        <f>data!Y82</f>
        <v>558.41</v>
      </c>
      <c r="E111" s="238">
        <f>data!Z82</f>
        <v>0</v>
      </c>
      <c r="F111" s="238">
        <f>data!AA82</f>
        <v>0</v>
      </c>
      <c r="G111" s="238">
        <f>data!AB82</f>
        <v>250</v>
      </c>
      <c r="H111" s="238">
        <f>data!AC82</f>
        <v>0</v>
      </c>
      <c r="I111" s="238">
        <f>data!AD82</f>
        <v>0</v>
      </c>
    </row>
    <row r="112" spans="1:9" ht="20.100000000000001" customHeight="1" x14ac:dyDescent="0.2">
      <c r="A112" s="230">
        <v>11</v>
      </c>
      <c r="B112" s="238" t="s">
        <v>521</v>
      </c>
      <c r="C112" s="238">
        <f>data!X66</f>
        <v>0</v>
      </c>
      <c r="D112" s="238">
        <f>data!Y66</f>
        <v>302576.01</v>
      </c>
      <c r="E112" s="238">
        <f>data!Z66</f>
        <v>0</v>
      </c>
      <c r="F112" s="238">
        <f>data!AA66</f>
        <v>0</v>
      </c>
      <c r="G112" s="238">
        <f>data!AB66</f>
        <v>115584.93</v>
      </c>
      <c r="H112" s="238">
        <f>data!AC66</f>
        <v>625735.39</v>
      </c>
      <c r="I112" s="238">
        <f>data!AD66</f>
        <v>0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0</v>
      </c>
      <c r="D113" s="238">
        <f>data!Y67</f>
        <v>37113</v>
      </c>
      <c r="E113" s="238">
        <f>data!Z67</f>
        <v>0</v>
      </c>
      <c r="F113" s="238">
        <f>data!AA67</f>
        <v>0</v>
      </c>
      <c r="G113" s="238">
        <f>data!AB67</f>
        <v>14979</v>
      </c>
      <c r="H113" s="238">
        <f>data!AC67</f>
        <v>12074</v>
      </c>
      <c r="I113" s="238">
        <f>data!AD67</f>
        <v>0</v>
      </c>
    </row>
    <row r="114" spans="1:9" ht="20.100000000000001" customHeight="1" x14ac:dyDescent="0.2">
      <c r="A114" s="230">
        <v>13</v>
      </c>
      <c r="B114" s="238" t="s">
        <v>1006</v>
      </c>
      <c r="C114" s="238">
        <f>data!X68</f>
        <v>0</v>
      </c>
      <c r="D114" s="238">
        <f>data!Y68</f>
        <v>1137.95</v>
      </c>
      <c r="E114" s="238">
        <f>data!Z68</f>
        <v>0</v>
      </c>
      <c r="F114" s="238">
        <f>data!AA68</f>
        <v>0</v>
      </c>
      <c r="G114" s="238">
        <f>data!AB68</f>
        <v>191363.04</v>
      </c>
      <c r="H114" s="238">
        <f>data!AC68</f>
        <v>0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1007</v>
      </c>
      <c r="C115" s="238">
        <f>data!X69</f>
        <v>364.07</v>
      </c>
      <c r="D115" s="238">
        <f>data!Y69</f>
        <v>4490.7199999999993</v>
      </c>
      <c r="E115" s="238">
        <f>data!Z69</f>
        <v>0</v>
      </c>
      <c r="F115" s="238">
        <f>data!AA69</f>
        <v>0</v>
      </c>
      <c r="G115" s="238">
        <f>data!AB69</f>
        <v>47949.83</v>
      </c>
      <c r="H115" s="238">
        <f>data!AC69</f>
        <v>13974.2</v>
      </c>
      <c r="I115" s="238">
        <f>data!AD69</f>
        <v>0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0</v>
      </c>
      <c r="E116" s="238">
        <f>-data!Z84</f>
        <v>0</v>
      </c>
      <c r="F116" s="238">
        <f>-data!AA84</f>
        <v>0</v>
      </c>
      <c r="G116" s="238">
        <f>-data!AB84</f>
        <v>0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1008</v>
      </c>
      <c r="C117" s="238">
        <f>data!X85</f>
        <v>297568.53999999998</v>
      </c>
      <c r="D117" s="238">
        <f>data!Y85</f>
        <v>1597558.17</v>
      </c>
      <c r="E117" s="238">
        <f>data!Z85</f>
        <v>0</v>
      </c>
      <c r="F117" s="238">
        <f>data!AA85</f>
        <v>0</v>
      </c>
      <c r="G117" s="238">
        <f>data!AB85</f>
        <v>1835518.73</v>
      </c>
      <c r="H117" s="238">
        <f>data!AC85</f>
        <v>683821.48</v>
      </c>
      <c r="I117" s="238">
        <f>data!AD85</f>
        <v>0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1009</v>
      </c>
      <c r="C119" s="246" t="e">
        <f>+data!M689</f>
        <v>#DIV/0!</v>
      </c>
      <c r="D119" s="246" t="e">
        <f>+data!M690</f>
        <v>#DIV/0!</v>
      </c>
      <c r="E119" s="246" t="e">
        <f>+data!M691</f>
        <v>#DIV/0!</v>
      </c>
      <c r="F119" s="246" t="e">
        <f>+data!M692</f>
        <v>#DIV/0!</v>
      </c>
      <c r="G119" s="246" t="e">
        <f>+data!M693</f>
        <v>#DIV/0!</v>
      </c>
      <c r="H119" s="246" t="e">
        <f>+data!M694</f>
        <v>#DIV/0!</v>
      </c>
      <c r="I119" s="246" t="e">
        <f>+data!M695</f>
        <v>#DIV/0!</v>
      </c>
    </row>
    <row r="120" spans="1:9" ht="20.100000000000001" customHeight="1" x14ac:dyDescent="0.2">
      <c r="A120" s="230">
        <v>19</v>
      </c>
      <c r="B120" s="246" t="s">
        <v>1010</v>
      </c>
      <c r="C120" s="238">
        <f>data!X87</f>
        <v>-2831336.91</v>
      </c>
      <c r="D120" s="238">
        <f>data!Y87</f>
        <v>-862023.12</v>
      </c>
      <c r="E120" s="238">
        <f>data!Z87</f>
        <v>0</v>
      </c>
      <c r="F120" s="238">
        <f>data!AA87</f>
        <v>0</v>
      </c>
      <c r="G120" s="238">
        <f>data!AB87</f>
        <v>-5735275.4699999997</v>
      </c>
      <c r="H120" s="238">
        <f>data!AC87</f>
        <v>-1111259.03</v>
      </c>
      <c r="I120" s="238">
        <f>data!AD87</f>
        <v>0</v>
      </c>
    </row>
    <row r="121" spans="1:9" ht="20.100000000000001" customHeight="1" x14ac:dyDescent="0.2">
      <c r="A121" s="230">
        <v>20</v>
      </c>
      <c r="B121" s="246" t="s">
        <v>1011</v>
      </c>
      <c r="C121" s="238">
        <f>data!X88</f>
        <v>-20629501.109999999</v>
      </c>
      <c r="D121" s="238">
        <f>data!Y88</f>
        <v>-15278777.77</v>
      </c>
      <c r="E121" s="238">
        <f>data!Z88</f>
        <v>0</v>
      </c>
      <c r="F121" s="238">
        <f>data!AA88</f>
        <v>0</v>
      </c>
      <c r="G121" s="238">
        <f>data!AB88</f>
        <v>-5029550.32</v>
      </c>
      <c r="H121" s="238">
        <f>data!AC88</f>
        <v>-823728.58</v>
      </c>
      <c r="I121" s="238">
        <f>data!AD88</f>
        <v>0</v>
      </c>
    </row>
    <row r="122" spans="1:9" ht="20.100000000000001" customHeight="1" x14ac:dyDescent="0.2">
      <c r="A122" s="230">
        <v>21</v>
      </c>
      <c r="B122" s="246" t="s">
        <v>1012</v>
      </c>
      <c r="C122" s="238">
        <f>data!X89</f>
        <v>-23460838.02</v>
      </c>
      <c r="D122" s="238">
        <f>data!Y89</f>
        <v>-16140800.889999999</v>
      </c>
      <c r="E122" s="238">
        <f>data!Z89</f>
        <v>0</v>
      </c>
      <c r="F122" s="238">
        <f>data!AA89</f>
        <v>0</v>
      </c>
      <c r="G122" s="238">
        <f>data!AB89</f>
        <v>-10764825.789999999</v>
      </c>
      <c r="H122" s="238">
        <f>data!AC89</f>
        <v>-1934987.6099999999</v>
      </c>
      <c r="I122" s="238">
        <f>data!AD89</f>
        <v>0</v>
      </c>
    </row>
    <row r="123" spans="1:9" ht="20.100000000000001" customHeight="1" x14ac:dyDescent="0.2">
      <c r="A123" s="230" t="s">
        <v>1013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1014</v>
      </c>
      <c r="C124" s="238">
        <f>data!X90</f>
        <v>0</v>
      </c>
      <c r="D124" s="238">
        <f>data!Y90</f>
        <v>3372</v>
      </c>
      <c r="E124" s="238">
        <f>data!Z90</f>
        <v>0</v>
      </c>
      <c r="F124" s="238">
        <f>data!AA90</f>
        <v>0</v>
      </c>
      <c r="G124" s="238">
        <f>data!AB90</f>
        <v>1361</v>
      </c>
      <c r="H124" s="238">
        <f>data!AC90</f>
        <v>1097</v>
      </c>
      <c r="I124" s="238">
        <f>data!AD90</f>
        <v>0</v>
      </c>
    </row>
    <row r="125" spans="1:9" ht="20.100000000000001" customHeight="1" x14ac:dyDescent="0.2">
      <c r="A125" s="230">
        <v>23</v>
      </c>
      <c r="B125" s="238" t="s">
        <v>1015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1016</v>
      </c>
      <c r="C126" s="238">
        <f>data!X92</f>
        <v>0</v>
      </c>
      <c r="D126" s="238">
        <f>data!Y92</f>
        <v>0</v>
      </c>
      <c r="E126" s="238">
        <f>data!Z92</f>
        <v>0</v>
      </c>
      <c r="F126" s="238">
        <f>data!AA92</f>
        <v>0</v>
      </c>
      <c r="G126" s="238">
        <f>data!AB92</f>
        <v>0</v>
      </c>
      <c r="H126" s="238">
        <f>data!AC92</f>
        <v>0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1017</v>
      </c>
      <c r="C127" s="238">
        <f>data!X93</f>
        <v>0</v>
      </c>
      <c r="D127" s="238">
        <f>data!Y93</f>
        <v>41318</v>
      </c>
      <c r="E127" s="238">
        <f>data!Z93</f>
        <v>0</v>
      </c>
      <c r="F127" s="238">
        <f>data!AA93</f>
        <v>0</v>
      </c>
      <c r="G127" s="238">
        <f>data!AB93</f>
        <v>0</v>
      </c>
      <c r="H127" s="238">
        <f>data!AC93</f>
        <v>0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0</v>
      </c>
      <c r="E128" s="245">
        <f>data!Z94</f>
        <v>0</v>
      </c>
      <c r="F128" s="245">
        <f>data!AA94</f>
        <v>0</v>
      </c>
      <c r="G128" s="245">
        <f>data!AB94</f>
        <v>0</v>
      </c>
      <c r="H128" s="245">
        <f>data!AC94</f>
        <v>0</v>
      </c>
      <c r="I128" s="245">
        <f>data!AD94</f>
        <v>0</v>
      </c>
    </row>
    <row r="129" spans="1:14" ht="20.100000000000001" customHeight="1" x14ac:dyDescent="0.2">
      <c r="A129" s="231" t="s">
        <v>999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1030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ASTRIA TOPPENISH HOSPITAL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1001</v>
      </c>
      <c r="C134" s="244" t="s">
        <v>121</v>
      </c>
      <c r="D134" s="244" t="s">
        <v>122</v>
      </c>
      <c r="E134" s="244" t="s">
        <v>144</v>
      </c>
      <c r="F134" s="244"/>
      <c r="G134" s="244" t="s">
        <v>1031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1005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1032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0</v>
      </c>
      <c r="D137" s="238">
        <f>data!AF59</f>
        <v>0</v>
      </c>
      <c r="E137" s="238">
        <f>data!AG59</f>
        <v>0</v>
      </c>
      <c r="F137" s="238">
        <f>data!AH59</f>
        <v>0</v>
      </c>
      <c r="G137" s="238">
        <f>data!AI59</f>
        <v>0</v>
      </c>
      <c r="H137" s="238">
        <f>data!AJ59</f>
        <v>0</v>
      </c>
      <c r="I137" s="238">
        <f>data!AK59</f>
        <v>0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2.89</v>
      </c>
      <c r="D138" s="245">
        <f>data!AF60</f>
        <v>0</v>
      </c>
      <c r="E138" s="245">
        <f>data!AG60</f>
        <v>24.1</v>
      </c>
      <c r="F138" s="245">
        <f>data!AH60</f>
        <v>0</v>
      </c>
      <c r="G138" s="245">
        <f>data!AI60</f>
        <v>0</v>
      </c>
      <c r="H138" s="245">
        <f>data!AJ60</f>
        <v>59.01</v>
      </c>
      <c r="I138" s="245">
        <f>data!AK60</f>
        <v>0.08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263260.49</v>
      </c>
      <c r="D139" s="238">
        <f>data!AF61</f>
        <v>0</v>
      </c>
      <c r="E139" s="238">
        <f>data!AG61</f>
        <v>2623065.7000000002</v>
      </c>
      <c r="F139" s="238">
        <f>data!AH61</f>
        <v>0</v>
      </c>
      <c r="G139" s="238">
        <f>data!AI61</f>
        <v>0</v>
      </c>
      <c r="H139" s="238">
        <f>data!AJ61</f>
        <v>9302245.3200000003</v>
      </c>
      <c r="I139" s="238">
        <f>data!AK61</f>
        <v>7279.49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61423</v>
      </c>
      <c r="D140" s="238">
        <f>data!AF62</f>
        <v>0</v>
      </c>
      <c r="E140" s="238">
        <f>data!AG62</f>
        <v>579888</v>
      </c>
      <c r="F140" s="238">
        <f>data!AH62</f>
        <v>0</v>
      </c>
      <c r="G140" s="238">
        <f>data!AI62</f>
        <v>0</v>
      </c>
      <c r="H140" s="238">
        <f>data!AJ62</f>
        <v>1630163</v>
      </c>
      <c r="I140" s="238">
        <f>data!AK62</f>
        <v>1529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0</v>
      </c>
      <c r="D141" s="238">
        <f>data!AF63</f>
        <v>0</v>
      </c>
      <c r="E141" s="238">
        <f>data!AG63</f>
        <v>39782</v>
      </c>
      <c r="F141" s="238">
        <f>data!AH63</f>
        <v>0</v>
      </c>
      <c r="G141" s="238">
        <f>data!AI63</f>
        <v>0</v>
      </c>
      <c r="H141" s="238">
        <f>data!AJ63</f>
        <v>0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22705.040000000001</v>
      </c>
      <c r="D142" s="238">
        <f>data!AF64</f>
        <v>0</v>
      </c>
      <c r="E142" s="238">
        <f>data!AG64</f>
        <v>265385.39</v>
      </c>
      <c r="F142" s="238">
        <f>data!AH64</f>
        <v>0</v>
      </c>
      <c r="G142" s="238">
        <f>data!AI64</f>
        <v>0</v>
      </c>
      <c r="H142" s="238">
        <f>data!AJ64</f>
        <v>196520.33</v>
      </c>
      <c r="I142" s="238">
        <f>data!AK64</f>
        <v>0</v>
      </c>
    </row>
    <row r="143" spans="1:14" ht="20.100000000000001" customHeight="1" x14ac:dyDescent="0.2">
      <c r="A143" s="230">
        <v>10</v>
      </c>
      <c r="B143" s="238" t="s">
        <v>520</v>
      </c>
      <c r="C143" s="238">
        <f>data!AE82</f>
        <v>0</v>
      </c>
      <c r="D143" s="238">
        <f>data!AF82</f>
        <v>0</v>
      </c>
      <c r="E143" s="238">
        <f>data!AG82</f>
        <v>0</v>
      </c>
      <c r="F143" s="238">
        <f>data!AH82</f>
        <v>0</v>
      </c>
      <c r="G143" s="238">
        <f>data!AI82</f>
        <v>0</v>
      </c>
      <c r="H143" s="238">
        <f>data!AJ82</f>
        <v>83068.08</v>
      </c>
      <c r="I143" s="238">
        <f>data!AK82</f>
        <v>0</v>
      </c>
    </row>
    <row r="144" spans="1:14" ht="20.100000000000001" customHeight="1" x14ac:dyDescent="0.2">
      <c r="A144" s="230">
        <v>11</v>
      </c>
      <c r="B144" s="238" t="s">
        <v>521</v>
      </c>
      <c r="C144" s="238">
        <f>data!AE66</f>
        <v>150.22999999999999</v>
      </c>
      <c r="D144" s="238">
        <f>data!AF66</f>
        <v>0</v>
      </c>
      <c r="E144" s="238">
        <f>data!AG66</f>
        <v>1302045.76</v>
      </c>
      <c r="F144" s="238">
        <f>data!AH66</f>
        <v>0</v>
      </c>
      <c r="G144" s="238">
        <f>data!AI66</f>
        <v>0</v>
      </c>
      <c r="H144" s="238">
        <f>data!AJ66</f>
        <v>242936.98</v>
      </c>
      <c r="I144" s="238">
        <f>data!AK66</f>
        <v>40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13328</v>
      </c>
      <c r="D145" s="238">
        <f>data!AF67</f>
        <v>0</v>
      </c>
      <c r="E145" s="238">
        <f>data!AG67</f>
        <v>50969</v>
      </c>
      <c r="F145" s="238">
        <f>data!AH67</f>
        <v>0</v>
      </c>
      <c r="G145" s="238">
        <f>data!AI67</f>
        <v>0</v>
      </c>
      <c r="H145" s="238">
        <f>data!AJ67</f>
        <v>0</v>
      </c>
      <c r="I145" s="238">
        <f>data!AK67</f>
        <v>0</v>
      </c>
    </row>
    <row r="146" spans="1:9" ht="20.100000000000001" customHeight="1" x14ac:dyDescent="0.2">
      <c r="A146" s="230">
        <v>13</v>
      </c>
      <c r="B146" s="238" t="s">
        <v>1006</v>
      </c>
      <c r="C146" s="238">
        <f>data!AE68</f>
        <v>0</v>
      </c>
      <c r="D146" s="238">
        <f>data!AF68</f>
        <v>0</v>
      </c>
      <c r="E146" s="238">
        <f>data!AG68</f>
        <v>0</v>
      </c>
      <c r="F146" s="238">
        <f>data!AH68</f>
        <v>0</v>
      </c>
      <c r="G146" s="238">
        <f>data!AI68</f>
        <v>0</v>
      </c>
      <c r="H146" s="238">
        <f>data!AJ68</f>
        <v>422353.52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1007</v>
      </c>
      <c r="C147" s="238">
        <f>data!AE69</f>
        <v>439.33</v>
      </c>
      <c r="D147" s="238">
        <f>data!AF69</f>
        <v>0</v>
      </c>
      <c r="E147" s="238">
        <f>data!AG69</f>
        <v>519970.4</v>
      </c>
      <c r="F147" s="238">
        <f>data!AH69</f>
        <v>0</v>
      </c>
      <c r="G147" s="238">
        <f>data!AI69</f>
        <v>0</v>
      </c>
      <c r="H147" s="238">
        <f>data!AJ69</f>
        <v>182814.03</v>
      </c>
      <c r="I147" s="238">
        <f>data!AK69</f>
        <v>0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0</v>
      </c>
      <c r="D148" s="238">
        <f>-data!AF84</f>
        <v>0</v>
      </c>
      <c r="E148" s="238">
        <f>-data!AG84</f>
        <v>0</v>
      </c>
      <c r="F148" s="238">
        <f>-data!AH84</f>
        <v>0</v>
      </c>
      <c r="G148" s="238">
        <f>-data!AI84</f>
        <v>0</v>
      </c>
      <c r="H148" s="238">
        <f>-data!AJ84</f>
        <v>0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1008</v>
      </c>
      <c r="C149" s="238">
        <f>data!AE85</f>
        <v>361306.08999999997</v>
      </c>
      <c r="D149" s="238">
        <f>data!AF85</f>
        <v>0</v>
      </c>
      <c r="E149" s="238">
        <f>data!AG85</f>
        <v>5381106.2500000009</v>
      </c>
      <c r="F149" s="238">
        <f>data!AH85</f>
        <v>0</v>
      </c>
      <c r="G149" s="238">
        <f>data!AI85</f>
        <v>0</v>
      </c>
      <c r="H149" s="238">
        <f>data!AJ85</f>
        <v>11977033.18</v>
      </c>
      <c r="I149" s="238">
        <f>data!AK85</f>
        <v>8848.49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1009</v>
      </c>
      <c r="C151" s="246" t="e">
        <f>+data!M696</f>
        <v>#DIV/0!</v>
      </c>
      <c r="D151" s="246" t="e">
        <f>+data!M697</f>
        <v>#DIV/0!</v>
      </c>
      <c r="E151" s="246" t="e">
        <f>+data!M698</f>
        <v>#DIV/0!</v>
      </c>
      <c r="F151" s="246" t="e">
        <f>+data!M699</f>
        <v>#DIV/0!</v>
      </c>
      <c r="G151" s="246" t="e">
        <f>+data!M700</f>
        <v>#DIV/0!</v>
      </c>
      <c r="H151" s="246" t="e">
        <f>+data!M701</f>
        <v>#DIV/0!</v>
      </c>
      <c r="I151" s="246" t="e">
        <f>+data!M702</f>
        <v>#DIV/0!</v>
      </c>
    </row>
    <row r="152" spans="1:9" ht="20.100000000000001" customHeight="1" x14ac:dyDescent="0.2">
      <c r="A152" s="230">
        <v>19</v>
      </c>
      <c r="B152" s="246" t="s">
        <v>1010</v>
      </c>
      <c r="C152" s="238">
        <f>data!AE87</f>
        <v>-182359</v>
      </c>
      <c r="D152" s="238">
        <f>data!AF87</f>
        <v>0</v>
      </c>
      <c r="E152" s="238">
        <f>data!AG87</f>
        <v>-2224916</v>
      </c>
      <c r="F152" s="238">
        <f>data!AH87</f>
        <v>0</v>
      </c>
      <c r="G152" s="238">
        <f>data!AI87</f>
        <v>0</v>
      </c>
      <c r="H152" s="238">
        <f>data!AJ87</f>
        <v>0</v>
      </c>
      <c r="I152" s="238">
        <f>data!AK87</f>
        <v>-94350</v>
      </c>
    </row>
    <row r="153" spans="1:9" ht="20.100000000000001" customHeight="1" x14ac:dyDescent="0.2">
      <c r="A153" s="230">
        <v>20</v>
      </c>
      <c r="B153" s="246" t="s">
        <v>1011</v>
      </c>
      <c r="C153" s="238">
        <f>data!AE88</f>
        <v>-1861994</v>
      </c>
      <c r="D153" s="238">
        <f>data!AF88</f>
        <v>0</v>
      </c>
      <c r="E153" s="238">
        <f>data!AG88</f>
        <v>-28451085.579999998</v>
      </c>
      <c r="F153" s="238">
        <f>data!AH88</f>
        <v>0</v>
      </c>
      <c r="G153" s="238">
        <f>data!AI88</f>
        <v>0</v>
      </c>
      <c r="H153" s="238">
        <f>data!AJ88</f>
        <v>-16337451.6</v>
      </c>
      <c r="I153" s="238">
        <f>data!AK88</f>
        <v>-20710</v>
      </c>
    </row>
    <row r="154" spans="1:9" ht="20.100000000000001" customHeight="1" x14ac:dyDescent="0.2">
      <c r="A154" s="230">
        <v>21</v>
      </c>
      <c r="B154" s="246" t="s">
        <v>1012</v>
      </c>
      <c r="C154" s="238">
        <f>data!AE89</f>
        <v>-2044353</v>
      </c>
      <c r="D154" s="238">
        <f>data!AF89</f>
        <v>0</v>
      </c>
      <c r="E154" s="238">
        <f>data!AG89</f>
        <v>-30676001.579999998</v>
      </c>
      <c r="F154" s="238">
        <f>data!AH89</f>
        <v>0</v>
      </c>
      <c r="G154" s="238">
        <f>data!AI89</f>
        <v>0</v>
      </c>
      <c r="H154" s="238">
        <f>data!AJ89</f>
        <v>-16337451.6</v>
      </c>
      <c r="I154" s="238">
        <f>data!AK89</f>
        <v>-115060</v>
      </c>
    </row>
    <row r="155" spans="1:9" ht="20.100000000000001" customHeight="1" x14ac:dyDescent="0.2">
      <c r="A155" s="230" t="s">
        <v>1013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1014</v>
      </c>
      <c r="C156" s="238">
        <f>data!AE90</f>
        <v>1211</v>
      </c>
      <c r="D156" s="238">
        <f>data!AF90</f>
        <v>0</v>
      </c>
      <c r="E156" s="238">
        <f>data!AG90</f>
        <v>4631</v>
      </c>
      <c r="F156" s="238">
        <f>data!AH90</f>
        <v>0</v>
      </c>
      <c r="G156" s="238">
        <f>data!AI90</f>
        <v>0</v>
      </c>
      <c r="H156" s="238">
        <f>data!AJ90</f>
        <v>0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1015</v>
      </c>
      <c r="C157" s="238">
        <f>data!AE91</f>
        <v>0</v>
      </c>
      <c r="D157" s="238">
        <f>data!AF91</f>
        <v>0</v>
      </c>
      <c r="E157" s="238">
        <f>data!AG91</f>
        <v>123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1016</v>
      </c>
      <c r="C158" s="238">
        <f>data!AE92</f>
        <v>0</v>
      </c>
      <c r="D158" s="238">
        <f>data!AF92</f>
        <v>0</v>
      </c>
      <c r="E158" s="238">
        <f>data!AG92</f>
        <v>0</v>
      </c>
      <c r="F158" s="238">
        <f>data!AH92</f>
        <v>0</v>
      </c>
      <c r="G158" s="238">
        <f>data!AI92</f>
        <v>0</v>
      </c>
      <c r="H158" s="238">
        <f>data!AJ92</f>
        <v>0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1017</v>
      </c>
      <c r="C159" s="238">
        <f>data!AE93</f>
        <v>0</v>
      </c>
      <c r="D159" s="238">
        <f>data!AF93</f>
        <v>0</v>
      </c>
      <c r="E159" s="238">
        <f>data!AG93</f>
        <v>150247</v>
      </c>
      <c r="F159" s="238">
        <f>data!AH93</f>
        <v>0</v>
      </c>
      <c r="G159" s="238">
        <f>data!AI93</f>
        <v>0</v>
      </c>
      <c r="H159" s="238">
        <f>data!AJ93</f>
        <v>0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12.12</v>
      </c>
      <c r="F160" s="245">
        <f>data!AH94</f>
        <v>0</v>
      </c>
      <c r="G160" s="245">
        <f>data!AI94</f>
        <v>0</v>
      </c>
      <c r="H160" s="245">
        <f>data!AJ94</f>
        <v>0</v>
      </c>
      <c r="I160" s="245">
        <f>data!AK94</f>
        <v>0</v>
      </c>
    </row>
    <row r="161" spans="1:9" ht="20.100000000000001" customHeight="1" x14ac:dyDescent="0.2">
      <c r="A161" s="231" t="s">
        <v>999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1033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ASTRIA TOPPENISH HOSPITAL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1001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1034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1035</v>
      </c>
      <c r="F167" s="244" t="s">
        <v>208</v>
      </c>
      <c r="G167" s="244" t="s">
        <v>147</v>
      </c>
      <c r="H167" s="243" t="s">
        <v>1036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1005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0</v>
      </c>
      <c r="D169" s="238">
        <f>data!AM59</f>
        <v>0</v>
      </c>
      <c r="E169" s="238">
        <f>data!AN59</f>
        <v>0</v>
      </c>
      <c r="F169" s="238">
        <f>data!AO59</f>
        <v>0</v>
      </c>
      <c r="G169" s="238">
        <f>data!AP59</f>
        <v>0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0.46</v>
      </c>
      <c r="D170" s="245">
        <f>data!AM60</f>
        <v>0</v>
      </c>
      <c r="E170" s="245">
        <f>data!AN60</f>
        <v>0</v>
      </c>
      <c r="F170" s="245">
        <f>data!AO60</f>
        <v>0</v>
      </c>
      <c r="G170" s="245">
        <f>data!AP60</f>
        <v>0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56535.18</v>
      </c>
      <c r="D171" s="238">
        <f>data!AM61</f>
        <v>0</v>
      </c>
      <c r="E171" s="238">
        <f>data!AN61</f>
        <v>0</v>
      </c>
      <c r="F171" s="238">
        <f>data!AO61</f>
        <v>0</v>
      </c>
      <c r="G171" s="238">
        <f>data!AP61</f>
        <v>0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11638</v>
      </c>
      <c r="D172" s="238">
        <f>data!AM62</f>
        <v>0</v>
      </c>
      <c r="E172" s="238">
        <f>data!AN62</f>
        <v>0</v>
      </c>
      <c r="F172" s="238">
        <f>data!AO62</f>
        <v>0</v>
      </c>
      <c r="G172" s="238">
        <f>data!AP62</f>
        <v>0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0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173.76</v>
      </c>
      <c r="D174" s="238">
        <f>data!AM64</f>
        <v>0</v>
      </c>
      <c r="E174" s="238">
        <f>data!AN64</f>
        <v>0</v>
      </c>
      <c r="F174" s="238">
        <f>data!AO64</f>
        <v>0</v>
      </c>
      <c r="G174" s="238">
        <f>data!AP64</f>
        <v>0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520</v>
      </c>
      <c r="C175" s="238">
        <f>data!AL82</f>
        <v>0</v>
      </c>
      <c r="D175" s="238">
        <f>data!AM82</f>
        <v>0</v>
      </c>
      <c r="E175" s="238">
        <f>data!AN82</f>
        <v>0</v>
      </c>
      <c r="F175" s="238">
        <f>data!AO82</f>
        <v>0</v>
      </c>
      <c r="G175" s="238">
        <f>data!AP82</f>
        <v>0</v>
      </c>
      <c r="H175" s="238">
        <f>data!AQ82</f>
        <v>0</v>
      </c>
      <c r="I175" s="238">
        <f>data!AR82</f>
        <v>0</v>
      </c>
    </row>
    <row r="176" spans="1:9" ht="20.100000000000001" customHeight="1" x14ac:dyDescent="0.2">
      <c r="A176" s="230">
        <v>11</v>
      </c>
      <c r="B176" s="238" t="s">
        <v>521</v>
      </c>
      <c r="C176" s="238">
        <f>data!AL66</f>
        <v>0</v>
      </c>
      <c r="D176" s="238">
        <f>data!AM66</f>
        <v>0</v>
      </c>
      <c r="E176" s="238">
        <f>data!AN66</f>
        <v>0</v>
      </c>
      <c r="F176" s="238">
        <f>data!AO66</f>
        <v>0</v>
      </c>
      <c r="G176" s="238">
        <f>data!AP66</f>
        <v>0</v>
      </c>
      <c r="H176" s="238">
        <f>data!AQ66</f>
        <v>0</v>
      </c>
      <c r="I176" s="238">
        <f>data!AR66</f>
        <v>0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0</v>
      </c>
      <c r="D177" s="238">
        <f>data!AM67</f>
        <v>0</v>
      </c>
      <c r="E177" s="238">
        <f>data!AN67</f>
        <v>0</v>
      </c>
      <c r="F177" s="238">
        <f>data!AO67</f>
        <v>0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1006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0</v>
      </c>
      <c r="G178" s="238">
        <f>data!AP68</f>
        <v>0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1007</v>
      </c>
      <c r="C179" s="238">
        <f>data!AL69</f>
        <v>0</v>
      </c>
      <c r="D179" s="238">
        <f>data!AM69</f>
        <v>0</v>
      </c>
      <c r="E179" s="238">
        <f>data!AN69</f>
        <v>0</v>
      </c>
      <c r="F179" s="238">
        <f>data!AO69</f>
        <v>0</v>
      </c>
      <c r="G179" s="238">
        <f>data!AP69</f>
        <v>0</v>
      </c>
      <c r="H179" s="238">
        <f>data!AQ69</f>
        <v>0</v>
      </c>
      <c r="I179" s="238">
        <f>data!AR69</f>
        <v>0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1008</v>
      </c>
      <c r="C181" s="238">
        <f>data!AL85</f>
        <v>68346.939999999988</v>
      </c>
      <c r="D181" s="238">
        <f>data!AM85</f>
        <v>0</v>
      </c>
      <c r="E181" s="238">
        <f>data!AN85</f>
        <v>0</v>
      </c>
      <c r="F181" s="238">
        <f>data!AO85</f>
        <v>0</v>
      </c>
      <c r="G181" s="238">
        <f>data!AP85</f>
        <v>0</v>
      </c>
      <c r="H181" s="238">
        <f>data!AQ85</f>
        <v>0</v>
      </c>
      <c r="I181" s="238">
        <f>data!AR85</f>
        <v>0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1009</v>
      </c>
      <c r="C183" s="246" t="e">
        <f>+data!M703</f>
        <v>#DIV/0!</v>
      </c>
      <c r="D183" s="246" t="e">
        <f>+data!M704</f>
        <v>#DIV/0!</v>
      </c>
      <c r="E183" s="246" t="e">
        <f>+data!M705</f>
        <v>#DIV/0!</v>
      </c>
      <c r="F183" s="246" t="e">
        <f>+data!M706</f>
        <v>#DIV/0!</v>
      </c>
      <c r="G183" s="246" t="e">
        <f>+data!M707</f>
        <v>#DIV/0!</v>
      </c>
      <c r="H183" s="246" t="e">
        <f>+data!M708</f>
        <v>#DIV/0!</v>
      </c>
      <c r="I183" s="246" t="e">
        <f>+data!M709</f>
        <v>#DIV/0!</v>
      </c>
    </row>
    <row r="184" spans="1:9" ht="20.100000000000001" customHeight="1" x14ac:dyDescent="0.2">
      <c r="A184" s="230">
        <v>19</v>
      </c>
      <c r="B184" s="246" t="s">
        <v>1010</v>
      </c>
      <c r="C184" s="238">
        <f>data!AL87</f>
        <v>-40934</v>
      </c>
      <c r="D184" s="238">
        <f>data!AM87</f>
        <v>0</v>
      </c>
      <c r="E184" s="238">
        <f>data!AN87</f>
        <v>0</v>
      </c>
      <c r="F184" s="238">
        <f>data!AO87</f>
        <v>-3732842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1011</v>
      </c>
      <c r="C185" s="238">
        <f>data!AL88</f>
        <v>-333096</v>
      </c>
      <c r="D185" s="238">
        <f>data!AM88</f>
        <v>0</v>
      </c>
      <c r="E185" s="238">
        <f>data!AN88</f>
        <v>0</v>
      </c>
      <c r="F185" s="238">
        <f>data!AO88</f>
        <v>-216609</v>
      </c>
      <c r="G185" s="238">
        <f>data!AP88</f>
        <v>0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1012</v>
      </c>
      <c r="C186" s="238">
        <f>data!AL89</f>
        <v>-374030</v>
      </c>
      <c r="D186" s="238">
        <f>data!AM89</f>
        <v>0</v>
      </c>
      <c r="E186" s="238">
        <f>data!AN89</f>
        <v>0</v>
      </c>
      <c r="F186" s="238">
        <f>data!AO89</f>
        <v>-3949451</v>
      </c>
      <c r="G186" s="238">
        <f>data!AP89</f>
        <v>0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1013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1014</v>
      </c>
      <c r="C188" s="238">
        <f>data!AL90</f>
        <v>0</v>
      </c>
      <c r="D188" s="238">
        <f>data!AM90</f>
        <v>0</v>
      </c>
      <c r="E188" s="238">
        <f>data!AN90</f>
        <v>0</v>
      </c>
      <c r="F188" s="238">
        <f>data!AO90</f>
        <v>0</v>
      </c>
      <c r="G188" s="238">
        <f>data!AP90</f>
        <v>0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1015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1016</v>
      </c>
      <c r="C190" s="238">
        <f>data!AL92</f>
        <v>0</v>
      </c>
      <c r="D190" s="238">
        <f>data!AM92</f>
        <v>0</v>
      </c>
      <c r="E190" s="238">
        <f>data!AN92</f>
        <v>0</v>
      </c>
      <c r="F190" s="238">
        <f>data!AO92</f>
        <v>0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1017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0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0</v>
      </c>
      <c r="G192" s="245">
        <f>data!AP94</f>
        <v>0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999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1037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ASTRIA TOPPENISH HOSPITAL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1001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1038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1039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1005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0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0</v>
      </c>
      <c r="G202" s="245">
        <f>data!AW60</f>
        <v>0</v>
      </c>
      <c r="H202" s="245">
        <f>data!AX60</f>
        <v>0</v>
      </c>
      <c r="I202" s="245">
        <f>data!AY60</f>
        <v>5.89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0</v>
      </c>
      <c r="G203" s="238">
        <f>data!AW61</f>
        <v>0</v>
      </c>
      <c r="H203" s="238">
        <f>data!AX61</f>
        <v>0</v>
      </c>
      <c r="I203" s="238">
        <f>data!AY61</f>
        <v>293583.90000000002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0</v>
      </c>
      <c r="G204" s="238">
        <f>data!AW62</f>
        <v>0</v>
      </c>
      <c r="H204" s="238">
        <f>data!AX62</f>
        <v>0</v>
      </c>
      <c r="I204" s="238">
        <f>data!AY62</f>
        <v>69306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0</v>
      </c>
      <c r="G205" s="238">
        <f>data!AW63</f>
        <v>0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0</v>
      </c>
      <c r="G206" s="238">
        <f>data!AW64</f>
        <v>0</v>
      </c>
      <c r="H206" s="238">
        <f>data!AX64</f>
        <v>0</v>
      </c>
      <c r="I206" s="238">
        <f>data!AY64</f>
        <v>349150.54</v>
      </c>
    </row>
    <row r="207" spans="1:9" ht="20.100000000000001" customHeight="1" x14ac:dyDescent="0.2">
      <c r="A207" s="230">
        <v>10</v>
      </c>
      <c r="B207" s="238" t="s">
        <v>520</v>
      </c>
      <c r="C207" s="238">
        <f>data!AS82</f>
        <v>0</v>
      </c>
      <c r="D207" s="238">
        <f>data!AT82</f>
        <v>0</v>
      </c>
      <c r="E207" s="238">
        <f>data!AU82</f>
        <v>0</v>
      </c>
      <c r="F207" s="238">
        <f>data!AV82</f>
        <v>0</v>
      </c>
      <c r="G207" s="238">
        <f>data!AW82</f>
        <v>0</v>
      </c>
      <c r="H207" s="238">
        <f>data!AX82</f>
        <v>0</v>
      </c>
      <c r="I207" s="238">
        <f>data!AY82</f>
        <v>0</v>
      </c>
    </row>
    <row r="208" spans="1:9" ht="20.100000000000001" customHeight="1" x14ac:dyDescent="0.2">
      <c r="A208" s="230">
        <v>11</v>
      </c>
      <c r="B208" s="238" t="s">
        <v>521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0</v>
      </c>
      <c r="G208" s="238">
        <f>data!AW66</f>
        <v>0</v>
      </c>
      <c r="H208" s="238">
        <f>data!AX66</f>
        <v>0</v>
      </c>
      <c r="I208" s="238">
        <f>data!AY66</f>
        <v>182.84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0</v>
      </c>
      <c r="G209" s="238">
        <f>data!AW67</f>
        <v>0</v>
      </c>
      <c r="H209" s="238">
        <f>data!AX67</f>
        <v>0</v>
      </c>
      <c r="I209" s="238">
        <f>data!AY67</f>
        <v>24676</v>
      </c>
    </row>
    <row r="210" spans="1:9" ht="20.100000000000001" customHeight="1" x14ac:dyDescent="0.2">
      <c r="A210" s="230">
        <v>13</v>
      </c>
      <c r="B210" s="238" t="s">
        <v>1006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0</v>
      </c>
      <c r="G210" s="238">
        <f>data!AW68</f>
        <v>0</v>
      </c>
      <c r="H210" s="238">
        <f>data!AX68</f>
        <v>0</v>
      </c>
      <c r="I210" s="238">
        <f>data!AY68</f>
        <v>1357.98</v>
      </c>
    </row>
    <row r="211" spans="1:9" ht="20.100000000000001" customHeight="1" x14ac:dyDescent="0.2">
      <c r="A211" s="230">
        <v>14</v>
      </c>
      <c r="B211" s="238" t="s">
        <v>1007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0</v>
      </c>
      <c r="G211" s="238">
        <f>data!AW69</f>
        <v>0</v>
      </c>
      <c r="H211" s="238">
        <f>data!AX69</f>
        <v>0</v>
      </c>
      <c r="I211" s="238">
        <f>data!AY69</f>
        <v>33862.22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0</v>
      </c>
      <c r="H212" s="238">
        <f>-data!AX84</f>
        <v>0</v>
      </c>
      <c r="I212" s="238">
        <f>-data!AY84</f>
        <v>0</v>
      </c>
    </row>
    <row r="213" spans="1:9" ht="20.100000000000001" customHeight="1" x14ac:dyDescent="0.2">
      <c r="A213" s="230">
        <v>16</v>
      </c>
      <c r="B213" s="246" t="s">
        <v>1008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0</v>
      </c>
      <c r="G213" s="238">
        <f>data!AW85</f>
        <v>0</v>
      </c>
      <c r="H213" s="238">
        <f>data!AX85</f>
        <v>0</v>
      </c>
      <c r="I213" s="238">
        <f>data!AY85</f>
        <v>772119.47999999986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1009</v>
      </c>
      <c r="C215" s="246" t="e">
        <f>+data!M710</f>
        <v>#DIV/0!</v>
      </c>
      <c r="D215" s="246" t="e">
        <f>+data!M711</f>
        <v>#DIV/0!</v>
      </c>
      <c r="E215" s="246" t="e">
        <f>+data!M712</f>
        <v>#DIV/0!</v>
      </c>
      <c r="F215" s="246" t="e">
        <f>+data!M713</f>
        <v>#DIV/0!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1010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0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1011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-270195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1012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-270195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1013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1014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0</v>
      </c>
      <c r="G220" s="238">
        <f>data!AW90</f>
        <v>0</v>
      </c>
      <c r="H220" s="238">
        <f>data!AX90</f>
        <v>0</v>
      </c>
      <c r="I220" s="238">
        <f>data!AY90</f>
        <v>2242</v>
      </c>
    </row>
    <row r="221" spans="1:9" ht="20.100000000000001" customHeight="1" x14ac:dyDescent="0.2">
      <c r="A221" s="230">
        <v>23</v>
      </c>
      <c r="B221" s="238" t="s">
        <v>1015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1016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0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1017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0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0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999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1040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ASTRIA TOPPENISH HOSPITAL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1001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1041</v>
      </c>
      <c r="F231" s="244" t="s">
        <v>1042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1005</v>
      </c>
      <c r="C232" s="240" t="s">
        <v>1043</v>
      </c>
      <c r="D232" s="240" t="s">
        <v>1044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71201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0</v>
      </c>
      <c r="D234" s="245">
        <f>data!BA60</f>
        <v>0</v>
      </c>
      <c r="E234" s="245">
        <f>data!BB60</f>
        <v>0</v>
      </c>
      <c r="F234" s="245">
        <f>data!BC60</f>
        <v>0</v>
      </c>
      <c r="G234" s="245">
        <f>data!BD60</f>
        <v>2.69</v>
      </c>
      <c r="H234" s="245">
        <f>data!BE60</f>
        <v>2.71</v>
      </c>
      <c r="I234" s="245">
        <f>data!BF60</f>
        <v>7.39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0</v>
      </c>
      <c r="D235" s="238">
        <f>data!BA61</f>
        <v>0</v>
      </c>
      <c r="E235" s="238">
        <f>data!BB61</f>
        <v>0</v>
      </c>
      <c r="F235" s="238">
        <f>data!BC61</f>
        <v>0</v>
      </c>
      <c r="G235" s="238">
        <f>data!BD61</f>
        <v>107075.16</v>
      </c>
      <c r="H235" s="238">
        <f>data!BE61</f>
        <v>156930.51</v>
      </c>
      <c r="I235" s="238">
        <f>data!BF61</f>
        <v>338747.89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0</v>
      </c>
      <c r="D236" s="238">
        <f>data!BA62</f>
        <v>0</v>
      </c>
      <c r="E236" s="238">
        <f>data!BB62</f>
        <v>0</v>
      </c>
      <c r="F236" s="238">
        <f>data!BC62</f>
        <v>0</v>
      </c>
      <c r="G236" s="238">
        <f>data!BD62</f>
        <v>26208</v>
      </c>
      <c r="H236" s="238">
        <f>data!BE62</f>
        <v>43294</v>
      </c>
      <c r="I236" s="238">
        <f>data!BF62</f>
        <v>82332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0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0</v>
      </c>
      <c r="D238" s="238">
        <f>data!BA64</f>
        <v>0</v>
      </c>
      <c r="E238" s="238">
        <f>data!BB64</f>
        <v>0</v>
      </c>
      <c r="F238" s="238">
        <f>data!BC64</f>
        <v>0</v>
      </c>
      <c r="G238" s="238">
        <f>data!BD64</f>
        <v>-46305.33</v>
      </c>
      <c r="H238" s="238">
        <f>data!BE64</f>
        <v>68189.440000000002</v>
      </c>
      <c r="I238" s="238">
        <f>data!BF64</f>
        <v>95989.92</v>
      </c>
    </row>
    <row r="239" spans="1:9" ht="20.100000000000001" customHeight="1" x14ac:dyDescent="0.2">
      <c r="A239" s="230">
        <v>10</v>
      </c>
      <c r="B239" s="238" t="s">
        <v>520</v>
      </c>
      <c r="C239" s="238">
        <f>data!AZ82</f>
        <v>0</v>
      </c>
      <c r="D239" s="238">
        <f>data!BA82</f>
        <v>0</v>
      </c>
      <c r="E239" s="238">
        <f>data!BB82</f>
        <v>0</v>
      </c>
      <c r="F239" s="238">
        <f>data!BC82</f>
        <v>0</v>
      </c>
      <c r="G239" s="238">
        <f>data!BD82</f>
        <v>0</v>
      </c>
      <c r="H239" s="238">
        <f>data!BE82</f>
        <v>544051.79</v>
      </c>
      <c r="I239" s="238">
        <f>data!BF82</f>
        <v>0</v>
      </c>
    </row>
    <row r="240" spans="1:9" ht="20.100000000000001" customHeight="1" x14ac:dyDescent="0.2">
      <c r="A240" s="230">
        <v>11</v>
      </c>
      <c r="B240" s="238" t="s">
        <v>521</v>
      </c>
      <c r="C240" s="238">
        <f>data!AZ66</f>
        <v>0</v>
      </c>
      <c r="D240" s="238">
        <f>data!BA66</f>
        <v>0</v>
      </c>
      <c r="E240" s="238">
        <f>data!BB66</f>
        <v>0</v>
      </c>
      <c r="F240" s="238">
        <f>data!BC66</f>
        <v>0</v>
      </c>
      <c r="G240" s="238">
        <f>data!BD66</f>
        <v>2030.28</v>
      </c>
      <c r="H240" s="238">
        <f>data!BE66</f>
        <v>85015.58</v>
      </c>
      <c r="I240" s="238">
        <f>data!BF66</f>
        <v>272932.62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0</v>
      </c>
      <c r="D241" s="238">
        <f>data!BA67</f>
        <v>0</v>
      </c>
      <c r="E241" s="238">
        <f>data!BB67</f>
        <v>0</v>
      </c>
      <c r="F241" s="238">
        <f>data!BC67</f>
        <v>0</v>
      </c>
      <c r="G241" s="238">
        <f>data!BD67</f>
        <v>36067</v>
      </c>
      <c r="H241" s="238">
        <f>data!BE67</f>
        <v>14231</v>
      </c>
      <c r="I241" s="238">
        <f>data!BF67</f>
        <v>5239</v>
      </c>
    </row>
    <row r="242" spans="1:9" ht="20.100000000000001" customHeight="1" x14ac:dyDescent="0.2">
      <c r="A242" s="230">
        <v>13</v>
      </c>
      <c r="B242" s="238" t="s">
        <v>1006</v>
      </c>
      <c r="C242" s="238">
        <f>data!AZ68</f>
        <v>0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0</v>
      </c>
      <c r="H242" s="238">
        <f>data!BE68</f>
        <v>15279.76</v>
      </c>
      <c r="I242" s="238">
        <f>data!BF68</f>
        <v>1087.04</v>
      </c>
    </row>
    <row r="243" spans="1:9" ht="20.100000000000001" customHeight="1" x14ac:dyDescent="0.2">
      <c r="A243" s="230">
        <v>14</v>
      </c>
      <c r="B243" s="238" t="s">
        <v>1007</v>
      </c>
      <c r="C243" s="238">
        <f>data!AZ69</f>
        <v>0</v>
      </c>
      <c r="D243" s="238">
        <f>data!BA69</f>
        <v>0</v>
      </c>
      <c r="E243" s="238">
        <f>data!BB69</f>
        <v>0</v>
      </c>
      <c r="F243" s="238">
        <f>data!BC69</f>
        <v>0</v>
      </c>
      <c r="G243" s="238">
        <f>data!BD69</f>
        <v>5643.65</v>
      </c>
      <c r="H243" s="238">
        <f>data!BE69</f>
        <v>646033.14</v>
      </c>
      <c r="I243" s="238">
        <f>data!BF69</f>
        <v>3911.56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0</v>
      </c>
      <c r="D244" s="238">
        <f>-data!BA84</f>
        <v>0</v>
      </c>
      <c r="E244" s="238">
        <f>-data!BB84</f>
        <v>0</v>
      </c>
      <c r="F244" s="238">
        <f>-data!BC84</f>
        <v>0</v>
      </c>
      <c r="G244" s="238">
        <f>-data!BD84</f>
        <v>0</v>
      </c>
      <c r="H244" s="238">
        <f>-data!BE84</f>
        <v>0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1008</v>
      </c>
      <c r="C245" s="238">
        <f>data!AZ85</f>
        <v>0</v>
      </c>
      <c r="D245" s="238">
        <f>data!BA85</f>
        <v>0</v>
      </c>
      <c r="E245" s="238">
        <f>data!BB85</f>
        <v>0</v>
      </c>
      <c r="F245" s="238">
        <f>data!BC85</f>
        <v>0</v>
      </c>
      <c r="G245" s="238">
        <f>data!BD85</f>
        <v>130718.76</v>
      </c>
      <c r="H245" s="238">
        <f>data!BE85</f>
        <v>1028973.43</v>
      </c>
      <c r="I245" s="238">
        <f>data!BF85</f>
        <v>800240.03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1009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1010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1011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1012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1013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1014</v>
      </c>
      <c r="C252" s="254">
        <f>data!AZ90</f>
        <v>0</v>
      </c>
      <c r="D252" s="254">
        <f>data!BA90</f>
        <v>0</v>
      </c>
      <c r="E252" s="254">
        <f>data!BB90</f>
        <v>0</v>
      </c>
      <c r="F252" s="254">
        <f>data!BC90</f>
        <v>0</v>
      </c>
      <c r="G252" s="254">
        <f>data!BD90</f>
        <v>3277</v>
      </c>
      <c r="H252" s="254">
        <f>data!BE90</f>
        <v>1293</v>
      </c>
      <c r="I252" s="254">
        <f>data!BF90</f>
        <v>476</v>
      </c>
    </row>
    <row r="253" spans="1:9" ht="20.100000000000001" customHeight="1" x14ac:dyDescent="0.2">
      <c r="A253" s="230">
        <v>23</v>
      </c>
      <c r="B253" s="238" t="s">
        <v>1015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1016</v>
      </c>
      <c r="C254" s="253" t="str">
        <f>IF(data!AZ92&gt;0,data!AZ92,"")</f>
        <v>x</v>
      </c>
      <c r="D254" s="254">
        <f>data!BA92</f>
        <v>0</v>
      </c>
      <c r="E254" s="254">
        <f>data!BB92</f>
        <v>0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1017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999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1045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ASTRIA TOPPENISH HOSPITAL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1001</v>
      </c>
      <c r="C262" s="244" t="s">
        <v>1046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1047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1048</v>
      </c>
    </row>
    <row r="264" spans="1:9" ht="20.100000000000001" customHeight="1" x14ac:dyDescent="0.2">
      <c r="A264" s="230">
        <v>3</v>
      </c>
      <c r="B264" s="238" t="s">
        <v>1005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0</v>
      </c>
      <c r="D266" s="245">
        <f>data!BH60</f>
        <v>0</v>
      </c>
      <c r="E266" s="245">
        <f>data!BI60</f>
        <v>0</v>
      </c>
      <c r="F266" s="245">
        <f>data!BJ60</f>
        <v>1</v>
      </c>
      <c r="G266" s="245">
        <f>data!BK60</f>
        <v>0</v>
      </c>
      <c r="H266" s="245">
        <f>data!BL60</f>
        <v>13.35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0</v>
      </c>
      <c r="D267" s="238">
        <f>data!BH61</f>
        <v>0</v>
      </c>
      <c r="E267" s="238">
        <f>data!BI61</f>
        <v>0</v>
      </c>
      <c r="F267" s="238">
        <f>data!BJ61</f>
        <v>89649.59</v>
      </c>
      <c r="G267" s="238">
        <f>data!BK61</f>
        <v>0</v>
      </c>
      <c r="H267" s="238">
        <f>data!BL61</f>
        <v>634624.23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0</v>
      </c>
      <c r="D268" s="238">
        <f>data!BH62</f>
        <v>0</v>
      </c>
      <c r="E268" s="238">
        <f>data!BI62</f>
        <v>0</v>
      </c>
      <c r="F268" s="238">
        <f>data!BJ62</f>
        <v>17273</v>
      </c>
      <c r="G268" s="238">
        <f>data!BK62</f>
        <v>0</v>
      </c>
      <c r="H268" s="238">
        <f>data!BL62</f>
        <v>149257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0</v>
      </c>
      <c r="F269" s="238">
        <f>data!BJ63</f>
        <v>15875</v>
      </c>
      <c r="G269" s="238">
        <f>data!BK63</f>
        <v>0</v>
      </c>
      <c r="H269" s="238">
        <f>data!BL63</f>
        <v>0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0</v>
      </c>
      <c r="D270" s="238">
        <f>data!BH64</f>
        <v>68171.13</v>
      </c>
      <c r="E270" s="238">
        <f>data!BI64</f>
        <v>0</v>
      </c>
      <c r="F270" s="238">
        <f>data!BJ64</f>
        <v>45.99</v>
      </c>
      <c r="G270" s="238">
        <f>data!BK64</f>
        <v>744.92</v>
      </c>
      <c r="H270" s="238">
        <f>data!BL64</f>
        <v>11413.37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520</v>
      </c>
      <c r="C271" s="238">
        <f>data!BG82</f>
        <v>0</v>
      </c>
      <c r="D271" s="238">
        <f>data!BH82</f>
        <v>1000</v>
      </c>
      <c r="E271" s="238">
        <f>data!BI82</f>
        <v>0</v>
      </c>
      <c r="F271" s="238">
        <f>data!BJ82</f>
        <v>0</v>
      </c>
      <c r="G271" s="238">
        <f>data!BK82</f>
        <v>0</v>
      </c>
      <c r="H271" s="238">
        <f>data!BL82</f>
        <v>0</v>
      </c>
      <c r="I271" s="238">
        <f>data!BM82</f>
        <v>0</v>
      </c>
    </row>
    <row r="272" spans="1:9" ht="20.100000000000001" customHeight="1" x14ac:dyDescent="0.2">
      <c r="A272" s="230">
        <v>11</v>
      </c>
      <c r="B272" s="238" t="s">
        <v>521</v>
      </c>
      <c r="C272" s="238">
        <f>data!BG66</f>
        <v>45934.33</v>
      </c>
      <c r="D272" s="238">
        <f>data!BH66</f>
        <v>363739.06</v>
      </c>
      <c r="E272" s="238">
        <f>data!BI66</f>
        <v>0</v>
      </c>
      <c r="F272" s="238">
        <f>data!BJ66</f>
        <v>0</v>
      </c>
      <c r="G272" s="238">
        <f>data!BK66</f>
        <v>0</v>
      </c>
      <c r="H272" s="238">
        <f>data!BL66</f>
        <v>0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1365</v>
      </c>
      <c r="D273" s="238">
        <f>data!BH67</f>
        <v>0</v>
      </c>
      <c r="E273" s="238">
        <f>data!BI67</f>
        <v>0</v>
      </c>
      <c r="F273" s="238">
        <f>data!BJ67</f>
        <v>0</v>
      </c>
      <c r="G273" s="238">
        <f>data!BK67</f>
        <v>0</v>
      </c>
      <c r="H273" s="238">
        <f>data!BL67</f>
        <v>0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1006</v>
      </c>
      <c r="C274" s="238">
        <f>data!BG68</f>
        <v>0</v>
      </c>
      <c r="D274" s="238">
        <f>data!BH68</f>
        <v>-235.98</v>
      </c>
      <c r="E274" s="238">
        <f>data!BI68</f>
        <v>0</v>
      </c>
      <c r="F274" s="238">
        <f>data!BJ68</f>
        <v>0</v>
      </c>
      <c r="G274" s="238">
        <f>data!BK68</f>
        <v>0</v>
      </c>
      <c r="H274" s="238">
        <f>data!BL68</f>
        <v>0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1007</v>
      </c>
      <c r="C275" s="238">
        <f>data!BG69</f>
        <v>0</v>
      </c>
      <c r="D275" s="238">
        <f>data!BH69</f>
        <v>2890.6</v>
      </c>
      <c r="E275" s="238">
        <f>data!BI69</f>
        <v>0</v>
      </c>
      <c r="F275" s="238">
        <f>data!BJ69</f>
        <v>73.900000000000006</v>
      </c>
      <c r="G275" s="238">
        <f>data!BK69</f>
        <v>0</v>
      </c>
      <c r="H275" s="238">
        <f>data!BL69</f>
        <v>0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1008</v>
      </c>
      <c r="C277" s="238">
        <f>data!BG85</f>
        <v>47299.33</v>
      </c>
      <c r="D277" s="238">
        <f>data!BH85</f>
        <v>434564.81</v>
      </c>
      <c r="E277" s="238">
        <f>data!BI85</f>
        <v>0</v>
      </c>
      <c r="F277" s="238">
        <f>data!BJ85</f>
        <v>122917.48</v>
      </c>
      <c r="G277" s="238">
        <f>data!BK85</f>
        <v>744.92</v>
      </c>
      <c r="H277" s="238">
        <f>data!BL85</f>
        <v>795294.6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1009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1010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1011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1012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1013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1014</v>
      </c>
      <c r="C284" s="254">
        <f>data!BG90</f>
        <v>124</v>
      </c>
      <c r="D284" s="254">
        <f>data!BH90</f>
        <v>0</v>
      </c>
      <c r="E284" s="254">
        <f>data!BI90</f>
        <v>0</v>
      </c>
      <c r="F284" s="254">
        <f>data!BJ90</f>
        <v>0</v>
      </c>
      <c r="G284" s="254">
        <f>data!BK90</f>
        <v>0</v>
      </c>
      <c r="H284" s="254">
        <f>data!BL90</f>
        <v>0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1015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1016</v>
      </c>
      <c r="C286" s="253" t="str">
        <f>IF(data!BG92&gt;0,data!BG92,"")</f>
        <v>x</v>
      </c>
      <c r="D286" s="254">
        <f>data!BH92</f>
        <v>0</v>
      </c>
      <c r="E286" s="254">
        <f>data!BI92</f>
        <v>0</v>
      </c>
      <c r="F286" s="253" t="str">
        <f>IF(data!BJ92&gt;0,data!BJ92,"")</f>
        <v>x</v>
      </c>
      <c r="G286" s="254">
        <f>data!BK92</f>
        <v>0</v>
      </c>
      <c r="H286" s="254">
        <f>data!BL92</f>
        <v>0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1017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999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1049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ASTRIA TOPPENISH HOSPITAL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1001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1050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1005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0.86</v>
      </c>
      <c r="D298" s="245">
        <f>data!BO60</f>
        <v>0</v>
      </c>
      <c r="E298" s="245">
        <f>data!BP60</f>
        <v>0</v>
      </c>
      <c r="F298" s="245">
        <f>data!BQ60</f>
        <v>0</v>
      </c>
      <c r="G298" s="245">
        <f>data!BR60</f>
        <v>0</v>
      </c>
      <c r="H298" s="245">
        <f>data!BS60</f>
        <v>0</v>
      </c>
      <c r="I298" s="245">
        <f>data!BT60</f>
        <v>0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16.18</v>
      </c>
      <c r="D299" s="238">
        <f>data!BO61</f>
        <v>0</v>
      </c>
      <c r="E299" s="238">
        <f>data!BP61</f>
        <v>0</v>
      </c>
      <c r="F299" s="238">
        <f>data!BQ61</f>
        <v>0</v>
      </c>
      <c r="G299" s="238">
        <f>data!BR61</f>
        <v>0</v>
      </c>
      <c r="H299" s="238">
        <f>data!BS61</f>
        <v>0</v>
      </c>
      <c r="I299" s="238">
        <f>data!BT61</f>
        <v>0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589</v>
      </c>
      <c r="D300" s="238">
        <f>data!BO62</f>
        <v>0</v>
      </c>
      <c r="E300" s="238">
        <f>data!BP62</f>
        <v>0</v>
      </c>
      <c r="F300" s="238">
        <f>data!BQ62</f>
        <v>0</v>
      </c>
      <c r="G300" s="238">
        <f>data!BR62</f>
        <v>0</v>
      </c>
      <c r="H300" s="238">
        <f>data!BS62</f>
        <v>0</v>
      </c>
      <c r="I300" s="238">
        <f>data!BT62</f>
        <v>0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60016.88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0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10556.81</v>
      </c>
      <c r="D302" s="238">
        <f>data!BO64</f>
        <v>0</v>
      </c>
      <c r="E302" s="238">
        <f>data!BP64</f>
        <v>0</v>
      </c>
      <c r="F302" s="238">
        <f>data!BQ64</f>
        <v>0</v>
      </c>
      <c r="G302" s="238">
        <f>data!BR64</f>
        <v>0</v>
      </c>
      <c r="H302" s="238">
        <f>data!BS64</f>
        <v>0</v>
      </c>
      <c r="I302" s="238">
        <f>data!BT64</f>
        <v>0</v>
      </c>
    </row>
    <row r="303" spans="1:9" ht="20.100000000000001" customHeight="1" x14ac:dyDescent="0.2">
      <c r="A303" s="230">
        <v>10</v>
      </c>
      <c r="B303" s="238" t="s">
        <v>520</v>
      </c>
      <c r="C303" s="238">
        <f>data!BN82</f>
        <v>0</v>
      </c>
      <c r="D303" s="238">
        <f>data!BO82</f>
        <v>0</v>
      </c>
      <c r="E303" s="238">
        <f>data!BP82</f>
        <v>0</v>
      </c>
      <c r="F303" s="238">
        <f>data!BQ82</f>
        <v>0</v>
      </c>
      <c r="G303" s="238">
        <f>data!BR82</f>
        <v>0</v>
      </c>
      <c r="H303" s="238">
        <f>data!BS82</f>
        <v>0</v>
      </c>
      <c r="I303" s="238">
        <f>data!BT82</f>
        <v>0</v>
      </c>
    </row>
    <row r="304" spans="1:9" ht="20.100000000000001" customHeight="1" x14ac:dyDescent="0.2">
      <c r="A304" s="230">
        <v>11</v>
      </c>
      <c r="B304" s="238" t="s">
        <v>521</v>
      </c>
      <c r="C304" s="238">
        <f>data!BN66</f>
        <v>8913.2800000000007</v>
      </c>
      <c r="D304" s="238">
        <f>data!BO66</f>
        <v>0</v>
      </c>
      <c r="E304" s="238">
        <f>data!BP66</f>
        <v>0</v>
      </c>
      <c r="F304" s="238">
        <f>data!BQ66</f>
        <v>0</v>
      </c>
      <c r="G304" s="238">
        <f>data!BR66</f>
        <v>22567.96</v>
      </c>
      <c r="H304" s="238">
        <f>data!BS66</f>
        <v>0</v>
      </c>
      <c r="I304" s="238">
        <f>data!BT66</f>
        <v>0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56979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0</v>
      </c>
      <c r="H305" s="238">
        <f>data!BS67</f>
        <v>0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1006</v>
      </c>
      <c r="C306" s="238">
        <f>data!BN68</f>
        <v>19160.28</v>
      </c>
      <c r="D306" s="238">
        <f>data!BO68</f>
        <v>0</v>
      </c>
      <c r="E306" s="238">
        <f>data!BP68</f>
        <v>0</v>
      </c>
      <c r="F306" s="238">
        <f>data!BQ68</f>
        <v>0</v>
      </c>
      <c r="G306" s="238">
        <f>data!BR68</f>
        <v>0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1007</v>
      </c>
      <c r="C307" s="238">
        <f>data!BN69</f>
        <v>12141743.15</v>
      </c>
      <c r="D307" s="238">
        <f>data!BO69</f>
        <v>527.5</v>
      </c>
      <c r="E307" s="238">
        <f>data!BP69</f>
        <v>0</v>
      </c>
      <c r="F307" s="238">
        <f>data!BQ69</f>
        <v>0</v>
      </c>
      <c r="G307" s="238">
        <f>data!BR69</f>
        <v>6258.29</v>
      </c>
      <c r="H307" s="238">
        <f>data!BS69</f>
        <v>0</v>
      </c>
      <c r="I307" s="238">
        <f>data!BT69</f>
        <v>0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0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1008</v>
      </c>
      <c r="C309" s="238">
        <f>data!BN85</f>
        <v>12297974.58</v>
      </c>
      <c r="D309" s="238">
        <f>data!BO85</f>
        <v>527.5</v>
      </c>
      <c r="E309" s="238">
        <f>data!BP85</f>
        <v>0</v>
      </c>
      <c r="F309" s="238">
        <f>data!BQ85</f>
        <v>0</v>
      </c>
      <c r="G309" s="238">
        <f>data!BR85</f>
        <v>28826.25</v>
      </c>
      <c r="H309" s="238">
        <f>data!BS85</f>
        <v>0</v>
      </c>
      <c r="I309" s="238">
        <f>data!BT85</f>
        <v>0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1009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1010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1011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1012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1013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1014</v>
      </c>
      <c r="C316" s="254">
        <f>data!BN90</f>
        <v>5177</v>
      </c>
      <c r="D316" s="254">
        <f>data!BO90</f>
        <v>0</v>
      </c>
      <c r="E316" s="254">
        <f>data!BP90</f>
        <v>0</v>
      </c>
      <c r="F316" s="254">
        <f>data!BQ90</f>
        <v>0</v>
      </c>
      <c r="G316" s="254">
        <f>data!BR90</f>
        <v>0</v>
      </c>
      <c r="H316" s="254">
        <f>data!BS90</f>
        <v>0</v>
      </c>
      <c r="I316" s="254">
        <f>data!BT90</f>
        <v>0</v>
      </c>
    </row>
    <row r="317" spans="1:9" ht="20.100000000000001" customHeight="1" x14ac:dyDescent="0.2">
      <c r="A317" s="230">
        <v>23</v>
      </c>
      <c r="B317" s="238" t="s">
        <v>1015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1016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0</v>
      </c>
      <c r="I318" s="254">
        <f>data!BT92</f>
        <v>0</v>
      </c>
    </row>
    <row r="319" spans="1:9" ht="20.100000000000001" customHeight="1" x14ac:dyDescent="0.2">
      <c r="A319" s="230">
        <v>25</v>
      </c>
      <c r="B319" s="238" t="s">
        <v>1017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999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1051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ASTRIA TOPPENISH HOSPITAL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1001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1050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1005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0</v>
      </c>
      <c r="E330" s="245">
        <f>data!BW60</f>
        <v>1.08</v>
      </c>
      <c r="F330" s="245">
        <f>data!BX60</f>
        <v>1.38</v>
      </c>
      <c r="G330" s="245">
        <f>data!BY60</f>
        <v>4.97</v>
      </c>
      <c r="H330" s="245">
        <f>data!BZ60</f>
        <v>0</v>
      </c>
      <c r="I330" s="245">
        <f>data!CA60</f>
        <v>0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-17691.400000000001</v>
      </c>
      <c r="E331" s="257">
        <f>data!BW61</f>
        <v>243377.29</v>
      </c>
      <c r="F331" s="257">
        <f>data!BX61</f>
        <v>153262.35</v>
      </c>
      <c r="G331" s="257">
        <f>data!BY61</f>
        <v>866291.99</v>
      </c>
      <c r="H331" s="257">
        <f>data!BZ61</f>
        <v>0</v>
      </c>
      <c r="I331" s="257">
        <f>data!CA61</f>
        <v>438.99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-1607</v>
      </c>
      <c r="E332" s="257">
        <f>data!BW62</f>
        <v>40587</v>
      </c>
      <c r="F332" s="257">
        <f>data!BX62</f>
        <v>32281</v>
      </c>
      <c r="G332" s="257">
        <f>data!BY62</f>
        <v>181253</v>
      </c>
      <c r="H332" s="257">
        <f>data!BZ62</f>
        <v>0</v>
      </c>
      <c r="I332" s="257">
        <f>data!CA62</f>
        <v>96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154949.49</v>
      </c>
      <c r="F333" s="257">
        <f>data!BX63</f>
        <v>0</v>
      </c>
      <c r="G333" s="257">
        <f>data!BY63</f>
        <v>0</v>
      </c>
      <c r="H333" s="257">
        <f>data!BZ63</f>
        <v>0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83694.28</v>
      </c>
      <c r="E334" s="257">
        <f>data!BW64</f>
        <v>0</v>
      </c>
      <c r="F334" s="257">
        <f>data!BX64</f>
        <v>486.37</v>
      </c>
      <c r="G334" s="257">
        <f>data!BY64</f>
        <v>1293.9100000000001</v>
      </c>
      <c r="H334" s="257">
        <f>data!BZ64</f>
        <v>0</v>
      </c>
      <c r="I334" s="257">
        <f>data!CA64</f>
        <v>-3221.06</v>
      </c>
    </row>
    <row r="335" spans="1:9" ht="20.100000000000001" customHeight="1" x14ac:dyDescent="0.2">
      <c r="A335" s="230">
        <v>10</v>
      </c>
      <c r="B335" s="238" t="s">
        <v>520</v>
      </c>
      <c r="C335" s="257">
        <f>data!BU82</f>
        <v>0</v>
      </c>
      <c r="D335" s="257">
        <f>data!BV82</f>
        <v>0</v>
      </c>
      <c r="E335" s="257">
        <f>data!BW82</f>
        <v>0</v>
      </c>
      <c r="F335" s="257">
        <f>data!BX82</f>
        <v>0</v>
      </c>
      <c r="G335" s="257">
        <f>data!BY82</f>
        <v>0</v>
      </c>
      <c r="H335" s="257">
        <f>data!BZ82</f>
        <v>0</v>
      </c>
      <c r="I335" s="257">
        <f>data!CA82</f>
        <v>0</v>
      </c>
    </row>
    <row r="336" spans="1:9" ht="20.100000000000001" customHeight="1" x14ac:dyDescent="0.2">
      <c r="A336" s="230">
        <v>11</v>
      </c>
      <c r="B336" s="238" t="s">
        <v>521</v>
      </c>
      <c r="C336" s="257">
        <f>data!BU66</f>
        <v>0</v>
      </c>
      <c r="D336" s="257">
        <f>data!BV66</f>
        <v>69.02</v>
      </c>
      <c r="E336" s="257">
        <f>data!BW66</f>
        <v>1905887.6</v>
      </c>
      <c r="F336" s="257">
        <f>data!BX66</f>
        <v>46589.599999999999</v>
      </c>
      <c r="G336" s="257">
        <f>data!BY66</f>
        <v>54618.69</v>
      </c>
      <c r="H336" s="257">
        <f>data!BZ66</f>
        <v>0</v>
      </c>
      <c r="I336" s="257">
        <f>data!CA66</f>
        <v>0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0</v>
      </c>
      <c r="E337" s="257">
        <f>data!BW67</f>
        <v>0</v>
      </c>
      <c r="F337" s="257">
        <f>data!BX67</f>
        <v>4557</v>
      </c>
      <c r="G337" s="257">
        <f>data!BY67</f>
        <v>5756</v>
      </c>
      <c r="H337" s="257">
        <f>data!BZ67</f>
        <v>0</v>
      </c>
      <c r="I337" s="257">
        <f>data!CA67</f>
        <v>6152</v>
      </c>
    </row>
    <row r="338" spans="1:9" ht="20.100000000000001" customHeight="1" x14ac:dyDescent="0.2">
      <c r="A338" s="230">
        <v>13</v>
      </c>
      <c r="B338" s="238" t="s">
        <v>1006</v>
      </c>
      <c r="C338" s="257">
        <f>data!BU68</f>
        <v>0</v>
      </c>
      <c r="D338" s="257">
        <f>data!BV68</f>
        <v>0</v>
      </c>
      <c r="E338" s="257">
        <f>data!BW68</f>
        <v>0</v>
      </c>
      <c r="F338" s="257">
        <f>data!BX68</f>
        <v>0</v>
      </c>
      <c r="G338" s="257">
        <f>data!BY68</f>
        <v>0</v>
      </c>
      <c r="H338" s="257">
        <f>data!BZ68</f>
        <v>0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1007</v>
      </c>
      <c r="C339" s="257">
        <f>data!BU69</f>
        <v>0</v>
      </c>
      <c r="D339" s="257">
        <f>data!BV69</f>
        <v>0</v>
      </c>
      <c r="E339" s="257">
        <f>data!BW69</f>
        <v>0</v>
      </c>
      <c r="F339" s="257">
        <f>data!BX69</f>
        <v>9478.9500000000007</v>
      </c>
      <c r="G339" s="257">
        <f>data!BY69</f>
        <v>14001.54</v>
      </c>
      <c r="H339" s="257">
        <f>data!BZ69</f>
        <v>0</v>
      </c>
      <c r="I339" s="257">
        <f>data!CA69</f>
        <v>0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0</v>
      </c>
      <c r="E340" s="238">
        <f>-data!BW84</f>
        <v>0</v>
      </c>
      <c r="F340" s="238">
        <f>-data!BX84</f>
        <v>0</v>
      </c>
      <c r="G340" s="238">
        <f>-data!BY84</f>
        <v>0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1008</v>
      </c>
      <c r="C341" s="238">
        <f>data!BU85</f>
        <v>0</v>
      </c>
      <c r="D341" s="238">
        <f>data!BV85</f>
        <v>64464.899999999994</v>
      </c>
      <c r="E341" s="238">
        <f>data!BW85</f>
        <v>2344801.38</v>
      </c>
      <c r="F341" s="238">
        <f>data!BX85</f>
        <v>246655.27000000002</v>
      </c>
      <c r="G341" s="238">
        <f>data!BY85</f>
        <v>1123215.1299999999</v>
      </c>
      <c r="H341" s="238">
        <f>data!BZ85</f>
        <v>0</v>
      </c>
      <c r="I341" s="238">
        <f>data!CA85</f>
        <v>3465.9300000000003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1009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1010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1011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1012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1013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1014</v>
      </c>
      <c r="C348" s="254">
        <f>data!BU90</f>
        <v>0</v>
      </c>
      <c r="D348" s="254">
        <f>data!BV90</f>
        <v>0</v>
      </c>
      <c r="E348" s="254">
        <f>data!BW90</f>
        <v>0</v>
      </c>
      <c r="F348" s="254">
        <f>data!BX90</f>
        <v>414</v>
      </c>
      <c r="G348" s="254">
        <f>data!BY90</f>
        <v>523</v>
      </c>
      <c r="H348" s="254">
        <f>data!BZ90</f>
        <v>0</v>
      </c>
      <c r="I348" s="254">
        <f>data!CA90</f>
        <v>559</v>
      </c>
    </row>
    <row r="349" spans="1:9" ht="20.100000000000001" customHeight="1" x14ac:dyDescent="0.2">
      <c r="A349" s="230">
        <v>23</v>
      </c>
      <c r="B349" s="238" t="s">
        <v>1015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1016</v>
      </c>
      <c r="C350" s="254">
        <f>data!BU92</f>
        <v>0</v>
      </c>
      <c r="D350" s="254">
        <f>data!BV92</f>
        <v>0</v>
      </c>
      <c r="E350" s="254">
        <f>data!BW92</f>
        <v>0</v>
      </c>
      <c r="F350" s="254">
        <f>data!BX92</f>
        <v>0</v>
      </c>
      <c r="G350" s="254">
        <f>data!BY92</f>
        <v>0</v>
      </c>
      <c r="H350" s="254">
        <f>data!BZ92</f>
        <v>0</v>
      </c>
      <c r="I350" s="254">
        <f>data!CA92</f>
        <v>0</v>
      </c>
    </row>
    <row r="351" spans="1:9" ht="20.100000000000001" customHeight="1" x14ac:dyDescent="0.2">
      <c r="A351" s="230">
        <v>25</v>
      </c>
      <c r="B351" s="238" t="s">
        <v>1017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999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1052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ASTRIA TOPPENISH HOSPITAL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1001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1053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1005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0</v>
      </c>
      <c r="D362" s="245">
        <f>data!CC60</f>
        <v>0</v>
      </c>
      <c r="E362" s="260"/>
      <c r="F362" s="248"/>
      <c r="G362" s="248"/>
      <c r="H362" s="248"/>
      <c r="I362" s="261">
        <f>data!CE60</f>
        <v>228.82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0</v>
      </c>
      <c r="D363" s="257">
        <f>data!CC61</f>
        <v>8105.31</v>
      </c>
      <c r="E363" s="262"/>
      <c r="F363" s="262"/>
      <c r="G363" s="262"/>
      <c r="H363" s="262"/>
      <c r="I363" s="257">
        <f>data!CE61</f>
        <v>24369077.319999997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0</v>
      </c>
      <c r="D364" s="257">
        <f>data!CC62</f>
        <v>748</v>
      </c>
      <c r="E364" s="262"/>
      <c r="F364" s="262"/>
      <c r="G364" s="262"/>
      <c r="H364" s="262"/>
      <c r="I364" s="257">
        <f>data!CE62</f>
        <v>4981173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0</v>
      </c>
      <c r="E365" s="262"/>
      <c r="F365" s="262"/>
      <c r="G365" s="262"/>
      <c r="H365" s="262"/>
      <c r="I365" s="257">
        <f>data!CE63</f>
        <v>405444.27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0</v>
      </c>
      <c r="D366" s="257">
        <f>data!CC64</f>
        <v>336.31</v>
      </c>
      <c r="E366" s="262"/>
      <c r="F366" s="262"/>
      <c r="G366" s="262"/>
      <c r="H366" s="262"/>
      <c r="I366" s="257">
        <f>data!CE64</f>
        <v>5389095.2000000002</v>
      </c>
    </row>
    <row r="367" spans="1:9" ht="20.100000000000001" customHeight="1" x14ac:dyDescent="0.2">
      <c r="A367" s="230">
        <v>10</v>
      </c>
      <c r="B367" s="238" t="s">
        <v>520</v>
      </c>
      <c r="C367" s="257">
        <f>data!CB82</f>
        <v>0</v>
      </c>
      <c r="D367" s="257">
        <f>data!CC82</f>
        <v>0</v>
      </c>
      <c r="E367" s="262"/>
      <c r="F367" s="262"/>
      <c r="G367" s="262"/>
      <c r="H367" s="262"/>
      <c r="I367" s="257">
        <f>data!CE65</f>
        <v>0</v>
      </c>
    </row>
    <row r="368" spans="1:9" ht="20.100000000000001" customHeight="1" x14ac:dyDescent="0.2">
      <c r="A368" s="230">
        <v>11</v>
      </c>
      <c r="B368" s="238" t="s">
        <v>521</v>
      </c>
      <c r="C368" s="257">
        <f>data!CB66</f>
        <v>0</v>
      </c>
      <c r="D368" s="257">
        <f>data!CC66</f>
        <v>190312.27</v>
      </c>
      <c r="E368" s="262"/>
      <c r="F368" s="262"/>
      <c r="G368" s="262"/>
      <c r="H368" s="262"/>
      <c r="I368" s="257">
        <f>data!CE66</f>
        <v>7391445.71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146547</v>
      </c>
      <c r="E369" s="262"/>
      <c r="F369" s="262"/>
      <c r="G369" s="262"/>
      <c r="H369" s="262"/>
      <c r="I369" s="257">
        <f>data!CE67</f>
        <v>783648</v>
      </c>
    </row>
    <row r="370" spans="1:9" ht="20.100000000000001" customHeight="1" x14ac:dyDescent="0.2">
      <c r="A370" s="230">
        <v>13</v>
      </c>
      <c r="B370" s="238" t="s">
        <v>1006</v>
      </c>
      <c r="C370" s="257">
        <f>data!CB68</f>
        <v>0</v>
      </c>
      <c r="D370" s="257">
        <f>data!CC68</f>
        <v>0</v>
      </c>
      <c r="E370" s="262"/>
      <c r="F370" s="262"/>
      <c r="G370" s="262"/>
      <c r="H370" s="262"/>
      <c r="I370" s="257">
        <f>data!CE68</f>
        <v>998489.52</v>
      </c>
    </row>
    <row r="371" spans="1:9" ht="20.100000000000001" customHeight="1" x14ac:dyDescent="0.2">
      <c r="A371" s="230">
        <v>14</v>
      </c>
      <c r="B371" s="238" t="s">
        <v>1007</v>
      </c>
      <c r="C371" s="257">
        <f>data!CB69</f>
        <v>0</v>
      </c>
      <c r="D371" s="257">
        <f>data!CC69</f>
        <v>2567428.2599999998</v>
      </c>
      <c r="E371" s="257">
        <f>data!CD69</f>
        <v>0</v>
      </c>
      <c r="F371" s="262"/>
      <c r="G371" s="262"/>
      <c r="H371" s="262"/>
      <c r="I371" s="257">
        <f>data!CE69</f>
        <v>18309936.280000001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0</v>
      </c>
      <c r="E372" s="238">
        <f>-data!CD84</f>
        <v>0</v>
      </c>
      <c r="F372" s="248"/>
      <c r="G372" s="248"/>
      <c r="H372" s="248"/>
      <c r="I372" s="238">
        <f>-data!CE84</f>
        <v>0</v>
      </c>
    </row>
    <row r="373" spans="1:9" ht="20.100000000000001" customHeight="1" x14ac:dyDescent="0.2">
      <c r="A373" s="230">
        <v>16</v>
      </c>
      <c r="B373" s="246" t="s">
        <v>1008</v>
      </c>
      <c r="C373" s="257">
        <f>data!CB85</f>
        <v>0</v>
      </c>
      <c r="D373" s="257">
        <f>data!CC85</f>
        <v>2913477.15</v>
      </c>
      <c r="E373" s="257">
        <f>data!CD85</f>
        <v>0</v>
      </c>
      <c r="F373" s="262"/>
      <c r="G373" s="262"/>
      <c r="H373" s="262"/>
      <c r="I373" s="238">
        <f>data!CE85</f>
        <v>62628309.299999997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0</v>
      </c>
    </row>
    <row r="375" spans="1:9" ht="20.100000000000001" customHeight="1" x14ac:dyDescent="0.2">
      <c r="A375" s="230">
        <v>18</v>
      </c>
      <c r="B375" s="238" t="s">
        <v>1009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1010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-40358266.600000001</v>
      </c>
    </row>
    <row r="377" spans="1:9" ht="20.100000000000001" customHeight="1" x14ac:dyDescent="0.2">
      <c r="A377" s="230">
        <v>20</v>
      </c>
      <c r="B377" s="246" t="s">
        <v>1011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-160962842.71999997</v>
      </c>
    </row>
    <row r="378" spans="1:9" ht="20.100000000000001" customHeight="1" x14ac:dyDescent="0.2">
      <c r="A378" s="230">
        <v>21</v>
      </c>
      <c r="B378" s="246" t="s">
        <v>1012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-201321109.31999996</v>
      </c>
    </row>
    <row r="379" spans="1:9" ht="20.100000000000001" customHeight="1" x14ac:dyDescent="0.2">
      <c r="A379" s="230" t="s">
        <v>1013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1014</v>
      </c>
      <c r="C380" s="254">
        <f>data!CB90</f>
        <v>0</v>
      </c>
      <c r="D380" s="254">
        <f>data!CC90</f>
        <v>13315</v>
      </c>
      <c r="E380" s="248"/>
      <c r="F380" s="248"/>
      <c r="G380" s="248"/>
      <c r="H380" s="248"/>
      <c r="I380" s="238">
        <f>data!CE90</f>
        <v>71201</v>
      </c>
    </row>
    <row r="381" spans="1:9" ht="20.100000000000001" customHeight="1" x14ac:dyDescent="0.2">
      <c r="A381" s="230">
        <v>23</v>
      </c>
      <c r="B381" s="238" t="s">
        <v>1015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23214</v>
      </c>
    </row>
    <row r="382" spans="1:9" ht="20.100000000000001" customHeight="1" x14ac:dyDescent="0.2">
      <c r="A382" s="230">
        <v>24</v>
      </c>
      <c r="B382" s="238" t="s">
        <v>1016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0</v>
      </c>
    </row>
    <row r="383" spans="1:9" ht="20.100000000000001" customHeight="1" x14ac:dyDescent="0.2">
      <c r="A383" s="230">
        <v>25</v>
      </c>
      <c r="B383" s="238" t="s">
        <v>1017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375618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41.33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246" transitionEvaluation="1" transitionEntry="1" codeName="Sheet1">
    <tabColor rgb="FF92D050"/>
    <pageSetUpPr autoPageBreaks="0" fitToPage="1"/>
  </sheetPr>
  <dimension ref="A1:CF716"/>
  <sheetViews>
    <sheetView topLeftCell="A246" zoomScale="80" zoomScaleNormal="80" workbookViewId="0">
      <selection activeCell="C104" sqref="C104:C108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10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311" t="s">
        <v>1054</v>
      </c>
    </row>
    <row r="6" spans="1:5" x14ac:dyDescent="0.25">
      <c r="A6" s="11" t="s">
        <v>1055</v>
      </c>
    </row>
    <row r="7" spans="1:5" x14ac:dyDescent="0.25">
      <c r="A7" s="11" t="s">
        <v>297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2" t="s">
        <v>23</v>
      </c>
      <c r="F30" s="313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314" t="s">
        <v>27</v>
      </c>
      <c r="B36" s="315"/>
      <c r="C36" s="316"/>
      <c r="D36" s="315"/>
      <c r="E36" s="315"/>
      <c r="F36" s="315"/>
      <c r="G36" s="317"/>
    </row>
    <row r="37" spans="1:83" x14ac:dyDescent="0.25">
      <c r="A37" s="318" t="s">
        <v>1056</v>
      </c>
      <c r="B37" s="319"/>
      <c r="C37" s="320"/>
      <c r="D37" s="321"/>
      <c r="E37" s="321"/>
      <c r="F37" s="321"/>
      <c r="G37" s="322"/>
    </row>
    <row r="38" spans="1:83" x14ac:dyDescent="0.25">
      <c r="A38" s="323" t="s">
        <v>29</v>
      </c>
      <c r="B38" s="319"/>
      <c r="C38" s="320"/>
      <c r="D38" s="321"/>
      <c r="E38" s="321"/>
      <c r="F38" s="321"/>
      <c r="G38" s="322"/>
    </row>
    <row r="39" spans="1:83" x14ac:dyDescent="0.25">
      <c r="A39" s="324" t="s">
        <v>1057</v>
      </c>
      <c r="B39" s="321"/>
      <c r="C39" s="320"/>
      <c r="D39" s="321"/>
      <c r="E39" s="321"/>
      <c r="F39" s="321"/>
      <c r="G39" s="322"/>
    </row>
    <row r="40" spans="1:83" x14ac:dyDescent="0.25">
      <c r="A40" s="325" t="s">
        <v>31</v>
      </c>
      <c r="B40" s="326"/>
      <c r="C40" s="327"/>
      <c r="D40" s="326"/>
      <c r="E40" s="326"/>
      <c r="F40" s="326"/>
      <c r="G40" s="328"/>
    </row>
    <row r="41" spans="1:83" x14ac:dyDescent="0.25">
      <c r="C41" s="13"/>
    </row>
    <row r="42" spans="1:83" x14ac:dyDescent="0.25">
      <c r="A42" s="11" t="s">
        <v>32</v>
      </c>
      <c r="C42" s="13"/>
      <c r="F42" s="313" t="s">
        <v>33</v>
      </c>
    </row>
    <row r="43" spans="1:83" x14ac:dyDescent="0.25">
      <c r="A43" s="313" t="s">
        <v>34</v>
      </c>
      <c r="C43" s="13"/>
      <c r="AJ43" s="56"/>
    </row>
    <row r="44" spans="1:83" x14ac:dyDescent="0.25">
      <c r="A44" s="16"/>
      <c r="B44" s="16"/>
      <c r="C44" s="329" t="s">
        <v>35</v>
      </c>
      <c r="D44" s="18" t="s">
        <v>36</v>
      </c>
      <c r="E44" s="19" t="s">
        <v>37</v>
      </c>
      <c r="F44" s="18" t="s">
        <v>38</v>
      </c>
      <c r="G44" s="18" t="s">
        <v>39</v>
      </c>
      <c r="H44" s="19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9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9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9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9" t="s">
        <v>83</v>
      </c>
      <c r="AZ44" s="19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2666284.2000000002</v>
      </c>
      <c r="C47" s="273">
        <v>28316.05</v>
      </c>
      <c r="D47" s="273">
        <v>0</v>
      </c>
      <c r="E47" s="273">
        <v>153966.65</v>
      </c>
      <c r="F47" s="273">
        <v>0</v>
      </c>
      <c r="G47" s="273">
        <v>0</v>
      </c>
      <c r="H47" s="273">
        <v>299270.46999999997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13954.26</v>
      </c>
      <c r="P47" s="273">
        <v>370425.73</v>
      </c>
      <c r="Q47" s="273">
        <v>70077.460000000006</v>
      </c>
      <c r="R47" s="273">
        <v>0</v>
      </c>
      <c r="S47" s="273">
        <v>0</v>
      </c>
      <c r="T47" s="273">
        <v>0</v>
      </c>
      <c r="U47" s="273">
        <v>108880.56</v>
      </c>
      <c r="V47" s="273">
        <v>7336.31</v>
      </c>
      <c r="W47" s="273">
        <v>12759.47</v>
      </c>
      <c r="X47" s="273">
        <v>14366.24</v>
      </c>
      <c r="Y47" s="273">
        <v>138009.85999999999</v>
      </c>
      <c r="Z47" s="273">
        <v>0</v>
      </c>
      <c r="AA47" s="273">
        <v>0</v>
      </c>
      <c r="AB47" s="273">
        <v>64371.01</v>
      </c>
      <c r="AC47" s="273">
        <v>0</v>
      </c>
      <c r="AD47" s="273">
        <v>0</v>
      </c>
      <c r="AE47" s="273">
        <v>32033.61</v>
      </c>
      <c r="AF47" s="273">
        <v>0</v>
      </c>
      <c r="AG47" s="273">
        <v>305032.24</v>
      </c>
      <c r="AH47" s="273">
        <v>0</v>
      </c>
      <c r="AI47" s="273">
        <v>0</v>
      </c>
      <c r="AJ47" s="273">
        <v>640055.56000000006</v>
      </c>
      <c r="AK47" s="273">
        <v>46.44</v>
      </c>
      <c r="AL47" s="273">
        <v>3436.15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0</v>
      </c>
      <c r="AW47" s="273">
        <v>0</v>
      </c>
      <c r="AX47" s="273">
        <v>0</v>
      </c>
      <c r="AY47" s="273">
        <v>42172.18</v>
      </c>
      <c r="AZ47" s="273">
        <v>0</v>
      </c>
      <c r="BA47" s="273">
        <v>0</v>
      </c>
      <c r="BB47" s="273">
        <v>0</v>
      </c>
      <c r="BC47" s="273">
        <v>0</v>
      </c>
      <c r="BD47" s="273">
        <v>18258.099999999999</v>
      </c>
      <c r="BE47" s="273">
        <v>30785</v>
      </c>
      <c r="BF47" s="273">
        <v>52490.78</v>
      </c>
      <c r="BG47" s="273">
        <v>0</v>
      </c>
      <c r="BH47" s="273">
        <v>0</v>
      </c>
      <c r="BI47" s="273">
        <v>0</v>
      </c>
      <c r="BJ47" s="273">
        <v>8498.32</v>
      </c>
      <c r="BK47" s="273">
        <v>0</v>
      </c>
      <c r="BL47" s="273">
        <v>84802.75</v>
      </c>
      <c r="BM47" s="273">
        <v>0</v>
      </c>
      <c r="BN47" s="273">
        <v>-1952.5</v>
      </c>
      <c r="BO47" s="273">
        <v>0</v>
      </c>
      <c r="BP47" s="273">
        <v>0</v>
      </c>
      <c r="BQ47" s="273">
        <v>0</v>
      </c>
      <c r="BR47" s="273">
        <v>0</v>
      </c>
      <c r="BS47" s="273">
        <v>0</v>
      </c>
      <c r="BT47" s="273">
        <v>0</v>
      </c>
      <c r="BU47" s="273">
        <v>0</v>
      </c>
      <c r="BV47" s="273">
        <v>26177.5</v>
      </c>
      <c r="BW47" s="273">
        <v>6984.84</v>
      </c>
      <c r="BX47" s="273">
        <v>30387.200000000001</v>
      </c>
      <c r="BY47" s="273">
        <v>105342.01</v>
      </c>
      <c r="BZ47" s="273">
        <v>0</v>
      </c>
      <c r="CA47" s="273">
        <v>0</v>
      </c>
      <c r="CB47" s="273">
        <v>0</v>
      </c>
      <c r="CC47" s="273">
        <v>0</v>
      </c>
      <c r="CD47" s="16"/>
      <c r="CE47" s="25">
        <v>2666284.25</v>
      </c>
    </row>
    <row r="48" spans="1:83" x14ac:dyDescent="0.25">
      <c r="A48" s="25" t="s">
        <v>231</v>
      </c>
      <c r="B48" s="272">
        <v>1800678.8</v>
      </c>
      <c r="C48" s="25">
        <v>17639</v>
      </c>
      <c r="D48" s="25">
        <v>0</v>
      </c>
      <c r="E48" s="25">
        <v>92723</v>
      </c>
      <c r="F48" s="25">
        <v>0</v>
      </c>
      <c r="G48" s="25">
        <v>0</v>
      </c>
      <c r="H48" s="25">
        <v>181241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455</v>
      </c>
      <c r="P48" s="25">
        <v>205204</v>
      </c>
      <c r="Q48" s="25">
        <v>41574</v>
      </c>
      <c r="R48" s="25">
        <v>0</v>
      </c>
      <c r="S48" s="25">
        <v>0</v>
      </c>
      <c r="T48" s="25">
        <v>0</v>
      </c>
      <c r="U48" s="25">
        <v>64161</v>
      </c>
      <c r="V48" s="25">
        <v>5690</v>
      </c>
      <c r="W48" s="25">
        <v>12625</v>
      </c>
      <c r="X48" s="25">
        <v>7811</v>
      </c>
      <c r="Y48" s="25">
        <v>72574</v>
      </c>
      <c r="Z48" s="25">
        <v>0</v>
      </c>
      <c r="AA48" s="25">
        <v>0</v>
      </c>
      <c r="AB48" s="25">
        <v>37841</v>
      </c>
      <c r="AC48" s="25">
        <v>0</v>
      </c>
      <c r="AD48" s="25">
        <v>0</v>
      </c>
      <c r="AE48" s="25">
        <v>19002</v>
      </c>
      <c r="AF48" s="25">
        <v>0</v>
      </c>
      <c r="AG48" s="25">
        <v>183481</v>
      </c>
      <c r="AH48" s="25">
        <v>0</v>
      </c>
      <c r="AI48" s="25">
        <v>0</v>
      </c>
      <c r="AJ48" s="25">
        <v>605566</v>
      </c>
      <c r="AK48" s="25">
        <v>31</v>
      </c>
      <c r="AL48" s="25">
        <v>2346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23023</v>
      </c>
      <c r="AZ48" s="25">
        <v>0</v>
      </c>
      <c r="BA48" s="25">
        <v>0</v>
      </c>
      <c r="BB48" s="25">
        <v>0</v>
      </c>
      <c r="BC48" s="25">
        <v>0</v>
      </c>
      <c r="BD48" s="25">
        <v>9662</v>
      </c>
      <c r="BE48" s="25">
        <v>14432</v>
      </c>
      <c r="BF48" s="25">
        <v>26277</v>
      </c>
      <c r="BG48" s="25">
        <v>0</v>
      </c>
      <c r="BH48" s="25">
        <v>0</v>
      </c>
      <c r="BI48" s="25">
        <v>0</v>
      </c>
      <c r="BJ48" s="25">
        <v>6624</v>
      </c>
      <c r="BK48" s="25">
        <v>0</v>
      </c>
      <c r="BL48" s="25">
        <v>46044</v>
      </c>
      <c r="BM48" s="25">
        <v>0</v>
      </c>
      <c r="BN48" s="25">
        <v>8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14999</v>
      </c>
      <c r="BW48" s="25">
        <v>19315</v>
      </c>
      <c r="BX48" s="25">
        <v>21648</v>
      </c>
      <c r="BY48" s="25">
        <v>68681</v>
      </c>
      <c r="BZ48" s="25">
        <v>0</v>
      </c>
      <c r="CA48" s="25">
        <v>0</v>
      </c>
      <c r="CB48" s="25">
        <v>0</v>
      </c>
      <c r="CC48" s="25">
        <v>0</v>
      </c>
      <c r="CD48" s="25" t="s">
        <v>1058</v>
      </c>
      <c r="CE48" s="25" t="s">
        <v>1058</v>
      </c>
    </row>
    <row r="49" spans="1:83" x14ac:dyDescent="0.25">
      <c r="A49" s="16" t="s">
        <v>232</v>
      </c>
      <c r="B49" s="25">
        <v>4466963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>
        <v>0</v>
      </c>
      <c r="C51" s="273">
        <v>0</v>
      </c>
      <c r="D51" s="273">
        <v>0</v>
      </c>
      <c r="E51" s="273">
        <v>0</v>
      </c>
      <c r="F51" s="273">
        <v>0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0</v>
      </c>
      <c r="Q51" s="273">
        <v>0</v>
      </c>
      <c r="R51" s="273">
        <v>0</v>
      </c>
      <c r="S51" s="273">
        <v>0</v>
      </c>
      <c r="T51" s="273">
        <v>0</v>
      </c>
      <c r="U51" s="273">
        <v>0</v>
      </c>
      <c r="V51" s="273">
        <v>0</v>
      </c>
      <c r="W51" s="273">
        <v>0</v>
      </c>
      <c r="X51" s="273">
        <v>0</v>
      </c>
      <c r="Y51" s="273">
        <v>0</v>
      </c>
      <c r="Z51" s="273">
        <v>0</v>
      </c>
      <c r="AA51" s="273">
        <v>0</v>
      </c>
      <c r="AB51" s="273">
        <v>0</v>
      </c>
      <c r="AC51" s="273">
        <v>0</v>
      </c>
      <c r="AD51" s="273">
        <v>0</v>
      </c>
      <c r="AE51" s="273">
        <v>0</v>
      </c>
      <c r="AF51" s="273">
        <v>0</v>
      </c>
      <c r="AG51" s="273">
        <v>0</v>
      </c>
      <c r="AH51" s="273">
        <v>0</v>
      </c>
      <c r="AI51" s="273">
        <v>0</v>
      </c>
      <c r="AJ51" s="273">
        <v>0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0</v>
      </c>
      <c r="AZ51" s="273">
        <v>0</v>
      </c>
      <c r="BA51" s="273">
        <v>0</v>
      </c>
      <c r="BB51" s="273">
        <v>0</v>
      </c>
      <c r="BC51" s="273">
        <v>0</v>
      </c>
      <c r="BD51" s="273">
        <v>0</v>
      </c>
      <c r="BE51" s="273">
        <v>0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0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0</v>
      </c>
      <c r="CA51" s="273">
        <v>0</v>
      </c>
      <c r="CB51" s="273">
        <v>0</v>
      </c>
      <c r="CC51" s="273">
        <v>0</v>
      </c>
      <c r="CD51" s="16"/>
      <c r="CE51" s="25">
        <v>0</v>
      </c>
    </row>
    <row r="52" spans="1:83" x14ac:dyDescent="0.25">
      <c r="A52" s="31" t="s">
        <v>234</v>
      </c>
      <c r="B52" s="330">
        <v>781425</v>
      </c>
      <c r="C52" s="25">
        <v>26704</v>
      </c>
      <c r="D52" s="25">
        <v>0</v>
      </c>
      <c r="E52" s="25">
        <v>31543</v>
      </c>
      <c r="F52" s="25">
        <v>0</v>
      </c>
      <c r="G52" s="25">
        <v>0</v>
      </c>
      <c r="H52" s="25">
        <v>50208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78061</v>
      </c>
      <c r="P52" s="25">
        <v>140267</v>
      </c>
      <c r="Q52" s="25">
        <v>0</v>
      </c>
      <c r="R52" s="25">
        <v>0</v>
      </c>
      <c r="S52" s="25">
        <v>0</v>
      </c>
      <c r="T52" s="25">
        <v>0</v>
      </c>
      <c r="U52" s="25">
        <v>31454</v>
      </c>
      <c r="V52" s="25">
        <v>0</v>
      </c>
      <c r="W52" s="25">
        <v>0</v>
      </c>
      <c r="X52" s="25">
        <v>0</v>
      </c>
      <c r="Y52" s="25">
        <v>37598</v>
      </c>
      <c r="Z52" s="25">
        <v>0</v>
      </c>
      <c r="AA52" s="25">
        <v>0</v>
      </c>
      <c r="AB52" s="25">
        <v>15175</v>
      </c>
      <c r="AC52" s="25">
        <v>12232</v>
      </c>
      <c r="AD52" s="25">
        <v>0</v>
      </c>
      <c r="AE52" s="25">
        <v>13503</v>
      </c>
      <c r="AF52" s="25">
        <v>0</v>
      </c>
      <c r="AG52" s="25">
        <v>51636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24998</v>
      </c>
      <c r="AZ52" s="25">
        <v>0</v>
      </c>
      <c r="BA52" s="25">
        <v>0</v>
      </c>
      <c r="BB52" s="25">
        <v>0</v>
      </c>
      <c r="BC52" s="25">
        <v>0</v>
      </c>
      <c r="BD52" s="25">
        <v>36539</v>
      </c>
      <c r="BE52" s="25">
        <v>14417</v>
      </c>
      <c r="BF52" s="25">
        <v>5307</v>
      </c>
      <c r="BG52" s="25">
        <v>1383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57724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4616</v>
      </c>
      <c r="BY52" s="25">
        <v>5831</v>
      </c>
      <c r="BZ52" s="25">
        <v>0</v>
      </c>
      <c r="CA52" s="25">
        <v>0</v>
      </c>
      <c r="CB52" s="25">
        <v>0</v>
      </c>
      <c r="CC52" s="25">
        <v>142229</v>
      </c>
      <c r="CD52" s="25" t="s">
        <v>1058</v>
      </c>
      <c r="CE52" s="25" t="s">
        <v>1058</v>
      </c>
    </row>
    <row r="53" spans="1:83" x14ac:dyDescent="0.25">
      <c r="A53" s="16" t="s">
        <v>232</v>
      </c>
      <c r="B53" s="25">
        <v>781425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241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1282</v>
      </c>
      <c r="D59" s="273">
        <v>0</v>
      </c>
      <c r="E59" s="273">
        <v>1671</v>
      </c>
      <c r="F59" s="273">
        <v>0</v>
      </c>
      <c r="G59" s="273">
        <v>0</v>
      </c>
      <c r="H59" s="273">
        <v>4978</v>
      </c>
      <c r="I59" s="273">
        <v>0</v>
      </c>
      <c r="J59" s="273">
        <v>0</v>
      </c>
      <c r="K59" s="273">
        <v>0</v>
      </c>
      <c r="L59" s="273">
        <v>0</v>
      </c>
      <c r="M59" s="273">
        <v>0</v>
      </c>
      <c r="N59" s="273">
        <v>0</v>
      </c>
      <c r="O59" s="273">
        <v>0</v>
      </c>
      <c r="P59" s="331">
        <v>0</v>
      </c>
      <c r="Q59" s="331">
        <v>0</v>
      </c>
      <c r="R59" s="331">
        <v>0</v>
      </c>
      <c r="S59" s="332">
        <v>0</v>
      </c>
      <c r="T59" s="332">
        <v>0</v>
      </c>
      <c r="U59" s="333">
        <v>0</v>
      </c>
      <c r="V59" s="331">
        <v>0</v>
      </c>
      <c r="W59" s="331">
        <v>0</v>
      </c>
      <c r="X59" s="331">
        <v>0</v>
      </c>
      <c r="Y59" s="331">
        <v>0</v>
      </c>
      <c r="Z59" s="331">
        <v>0</v>
      </c>
      <c r="AA59" s="331">
        <v>0</v>
      </c>
      <c r="AB59" s="332">
        <v>0</v>
      </c>
      <c r="AC59" s="331">
        <v>0</v>
      </c>
      <c r="AD59" s="331">
        <v>0</v>
      </c>
      <c r="AE59" s="331">
        <v>0</v>
      </c>
      <c r="AF59" s="331">
        <v>0</v>
      </c>
      <c r="AG59" s="331">
        <v>0</v>
      </c>
      <c r="AH59" s="331">
        <v>0</v>
      </c>
      <c r="AI59" s="331">
        <v>0</v>
      </c>
      <c r="AJ59" s="331">
        <v>0</v>
      </c>
      <c r="AK59" s="331">
        <v>0</v>
      </c>
      <c r="AL59" s="331">
        <v>0</v>
      </c>
      <c r="AM59" s="331">
        <v>0</v>
      </c>
      <c r="AN59" s="331">
        <v>0</v>
      </c>
      <c r="AO59" s="331">
        <v>0</v>
      </c>
      <c r="AP59" s="331">
        <v>0</v>
      </c>
      <c r="AQ59" s="331">
        <v>0</v>
      </c>
      <c r="AR59" s="331">
        <v>0</v>
      </c>
      <c r="AS59" s="331">
        <v>0</v>
      </c>
      <c r="AT59" s="331">
        <v>0</v>
      </c>
      <c r="AU59" s="331">
        <v>0</v>
      </c>
      <c r="AV59" s="332">
        <v>0</v>
      </c>
      <c r="AW59" s="332">
        <v>0</v>
      </c>
      <c r="AX59" s="332">
        <v>0</v>
      </c>
      <c r="AY59" s="331">
        <v>26313</v>
      </c>
      <c r="AZ59" s="331">
        <v>0</v>
      </c>
      <c r="BA59" s="332">
        <v>0</v>
      </c>
      <c r="BB59" s="332">
        <v>0</v>
      </c>
      <c r="BC59" s="332">
        <v>0</v>
      </c>
      <c r="BD59" s="332">
        <v>0</v>
      </c>
      <c r="BE59" s="331">
        <v>70083</v>
      </c>
      <c r="BF59" s="332">
        <v>0</v>
      </c>
      <c r="BG59" s="332">
        <v>0</v>
      </c>
      <c r="BH59" s="332">
        <v>0</v>
      </c>
      <c r="BI59" s="332">
        <v>0</v>
      </c>
      <c r="BJ59" s="332">
        <v>0</v>
      </c>
      <c r="BK59" s="332">
        <v>0</v>
      </c>
      <c r="BL59" s="332">
        <v>0</v>
      </c>
      <c r="BM59" s="332">
        <v>0</v>
      </c>
      <c r="BN59" s="332">
        <v>0</v>
      </c>
      <c r="BO59" s="332">
        <v>0</v>
      </c>
      <c r="BP59" s="332">
        <v>0</v>
      </c>
      <c r="BQ59" s="332">
        <v>0</v>
      </c>
      <c r="BR59" s="332">
        <v>0</v>
      </c>
      <c r="BS59" s="332">
        <v>0</v>
      </c>
      <c r="BT59" s="332">
        <v>0</v>
      </c>
      <c r="BU59" s="332">
        <v>0</v>
      </c>
      <c r="BV59" s="332">
        <v>0</v>
      </c>
      <c r="BW59" s="332">
        <v>0</v>
      </c>
      <c r="BX59" s="332">
        <v>0</v>
      </c>
      <c r="BY59" s="332">
        <v>0</v>
      </c>
      <c r="BZ59" s="332">
        <v>0</v>
      </c>
      <c r="CA59" s="332">
        <v>0</v>
      </c>
      <c r="CB59" s="332">
        <v>0</v>
      </c>
      <c r="CC59" s="332">
        <v>0</v>
      </c>
      <c r="CD59" s="224">
        <v>0</v>
      </c>
      <c r="CE59" s="25">
        <v>0</v>
      </c>
    </row>
    <row r="60" spans="1:83" s="201" customFormat="1" ht="15.75" customHeight="1" x14ac:dyDescent="0.25">
      <c r="A60" s="207" t="s">
        <v>261</v>
      </c>
      <c r="B60" s="208"/>
      <c r="C60" s="277">
        <v>2.14</v>
      </c>
      <c r="D60" s="277">
        <v>0</v>
      </c>
      <c r="E60" s="277">
        <v>14.36</v>
      </c>
      <c r="F60" s="277">
        <v>0</v>
      </c>
      <c r="G60" s="277">
        <v>0</v>
      </c>
      <c r="H60" s="277">
        <v>26.93</v>
      </c>
      <c r="I60" s="277">
        <v>0</v>
      </c>
      <c r="J60" s="277">
        <v>0</v>
      </c>
      <c r="K60" s="277">
        <v>0</v>
      </c>
      <c r="L60" s="277">
        <v>0</v>
      </c>
      <c r="M60" s="277">
        <v>0</v>
      </c>
      <c r="N60" s="277">
        <v>0</v>
      </c>
      <c r="O60" s="277">
        <v>1.1100000000000001</v>
      </c>
      <c r="P60" s="334">
        <v>27.27</v>
      </c>
      <c r="Q60" s="334">
        <v>4.18</v>
      </c>
      <c r="R60" s="334">
        <v>0</v>
      </c>
      <c r="S60" s="278">
        <v>0</v>
      </c>
      <c r="T60" s="278">
        <v>0</v>
      </c>
      <c r="U60" s="335">
        <v>11.51</v>
      </c>
      <c r="V60" s="334">
        <v>0.66</v>
      </c>
      <c r="W60" s="334">
        <v>0.9</v>
      </c>
      <c r="X60" s="334">
        <v>1.02</v>
      </c>
      <c r="Y60" s="334">
        <v>12.51</v>
      </c>
      <c r="Z60" s="334">
        <v>0</v>
      </c>
      <c r="AA60" s="334">
        <v>0</v>
      </c>
      <c r="AB60" s="278">
        <v>4.76</v>
      </c>
      <c r="AC60" s="334">
        <v>0</v>
      </c>
      <c r="AD60" s="334">
        <v>0</v>
      </c>
      <c r="AE60" s="334">
        <v>2.34</v>
      </c>
      <c r="AF60" s="334">
        <v>0</v>
      </c>
      <c r="AG60" s="334">
        <v>21.62</v>
      </c>
      <c r="AH60" s="334">
        <v>0</v>
      </c>
      <c r="AI60" s="334">
        <v>0</v>
      </c>
      <c r="AJ60" s="334">
        <v>53.11</v>
      </c>
      <c r="AK60" s="334">
        <v>0</v>
      </c>
      <c r="AL60" s="334">
        <v>0.25</v>
      </c>
      <c r="AM60" s="334">
        <v>0</v>
      </c>
      <c r="AN60" s="334">
        <v>0</v>
      </c>
      <c r="AO60" s="334">
        <v>0</v>
      </c>
      <c r="AP60" s="334">
        <v>0</v>
      </c>
      <c r="AQ60" s="334">
        <v>0</v>
      </c>
      <c r="AR60" s="334">
        <v>0</v>
      </c>
      <c r="AS60" s="334">
        <v>0</v>
      </c>
      <c r="AT60" s="334">
        <v>0</v>
      </c>
      <c r="AU60" s="334">
        <v>0</v>
      </c>
      <c r="AV60" s="278">
        <v>0</v>
      </c>
      <c r="AW60" s="278">
        <v>0</v>
      </c>
      <c r="AX60" s="278">
        <v>0</v>
      </c>
      <c r="AY60" s="334">
        <v>6.93</v>
      </c>
      <c r="AZ60" s="334">
        <v>0</v>
      </c>
      <c r="BA60" s="278">
        <v>0</v>
      </c>
      <c r="BB60" s="278">
        <v>0</v>
      </c>
      <c r="BC60" s="278">
        <v>0</v>
      </c>
      <c r="BD60" s="278">
        <v>3.36</v>
      </c>
      <c r="BE60" s="334">
        <v>3.13</v>
      </c>
      <c r="BF60" s="278">
        <v>7.93</v>
      </c>
      <c r="BG60" s="278">
        <v>0</v>
      </c>
      <c r="BH60" s="278">
        <v>0</v>
      </c>
      <c r="BI60" s="278">
        <v>0</v>
      </c>
      <c r="BJ60" s="278">
        <v>1</v>
      </c>
      <c r="BK60" s="278">
        <v>0</v>
      </c>
      <c r="BL60" s="278">
        <v>12.82</v>
      </c>
      <c r="BM60" s="278">
        <v>0</v>
      </c>
      <c r="BN60" s="278">
        <v>1.94</v>
      </c>
      <c r="BO60" s="278">
        <v>0</v>
      </c>
      <c r="BP60" s="278">
        <v>0</v>
      </c>
      <c r="BQ60" s="278">
        <v>0</v>
      </c>
      <c r="BR60" s="278">
        <v>0</v>
      </c>
      <c r="BS60" s="278">
        <v>0</v>
      </c>
      <c r="BT60" s="278">
        <v>0</v>
      </c>
      <c r="BU60" s="278">
        <v>0</v>
      </c>
      <c r="BV60" s="278">
        <v>3.33</v>
      </c>
      <c r="BW60" s="278">
        <v>0</v>
      </c>
      <c r="BX60" s="278">
        <v>2.54</v>
      </c>
      <c r="BY60" s="278">
        <v>4.91</v>
      </c>
      <c r="BZ60" s="278">
        <v>0</v>
      </c>
      <c r="CA60" s="278">
        <v>0</v>
      </c>
      <c r="CB60" s="278">
        <v>0</v>
      </c>
      <c r="CC60" s="278">
        <v>0.56999999999999995</v>
      </c>
      <c r="CD60" s="209" t="s">
        <v>247</v>
      </c>
      <c r="CE60" s="227">
        <v>233.13000000000002</v>
      </c>
    </row>
    <row r="61" spans="1:83" x14ac:dyDescent="0.25">
      <c r="A61" s="31" t="s">
        <v>262</v>
      </c>
      <c r="B61" s="16"/>
      <c r="C61" s="273">
        <v>226028.43</v>
      </c>
      <c r="D61" s="273">
        <v>0</v>
      </c>
      <c r="E61" s="273">
        <v>1188138.6299999999</v>
      </c>
      <c r="F61" s="273">
        <v>0</v>
      </c>
      <c r="G61" s="273">
        <v>0</v>
      </c>
      <c r="H61" s="273">
        <v>2322383.69</v>
      </c>
      <c r="I61" s="273">
        <v>0</v>
      </c>
      <c r="J61" s="273">
        <v>0</v>
      </c>
      <c r="K61" s="273">
        <v>0</v>
      </c>
      <c r="L61" s="273">
        <v>0</v>
      </c>
      <c r="M61" s="273">
        <v>0</v>
      </c>
      <c r="N61" s="273">
        <v>0</v>
      </c>
      <c r="O61" s="273">
        <v>5824.78</v>
      </c>
      <c r="P61" s="331">
        <v>2629442.73</v>
      </c>
      <c r="Q61" s="331">
        <v>532721.34</v>
      </c>
      <c r="R61" s="331">
        <v>0</v>
      </c>
      <c r="S61" s="280">
        <v>0</v>
      </c>
      <c r="T61" s="280">
        <v>0</v>
      </c>
      <c r="U61" s="333">
        <v>822150.09</v>
      </c>
      <c r="V61" s="331">
        <v>72916.91</v>
      </c>
      <c r="W61" s="331">
        <v>161775.98000000001</v>
      </c>
      <c r="X61" s="331">
        <v>100084.09</v>
      </c>
      <c r="Y61" s="331">
        <v>929954.68</v>
      </c>
      <c r="Z61" s="331">
        <v>0</v>
      </c>
      <c r="AA61" s="331">
        <v>0</v>
      </c>
      <c r="AB61" s="281">
        <v>484892.1</v>
      </c>
      <c r="AC61" s="331">
        <v>0</v>
      </c>
      <c r="AD61" s="331">
        <v>0</v>
      </c>
      <c r="AE61" s="331">
        <v>243485.03</v>
      </c>
      <c r="AF61" s="331">
        <v>0</v>
      </c>
      <c r="AG61" s="331">
        <v>2351089.12</v>
      </c>
      <c r="AH61" s="331">
        <v>0</v>
      </c>
      <c r="AI61" s="331">
        <v>0</v>
      </c>
      <c r="AJ61" s="331">
        <v>7759607.0800000001</v>
      </c>
      <c r="AK61" s="331">
        <v>400.71</v>
      </c>
      <c r="AL61" s="331">
        <v>30067.18</v>
      </c>
      <c r="AM61" s="331">
        <v>0</v>
      </c>
      <c r="AN61" s="331">
        <v>0</v>
      </c>
      <c r="AO61" s="331">
        <v>0</v>
      </c>
      <c r="AP61" s="331">
        <v>0</v>
      </c>
      <c r="AQ61" s="331">
        <v>0</v>
      </c>
      <c r="AR61" s="331">
        <v>0</v>
      </c>
      <c r="AS61" s="331">
        <v>0</v>
      </c>
      <c r="AT61" s="331">
        <v>0</v>
      </c>
      <c r="AU61" s="331">
        <v>0</v>
      </c>
      <c r="AV61" s="280">
        <v>0</v>
      </c>
      <c r="AW61" s="280">
        <v>0</v>
      </c>
      <c r="AX61" s="280">
        <v>0</v>
      </c>
      <c r="AY61" s="331">
        <v>295009.45</v>
      </c>
      <c r="AZ61" s="331">
        <v>0</v>
      </c>
      <c r="BA61" s="280">
        <v>0</v>
      </c>
      <c r="BB61" s="280">
        <v>0</v>
      </c>
      <c r="BC61" s="280">
        <v>0</v>
      </c>
      <c r="BD61" s="280">
        <v>123807.59</v>
      </c>
      <c r="BE61" s="331">
        <v>184926.36</v>
      </c>
      <c r="BF61" s="280">
        <v>336709.86</v>
      </c>
      <c r="BG61" s="280">
        <v>0</v>
      </c>
      <c r="BH61" s="280">
        <v>0</v>
      </c>
      <c r="BI61" s="280">
        <v>0</v>
      </c>
      <c r="BJ61" s="280">
        <v>84882.91</v>
      </c>
      <c r="BK61" s="280">
        <v>0</v>
      </c>
      <c r="BL61" s="280">
        <v>589999.51</v>
      </c>
      <c r="BM61" s="280">
        <v>0</v>
      </c>
      <c r="BN61" s="280">
        <v>101.76</v>
      </c>
      <c r="BO61" s="280">
        <v>0</v>
      </c>
      <c r="BP61" s="280">
        <v>0</v>
      </c>
      <c r="BQ61" s="280">
        <v>0</v>
      </c>
      <c r="BR61" s="280">
        <v>0</v>
      </c>
      <c r="BS61" s="280">
        <v>0</v>
      </c>
      <c r="BT61" s="280">
        <v>0</v>
      </c>
      <c r="BU61" s="280">
        <v>0</v>
      </c>
      <c r="BV61" s="280">
        <v>192194.49</v>
      </c>
      <c r="BW61" s="280">
        <v>247493.02</v>
      </c>
      <c r="BX61" s="280">
        <v>277390.08000000002</v>
      </c>
      <c r="BY61" s="280">
        <v>880070.31</v>
      </c>
      <c r="BZ61" s="280">
        <v>0</v>
      </c>
      <c r="CA61" s="280">
        <v>0</v>
      </c>
      <c r="CB61" s="280">
        <v>0</v>
      </c>
      <c r="CC61" s="280">
        <v>0</v>
      </c>
      <c r="CD61" s="24" t="s">
        <v>247</v>
      </c>
      <c r="CE61" s="25">
        <v>23073547.909999996</v>
      </c>
    </row>
    <row r="62" spans="1:83" x14ac:dyDescent="0.25">
      <c r="A62" s="31" t="s">
        <v>10</v>
      </c>
      <c r="B62" s="16"/>
      <c r="C62" s="25">
        <v>45955</v>
      </c>
      <c r="D62" s="25">
        <v>0</v>
      </c>
      <c r="E62" s="25">
        <v>246690</v>
      </c>
      <c r="F62" s="25">
        <v>0</v>
      </c>
      <c r="G62" s="25">
        <v>0</v>
      </c>
      <c r="H62" s="25">
        <v>480511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14409</v>
      </c>
      <c r="P62" s="25">
        <v>575630</v>
      </c>
      <c r="Q62" s="25">
        <v>111651</v>
      </c>
      <c r="R62" s="25">
        <v>0</v>
      </c>
      <c r="S62" s="25">
        <v>0</v>
      </c>
      <c r="T62" s="25">
        <v>0</v>
      </c>
      <c r="U62" s="25">
        <v>173042</v>
      </c>
      <c r="V62" s="25">
        <v>13026</v>
      </c>
      <c r="W62" s="25">
        <v>25384</v>
      </c>
      <c r="X62" s="25">
        <v>22177</v>
      </c>
      <c r="Y62" s="25">
        <v>210584</v>
      </c>
      <c r="Z62" s="25">
        <v>0</v>
      </c>
      <c r="AA62" s="25">
        <v>0</v>
      </c>
      <c r="AB62" s="25">
        <v>102212</v>
      </c>
      <c r="AC62" s="25">
        <v>0</v>
      </c>
      <c r="AD62" s="25">
        <v>0</v>
      </c>
      <c r="AE62" s="25">
        <v>51036</v>
      </c>
      <c r="AF62" s="25">
        <v>0</v>
      </c>
      <c r="AG62" s="25">
        <v>488513</v>
      </c>
      <c r="AH62" s="25">
        <v>0</v>
      </c>
      <c r="AI62" s="25">
        <v>0</v>
      </c>
      <c r="AJ62" s="25">
        <v>1245622</v>
      </c>
      <c r="AK62" s="25">
        <v>77</v>
      </c>
      <c r="AL62" s="25">
        <v>5782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65195</v>
      </c>
      <c r="AZ62" s="25">
        <v>0</v>
      </c>
      <c r="BA62" s="25">
        <v>0</v>
      </c>
      <c r="BB62" s="25">
        <v>0</v>
      </c>
      <c r="BC62" s="25">
        <v>0</v>
      </c>
      <c r="BD62" s="25">
        <v>27920</v>
      </c>
      <c r="BE62" s="25">
        <v>45217</v>
      </c>
      <c r="BF62" s="25">
        <v>78768</v>
      </c>
      <c r="BG62" s="25">
        <v>0</v>
      </c>
      <c r="BH62" s="25">
        <v>0</v>
      </c>
      <c r="BI62" s="25">
        <v>0</v>
      </c>
      <c r="BJ62" s="25">
        <v>15122</v>
      </c>
      <c r="BK62" s="25">
        <v>0</v>
      </c>
      <c r="BL62" s="25">
        <v>130847</v>
      </c>
      <c r="BM62" s="25">
        <v>0</v>
      </c>
      <c r="BN62" s="25">
        <v>-1945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41177</v>
      </c>
      <c r="BW62" s="25">
        <v>26300</v>
      </c>
      <c r="BX62" s="25">
        <v>52035</v>
      </c>
      <c r="BY62" s="25">
        <v>174023</v>
      </c>
      <c r="BZ62" s="25">
        <v>0</v>
      </c>
      <c r="CA62" s="25">
        <v>0</v>
      </c>
      <c r="CB62" s="25">
        <v>0</v>
      </c>
      <c r="CC62" s="25">
        <v>0</v>
      </c>
      <c r="CD62" s="24" t="s">
        <v>247</v>
      </c>
      <c r="CE62" s="25">
        <v>4466960</v>
      </c>
    </row>
    <row r="63" spans="1:83" x14ac:dyDescent="0.25">
      <c r="A63" s="31" t="s">
        <v>263</v>
      </c>
      <c r="B63" s="16"/>
      <c r="C63" s="273">
        <v>0</v>
      </c>
      <c r="D63" s="273">
        <v>0</v>
      </c>
      <c r="E63" s="273">
        <v>-84181</v>
      </c>
      <c r="F63" s="273">
        <v>0</v>
      </c>
      <c r="G63" s="273">
        <v>0</v>
      </c>
      <c r="H63" s="273">
        <v>629267.48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32311.3</v>
      </c>
      <c r="P63" s="331">
        <v>-28750</v>
      </c>
      <c r="Q63" s="331">
        <v>0</v>
      </c>
      <c r="R63" s="331">
        <v>0</v>
      </c>
      <c r="S63" s="280">
        <v>0</v>
      </c>
      <c r="T63" s="280">
        <v>0</v>
      </c>
      <c r="U63" s="333">
        <v>-5000</v>
      </c>
      <c r="V63" s="331">
        <v>0</v>
      </c>
      <c r="W63" s="331">
        <v>0</v>
      </c>
      <c r="X63" s="331">
        <v>0</v>
      </c>
      <c r="Y63" s="331">
        <v>0</v>
      </c>
      <c r="Z63" s="331">
        <v>0</v>
      </c>
      <c r="AA63" s="331">
        <v>0</v>
      </c>
      <c r="AB63" s="281">
        <v>0</v>
      </c>
      <c r="AC63" s="331">
        <v>0</v>
      </c>
      <c r="AD63" s="331">
        <v>0</v>
      </c>
      <c r="AE63" s="331">
        <v>0</v>
      </c>
      <c r="AF63" s="331">
        <v>0</v>
      </c>
      <c r="AG63" s="331">
        <v>0</v>
      </c>
      <c r="AH63" s="331">
        <v>0</v>
      </c>
      <c r="AI63" s="331">
        <v>0</v>
      </c>
      <c r="AJ63" s="331">
        <v>0</v>
      </c>
      <c r="AK63" s="331">
        <v>0</v>
      </c>
      <c r="AL63" s="331">
        <v>0</v>
      </c>
      <c r="AM63" s="331">
        <v>0</v>
      </c>
      <c r="AN63" s="331">
        <v>0</v>
      </c>
      <c r="AO63" s="331">
        <v>0</v>
      </c>
      <c r="AP63" s="331">
        <v>0</v>
      </c>
      <c r="AQ63" s="331">
        <v>0</v>
      </c>
      <c r="AR63" s="331">
        <v>0</v>
      </c>
      <c r="AS63" s="331">
        <v>0</v>
      </c>
      <c r="AT63" s="331">
        <v>0</v>
      </c>
      <c r="AU63" s="331">
        <v>0</v>
      </c>
      <c r="AV63" s="280">
        <v>0</v>
      </c>
      <c r="AW63" s="280">
        <v>0</v>
      </c>
      <c r="AX63" s="280">
        <v>0</v>
      </c>
      <c r="AY63" s="331">
        <v>0</v>
      </c>
      <c r="AZ63" s="331">
        <v>0</v>
      </c>
      <c r="BA63" s="280">
        <v>0</v>
      </c>
      <c r="BB63" s="280">
        <v>0</v>
      </c>
      <c r="BC63" s="280">
        <v>0</v>
      </c>
      <c r="BD63" s="280">
        <v>0</v>
      </c>
      <c r="BE63" s="331">
        <v>0</v>
      </c>
      <c r="BF63" s="280">
        <v>0</v>
      </c>
      <c r="BG63" s="280">
        <v>0</v>
      </c>
      <c r="BH63" s="280">
        <v>0</v>
      </c>
      <c r="BI63" s="280">
        <v>0</v>
      </c>
      <c r="BJ63" s="280">
        <v>47125</v>
      </c>
      <c r="BK63" s="280">
        <v>0</v>
      </c>
      <c r="BL63" s="280">
        <v>0</v>
      </c>
      <c r="BM63" s="280">
        <v>0</v>
      </c>
      <c r="BN63" s="280">
        <v>86398.2</v>
      </c>
      <c r="BO63" s="280">
        <v>0</v>
      </c>
      <c r="BP63" s="280">
        <v>0</v>
      </c>
      <c r="BQ63" s="280">
        <v>0</v>
      </c>
      <c r="BR63" s="280">
        <v>4138.8500000000004</v>
      </c>
      <c r="BS63" s="280">
        <v>0</v>
      </c>
      <c r="BT63" s="280">
        <v>0</v>
      </c>
      <c r="BU63" s="280">
        <v>0</v>
      </c>
      <c r="BV63" s="280">
        <v>0</v>
      </c>
      <c r="BW63" s="280">
        <v>63587.5</v>
      </c>
      <c r="BX63" s="280">
        <v>0</v>
      </c>
      <c r="BY63" s="280">
        <v>0</v>
      </c>
      <c r="BZ63" s="280">
        <v>0</v>
      </c>
      <c r="CA63" s="280">
        <v>0</v>
      </c>
      <c r="CB63" s="280">
        <v>0</v>
      </c>
      <c r="CC63" s="280">
        <v>0</v>
      </c>
      <c r="CD63" s="24" t="s">
        <v>247</v>
      </c>
      <c r="CE63" s="25">
        <v>744897.33</v>
      </c>
    </row>
    <row r="64" spans="1:83" x14ac:dyDescent="0.25">
      <c r="A64" s="31" t="s">
        <v>264</v>
      </c>
      <c r="B64" s="16"/>
      <c r="C64" s="273">
        <v>163545.81</v>
      </c>
      <c r="D64" s="273">
        <v>0</v>
      </c>
      <c r="E64" s="273">
        <v>63939.79</v>
      </c>
      <c r="F64" s="273">
        <v>0</v>
      </c>
      <c r="G64" s="273">
        <v>0</v>
      </c>
      <c r="H64" s="273">
        <v>23170.05</v>
      </c>
      <c r="I64" s="273">
        <v>0</v>
      </c>
      <c r="J64" s="273">
        <v>0</v>
      </c>
      <c r="K64" s="273">
        <v>0</v>
      </c>
      <c r="L64" s="273">
        <v>0</v>
      </c>
      <c r="M64" s="273">
        <v>0</v>
      </c>
      <c r="N64" s="273">
        <v>0</v>
      </c>
      <c r="O64" s="273">
        <v>-6107.38</v>
      </c>
      <c r="P64" s="331">
        <v>3120466.12</v>
      </c>
      <c r="Q64" s="331">
        <v>45208.2</v>
      </c>
      <c r="R64" s="331">
        <v>-3545.84</v>
      </c>
      <c r="S64" s="280">
        <v>35824.199999999997</v>
      </c>
      <c r="T64" s="280">
        <v>0</v>
      </c>
      <c r="U64" s="333">
        <v>871379.68</v>
      </c>
      <c r="V64" s="331">
        <v>1565.09</v>
      </c>
      <c r="W64" s="331">
        <v>283.36</v>
      </c>
      <c r="X64" s="331">
        <v>45564.1</v>
      </c>
      <c r="Y64" s="331">
        <v>18986.03</v>
      </c>
      <c r="Z64" s="331">
        <v>0</v>
      </c>
      <c r="AA64" s="331">
        <v>0</v>
      </c>
      <c r="AB64" s="281">
        <v>968378.14</v>
      </c>
      <c r="AC64" s="331">
        <v>58229.15</v>
      </c>
      <c r="AD64" s="331">
        <v>0</v>
      </c>
      <c r="AE64" s="331">
        <v>40246.050000000003</v>
      </c>
      <c r="AF64" s="331">
        <v>0</v>
      </c>
      <c r="AG64" s="331">
        <v>266300.34000000003</v>
      </c>
      <c r="AH64" s="331">
        <v>0</v>
      </c>
      <c r="AI64" s="331">
        <v>0</v>
      </c>
      <c r="AJ64" s="331">
        <v>268849.12</v>
      </c>
      <c r="AK64" s="331">
        <v>0</v>
      </c>
      <c r="AL64" s="331">
        <v>120.42</v>
      </c>
      <c r="AM64" s="331">
        <v>0</v>
      </c>
      <c r="AN64" s="331">
        <v>0</v>
      </c>
      <c r="AO64" s="331">
        <v>0</v>
      </c>
      <c r="AP64" s="331">
        <v>0</v>
      </c>
      <c r="AQ64" s="331">
        <v>0</v>
      </c>
      <c r="AR64" s="331">
        <v>0</v>
      </c>
      <c r="AS64" s="331">
        <v>0</v>
      </c>
      <c r="AT64" s="331">
        <v>0</v>
      </c>
      <c r="AU64" s="331">
        <v>0</v>
      </c>
      <c r="AV64" s="280">
        <v>0</v>
      </c>
      <c r="AW64" s="280">
        <v>0</v>
      </c>
      <c r="AX64" s="280">
        <v>0</v>
      </c>
      <c r="AY64" s="331">
        <v>323096.18</v>
      </c>
      <c r="AZ64" s="331">
        <v>0</v>
      </c>
      <c r="BA64" s="280">
        <v>0</v>
      </c>
      <c r="BB64" s="280">
        <v>0</v>
      </c>
      <c r="BC64" s="280">
        <v>0</v>
      </c>
      <c r="BD64" s="280">
        <v>-9090.64</v>
      </c>
      <c r="BE64" s="331">
        <v>50946.53</v>
      </c>
      <c r="BF64" s="280">
        <v>95326.3</v>
      </c>
      <c r="BG64" s="280">
        <v>0</v>
      </c>
      <c r="BH64" s="280">
        <v>126188.61</v>
      </c>
      <c r="BI64" s="280">
        <v>0</v>
      </c>
      <c r="BJ64" s="280">
        <v>159.77000000000001</v>
      </c>
      <c r="BK64" s="280">
        <v>0</v>
      </c>
      <c r="BL64" s="280">
        <v>9176.7000000000007</v>
      </c>
      <c r="BM64" s="280">
        <v>0</v>
      </c>
      <c r="BN64" s="280">
        <v>4956.59</v>
      </c>
      <c r="BO64" s="280">
        <v>290.77999999999997</v>
      </c>
      <c r="BP64" s="280">
        <v>0</v>
      </c>
      <c r="BQ64" s="280">
        <v>0</v>
      </c>
      <c r="BR64" s="280">
        <v>301.2</v>
      </c>
      <c r="BS64" s="280">
        <v>0</v>
      </c>
      <c r="BT64" s="280">
        <v>0</v>
      </c>
      <c r="BU64" s="280">
        <v>0</v>
      </c>
      <c r="BV64" s="280">
        <v>32987.120000000003</v>
      </c>
      <c r="BW64" s="280">
        <v>0</v>
      </c>
      <c r="BX64" s="280">
        <v>1310.7</v>
      </c>
      <c r="BY64" s="280">
        <v>7423.5</v>
      </c>
      <c r="BZ64" s="280">
        <v>0</v>
      </c>
      <c r="CA64" s="280">
        <v>0</v>
      </c>
      <c r="CB64" s="280">
        <v>0</v>
      </c>
      <c r="CC64" s="280">
        <v>0</v>
      </c>
      <c r="CD64" s="24" t="s">
        <v>247</v>
      </c>
      <c r="CE64" s="25">
        <v>6625475.7700000014</v>
      </c>
    </row>
    <row r="65" spans="1:83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331">
        <v>0</v>
      </c>
      <c r="Q65" s="331">
        <v>0</v>
      </c>
      <c r="R65" s="331">
        <v>0</v>
      </c>
      <c r="S65" s="280">
        <v>0</v>
      </c>
      <c r="T65" s="280">
        <v>0</v>
      </c>
      <c r="U65" s="333">
        <v>0</v>
      </c>
      <c r="V65" s="331">
        <v>0</v>
      </c>
      <c r="W65" s="331">
        <v>0</v>
      </c>
      <c r="X65" s="331">
        <v>0</v>
      </c>
      <c r="Y65" s="331">
        <v>0</v>
      </c>
      <c r="Z65" s="331">
        <v>0</v>
      </c>
      <c r="AA65" s="331">
        <v>0</v>
      </c>
      <c r="AB65" s="281">
        <v>0</v>
      </c>
      <c r="AC65" s="331">
        <v>0</v>
      </c>
      <c r="AD65" s="331">
        <v>0</v>
      </c>
      <c r="AE65" s="331">
        <v>0</v>
      </c>
      <c r="AF65" s="331">
        <v>0</v>
      </c>
      <c r="AG65" s="331">
        <v>0</v>
      </c>
      <c r="AH65" s="331">
        <v>0</v>
      </c>
      <c r="AI65" s="331">
        <v>0</v>
      </c>
      <c r="AJ65" s="331">
        <v>0</v>
      </c>
      <c r="AK65" s="331">
        <v>0</v>
      </c>
      <c r="AL65" s="331">
        <v>0</v>
      </c>
      <c r="AM65" s="331">
        <v>0</v>
      </c>
      <c r="AN65" s="331">
        <v>0</v>
      </c>
      <c r="AO65" s="331">
        <v>0</v>
      </c>
      <c r="AP65" s="331">
        <v>0</v>
      </c>
      <c r="AQ65" s="331">
        <v>0</v>
      </c>
      <c r="AR65" s="331">
        <v>0</v>
      </c>
      <c r="AS65" s="331">
        <v>0</v>
      </c>
      <c r="AT65" s="331">
        <v>0</v>
      </c>
      <c r="AU65" s="331">
        <v>0</v>
      </c>
      <c r="AV65" s="280">
        <v>0</v>
      </c>
      <c r="AW65" s="280">
        <v>0</v>
      </c>
      <c r="AX65" s="280">
        <v>0</v>
      </c>
      <c r="AY65" s="331">
        <v>0</v>
      </c>
      <c r="AZ65" s="331">
        <v>0</v>
      </c>
      <c r="BA65" s="280">
        <v>0</v>
      </c>
      <c r="BB65" s="280">
        <v>0</v>
      </c>
      <c r="BC65" s="280">
        <v>0</v>
      </c>
      <c r="BD65" s="280">
        <v>0</v>
      </c>
      <c r="BE65" s="331">
        <v>0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v>0</v>
      </c>
    </row>
    <row r="66" spans="1:83" x14ac:dyDescent="0.25">
      <c r="A66" s="31" t="s">
        <v>266</v>
      </c>
      <c r="B66" s="16"/>
      <c r="C66" s="273">
        <v>812.12</v>
      </c>
      <c r="D66" s="273">
        <v>0</v>
      </c>
      <c r="E66" s="273">
        <v>1413307.7</v>
      </c>
      <c r="F66" s="273">
        <v>0</v>
      </c>
      <c r="G66" s="273">
        <v>0</v>
      </c>
      <c r="H66" s="273">
        <v>263.73</v>
      </c>
      <c r="I66" s="273">
        <v>0</v>
      </c>
      <c r="J66" s="273">
        <v>0</v>
      </c>
      <c r="K66" s="273">
        <v>0</v>
      </c>
      <c r="L66" s="273">
        <v>0</v>
      </c>
      <c r="M66" s="273">
        <v>0</v>
      </c>
      <c r="N66" s="273">
        <v>0</v>
      </c>
      <c r="O66" s="273">
        <v>0</v>
      </c>
      <c r="P66" s="331">
        <v>169260.33</v>
      </c>
      <c r="Q66" s="331">
        <v>0</v>
      </c>
      <c r="R66" s="331">
        <v>1224658.52</v>
      </c>
      <c r="S66" s="280">
        <v>4118.3999999999996</v>
      </c>
      <c r="T66" s="280">
        <v>54.35</v>
      </c>
      <c r="U66" s="333">
        <v>451310.49</v>
      </c>
      <c r="V66" s="331">
        <v>0</v>
      </c>
      <c r="W66" s="331">
        <v>358800</v>
      </c>
      <c r="X66" s="331">
        <v>0</v>
      </c>
      <c r="Y66" s="331">
        <v>262003.53</v>
      </c>
      <c r="Z66" s="331">
        <v>0</v>
      </c>
      <c r="AA66" s="331">
        <v>0</v>
      </c>
      <c r="AB66" s="281">
        <v>106544.79</v>
      </c>
      <c r="AC66" s="331">
        <v>730037.61</v>
      </c>
      <c r="AD66" s="331">
        <v>0</v>
      </c>
      <c r="AE66" s="331">
        <v>0</v>
      </c>
      <c r="AF66" s="331">
        <v>0</v>
      </c>
      <c r="AG66" s="331">
        <v>1244023.1499999999</v>
      </c>
      <c r="AH66" s="331">
        <v>0</v>
      </c>
      <c r="AI66" s="331">
        <v>0</v>
      </c>
      <c r="AJ66" s="331">
        <v>242561.22</v>
      </c>
      <c r="AK66" s="331">
        <v>5</v>
      </c>
      <c r="AL66" s="331">
        <v>0</v>
      </c>
      <c r="AM66" s="331">
        <v>0</v>
      </c>
      <c r="AN66" s="331">
        <v>0</v>
      </c>
      <c r="AO66" s="331">
        <v>0</v>
      </c>
      <c r="AP66" s="331">
        <v>0</v>
      </c>
      <c r="AQ66" s="331">
        <v>0</v>
      </c>
      <c r="AR66" s="331">
        <v>0</v>
      </c>
      <c r="AS66" s="331">
        <v>0</v>
      </c>
      <c r="AT66" s="331">
        <v>0</v>
      </c>
      <c r="AU66" s="331">
        <v>0</v>
      </c>
      <c r="AV66" s="280">
        <v>0</v>
      </c>
      <c r="AW66" s="280">
        <v>0</v>
      </c>
      <c r="AX66" s="280">
        <v>0</v>
      </c>
      <c r="AY66" s="331">
        <v>3054.88</v>
      </c>
      <c r="AZ66" s="331">
        <v>0</v>
      </c>
      <c r="BA66" s="280">
        <v>0</v>
      </c>
      <c r="BB66" s="280">
        <v>0</v>
      </c>
      <c r="BC66" s="280">
        <v>0</v>
      </c>
      <c r="BD66" s="280">
        <v>5276.38</v>
      </c>
      <c r="BE66" s="331">
        <v>98083.59</v>
      </c>
      <c r="BF66" s="280">
        <v>235455.61</v>
      </c>
      <c r="BG66" s="280">
        <v>38102.910000000003</v>
      </c>
      <c r="BH66" s="280">
        <v>439565.32</v>
      </c>
      <c r="BI66" s="280">
        <v>0</v>
      </c>
      <c r="BJ66" s="280">
        <v>402.16</v>
      </c>
      <c r="BK66" s="280">
        <v>0</v>
      </c>
      <c r="BL66" s="280">
        <v>0</v>
      </c>
      <c r="BM66" s="280">
        <v>0</v>
      </c>
      <c r="BN66" s="280">
        <v>2217.42</v>
      </c>
      <c r="BO66" s="280">
        <v>0</v>
      </c>
      <c r="BP66" s="280">
        <v>0</v>
      </c>
      <c r="BQ66" s="280">
        <v>0</v>
      </c>
      <c r="BR66" s="280">
        <v>26230.87</v>
      </c>
      <c r="BS66" s="280">
        <v>0</v>
      </c>
      <c r="BT66" s="280">
        <v>0</v>
      </c>
      <c r="BU66" s="280">
        <v>0</v>
      </c>
      <c r="BV66" s="280">
        <v>2201.34</v>
      </c>
      <c r="BW66" s="280">
        <v>2300.48</v>
      </c>
      <c r="BX66" s="280">
        <v>44797.73</v>
      </c>
      <c r="BY66" s="280">
        <v>77961.31</v>
      </c>
      <c r="BZ66" s="280">
        <v>0</v>
      </c>
      <c r="CA66" s="280">
        <v>0</v>
      </c>
      <c r="CB66" s="280">
        <v>0</v>
      </c>
      <c r="CC66" s="280">
        <v>171145.59</v>
      </c>
      <c r="CD66" s="24" t="s">
        <v>247</v>
      </c>
      <c r="CE66" s="25">
        <v>7354556.5300000012</v>
      </c>
    </row>
    <row r="67" spans="1:83" x14ac:dyDescent="0.25">
      <c r="A67" s="31" t="s">
        <v>15</v>
      </c>
      <c r="B67" s="16"/>
      <c r="C67" s="25">
        <v>26704</v>
      </c>
      <c r="D67" s="25">
        <v>0</v>
      </c>
      <c r="E67" s="25">
        <v>31543</v>
      </c>
      <c r="F67" s="25">
        <v>0</v>
      </c>
      <c r="G67" s="25">
        <v>0</v>
      </c>
      <c r="H67" s="25">
        <v>50208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78061</v>
      </c>
      <c r="P67" s="25">
        <v>140267</v>
      </c>
      <c r="Q67" s="25">
        <v>0</v>
      </c>
      <c r="R67" s="25">
        <v>0</v>
      </c>
      <c r="S67" s="25">
        <v>0</v>
      </c>
      <c r="T67" s="25">
        <v>0</v>
      </c>
      <c r="U67" s="25">
        <v>31454</v>
      </c>
      <c r="V67" s="25">
        <v>0</v>
      </c>
      <c r="W67" s="25">
        <v>0</v>
      </c>
      <c r="X67" s="25">
        <v>0</v>
      </c>
      <c r="Y67" s="25">
        <v>37598</v>
      </c>
      <c r="Z67" s="25">
        <v>0</v>
      </c>
      <c r="AA67" s="25">
        <v>0</v>
      </c>
      <c r="AB67" s="25">
        <v>15175</v>
      </c>
      <c r="AC67" s="25">
        <v>12232</v>
      </c>
      <c r="AD67" s="25">
        <v>0</v>
      </c>
      <c r="AE67" s="25">
        <v>13503</v>
      </c>
      <c r="AF67" s="25">
        <v>0</v>
      </c>
      <c r="AG67" s="25">
        <v>51636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24998</v>
      </c>
      <c r="AZ67" s="25">
        <v>0</v>
      </c>
      <c r="BA67" s="25">
        <v>0</v>
      </c>
      <c r="BB67" s="25">
        <v>0</v>
      </c>
      <c r="BC67" s="25">
        <v>0</v>
      </c>
      <c r="BD67" s="25">
        <v>36539</v>
      </c>
      <c r="BE67" s="25">
        <v>14417</v>
      </c>
      <c r="BF67" s="25">
        <v>5307</v>
      </c>
      <c r="BG67" s="25">
        <v>1383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57724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4616</v>
      </c>
      <c r="BY67" s="25">
        <v>5831</v>
      </c>
      <c r="BZ67" s="25">
        <v>0</v>
      </c>
      <c r="CA67" s="25">
        <v>0</v>
      </c>
      <c r="CB67" s="25">
        <v>0</v>
      </c>
      <c r="CC67" s="25">
        <v>142229</v>
      </c>
      <c r="CD67" s="24" t="s">
        <v>247</v>
      </c>
      <c r="CE67" s="25">
        <v>781425</v>
      </c>
    </row>
    <row r="68" spans="1:83" x14ac:dyDescent="0.25">
      <c r="A68" s="31" t="s">
        <v>267</v>
      </c>
      <c r="B68" s="25"/>
      <c r="C68" s="273">
        <v>20377.32</v>
      </c>
      <c r="D68" s="273">
        <v>0</v>
      </c>
      <c r="E68" s="273">
        <v>66514.850000000006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331">
        <v>452385.46</v>
      </c>
      <c r="Q68" s="331">
        <v>0</v>
      </c>
      <c r="R68" s="331">
        <v>0</v>
      </c>
      <c r="S68" s="280">
        <v>0</v>
      </c>
      <c r="T68" s="280">
        <v>0</v>
      </c>
      <c r="U68" s="333">
        <v>74353.850000000006</v>
      </c>
      <c r="V68" s="331">
        <v>0</v>
      </c>
      <c r="W68" s="331">
        <v>0</v>
      </c>
      <c r="X68" s="331">
        <v>0</v>
      </c>
      <c r="Y68" s="331">
        <v>0</v>
      </c>
      <c r="Z68" s="331">
        <v>0</v>
      </c>
      <c r="AA68" s="331">
        <v>0</v>
      </c>
      <c r="AB68" s="281">
        <v>200568.93</v>
      </c>
      <c r="AC68" s="331">
        <v>2016.87</v>
      </c>
      <c r="AD68" s="331">
        <v>0</v>
      </c>
      <c r="AE68" s="331">
        <v>0</v>
      </c>
      <c r="AF68" s="331">
        <v>0</v>
      </c>
      <c r="AG68" s="331">
        <v>0</v>
      </c>
      <c r="AH68" s="331">
        <v>0</v>
      </c>
      <c r="AI68" s="331">
        <v>0</v>
      </c>
      <c r="AJ68" s="331">
        <v>410472.5</v>
      </c>
      <c r="AK68" s="331">
        <v>0</v>
      </c>
      <c r="AL68" s="331">
        <v>0</v>
      </c>
      <c r="AM68" s="331">
        <v>0</v>
      </c>
      <c r="AN68" s="331">
        <v>0</v>
      </c>
      <c r="AO68" s="331">
        <v>0</v>
      </c>
      <c r="AP68" s="331">
        <v>0</v>
      </c>
      <c r="AQ68" s="331">
        <v>0</v>
      </c>
      <c r="AR68" s="331">
        <v>0</v>
      </c>
      <c r="AS68" s="331">
        <v>0</v>
      </c>
      <c r="AT68" s="331">
        <v>0</v>
      </c>
      <c r="AU68" s="331">
        <v>0</v>
      </c>
      <c r="AV68" s="280">
        <v>0</v>
      </c>
      <c r="AW68" s="280">
        <v>0</v>
      </c>
      <c r="AX68" s="280">
        <v>0</v>
      </c>
      <c r="AY68" s="331">
        <v>1409.01</v>
      </c>
      <c r="AZ68" s="331">
        <v>0</v>
      </c>
      <c r="BA68" s="280">
        <v>0</v>
      </c>
      <c r="BB68" s="280">
        <v>0</v>
      </c>
      <c r="BC68" s="280">
        <v>0</v>
      </c>
      <c r="BD68" s="280">
        <v>0</v>
      </c>
      <c r="BE68" s="331">
        <v>14906.04</v>
      </c>
      <c r="BF68" s="280">
        <v>1013.6</v>
      </c>
      <c r="BG68" s="280">
        <v>0</v>
      </c>
      <c r="BH68" s="280">
        <v>9854.74</v>
      </c>
      <c r="BI68" s="280">
        <v>0</v>
      </c>
      <c r="BJ68" s="280">
        <v>0</v>
      </c>
      <c r="BK68" s="280">
        <v>0</v>
      </c>
      <c r="BL68" s="280">
        <v>0</v>
      </c>
      <c r="BM68" s="280">
        <v>0</v>
      </c>
      <c r="BN68" s="280">
        <v>-1516.65</v>
      </c>
      <c r="BO68" s="280">
        <v>0</v>
      </c>
      <c r="BP68" s="280">
        <v>0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34233.919999999998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0</v>
      </c>
      <c r="CC68" s="280">
        <v>0</v>
      </c>
      <c r="CD68" s="24" t="s">
        <v>247</v>
      </c>
      <c r="CE68" s="25">
        <v>1286590.44</v>
      </c>
    </row>
    <row r="69" spans="1:83" x14ac:dyDescent="0.25">
      <c r="A69" s="31" t="s">
        <v>268</v>
      </c>
      <c r="B69" s="16"/>
      <c r="C69" s="25">
        <v>-6472.1400000000012</v>
      </c>
      <c r="D69" s="25">
        <v>0</v>
      </c>
      <c r="E69" s="25">
        <v>1322633.6899999997</v>
      </c>
      <c r="F69" s="25">
        <v>0</v>
      </c>
      <c r="G69" s="25">
        <v>0</v>
      </c>
      <c r="H69" s="25">
        <v>432895.38000000006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-3620.78</v>
      </c>
      <c r="P69" s="25">
        <v>642419.38</v>
      </c>
      <c r="Q69" s="25">
        <v>260.95999999999998</v>
      </c>
      <c r="R69" s="25">
        <v>0</v>
      </c>
      <c r="S69" s="25">
        <v>6469.66</v>
      </c>
      <c r="T69" s="25">
        <v>0</v>
      </c>
      <c r="U69" s="25">
        <v>256166.15999999997</v>
      </c>
      <c r="V69" s="25">
        <v>502.51</v>
      </c>
      <c r="W69" s="25">
        <v>373.75</v>
      </c>
      <c r="X69" s="25">
        <v>377.5</v>
      </c>
      <c r="Y69" s="25">
        <v>104191.26</v>
      </c>
      <c r="Z69" s="25">
        <v>0</v>
      </c>
      <c r="AA69" s="25">
        <v>0</v>
      </c>
      <c r="AB69" s="25">
        <v>33972.979999999996</v>
      </c>
      <c r="AC69" s="25">
        <v>12795.36</v>
      </c>
      <c r="AD69" s="25">
        <v>0</v>
      </c>
      <c r="AE69" s="25">
        <v>4171.4400000000005</v>
      </c>
      <c r="AF69" s="25">
        <v>0</v>
      </c>
      <c r="AG69" s="25">
        <v>657921.96</v>
      </c>
      <c r="AH69" s="25">
        <v>0</v>
      </c>
      <c r="AI69" s="25">
        <v>0</v>
      </c>
      <c r="AJ69" s="25">
        <v>219018.17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102321.01</v>
      </c>
      <c r="AZ69" s="25">
        <v>0</v>
      </c>
      <c r="BA69" s="25">
        <v>0</v>
      </c>
      <c r="BB69" s="25">
        <v>0</v>
      </c>
      <c r="BC69" s="25">
        <v>0</v>
      </c>
      <c r="BD69" s="25">
        <v>-28508.799999999999</v>
      </c>
      <c r="BE69" s="25">
        <v>653267.77</v>
      </c>
      <c r="BF69" s="25">
        <v>869.83</v>
      </c>
      <c r="BG69" s="25">
        <v>0</v>
      </c>
      <c r="BH69" s="25">
        <v>5734.45</v>
      </c>
      <c r="BI69" s="25">
        <v>0</v>
      </c>
      <c r="BJ69" s="25">
        <v>0</v>
      </c>
      <c r="BK69" s="25">
        <v>0</v>
      </c>
      <c r="BL69" s="25">
        <v>15</v>
      </c>
      <c r="BM69" s="25">
        <v>0</v>
      </c>
      <c r="BN69" s="25">
        <v>11564190.27</v>
      </c>
      <c r="BO69" s="25">
        <v>0</v>
      </c>
      <c r="BP69" s="25">
        <v>2105.84</v>
      </c>
      <c r="BQ69" s="25">
        <v>0</v>
      </c>
      <c r="BR69" s="25">
        <v>10466.66</v>
      </c>
      <c r="BS69" s="25">
        <v>0</v>
      </c>
      <c r="BT69" s="25">
        <v>0</v>
      </c>
      <c r="BU69" s="25">
        <v>0</v>
      </c>
      <c r="BV69" s="25">
        <v>63012.03</v>
      </c>
      <c r="BW69" s="25">
        <v>4862.95</v>
      </c>
      <c r="BX69" s="25">
        <v>43133.48</v>
      </c>
      <c r="BY69" s="25">
        <v>65408.82</v>
      </c>
      <c r="BZ69" s="25">
        <v>0</v>
      </c>
      <c r="CA69" s="25">
        <v>0</v>
      </c>
      <c r="CB69" s="25">
        <v>0</v>
      </c>
      <c r="CC69" s="25">
        <v>3462195.32</v>
      </c>
      <c r="CD69" s="25">
        <v>0</v>
      </c>
      <c r="CE69" s="25">
        <v>19633151.869999997</v>
      </c>
    </row>
    <row r="70" spans="1:83" x14ac:dyDescent="0.25">
      <c r="A70" s="26" t="s">
        <v>269</v>
      </c>
      <c r="B70" s="336"/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0</v>
      </c>
      <c r="Q70" s="282">
        <v>0</v>
      </c>
      <c r="R70" s="282">
        <v>0</v>
      </c>
      <c r="S70" s="282">
        <v>0</v>
      </c>
      <c r="T70" s="282">
        <v>0</v>
      </c>
      <c r="U70" s="282">
        <v>0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0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v>0</v>
      </c>
    </row>
    <row r="71" spans="1:83" x14ac:dyDescent="0.25">
      <c r="A71" s="26" t="s">
        <v>270</v>
      </c>
      <c r="B71" s="336"/>
      <c r="C71" s="282">
        <v>-10175.27</v>
      </c>
      <c r="D71" s="282">
        <v>0</v>
      </c>
      <c r="E71" s="282">
        <v>1322248.1499999999</v>
      </c>
      <c r="F71" s="282">
        <v>0</v>
      </c>
      <c r="G71" s="282">
        <v>0</v>
      </c>
      <c r="H71" s="282">
        <v>414703.02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-1522.5</v>
      </c>
      <c r="P71" s="282">
        <v>407134.4</v>
      </c>
      <c r="Q71" s="282">
        <v>0</v>
      </c>
      <c r="R71" s="282">
        <v>0</v>
      </c>
      <c r="S71" s="282">
        <v>0</v>
      </c>
      <c r="T71" s="282">
        <v>0</v>
      </c>
      <c r="U71" s="282">
        <v>241608</v>
      </c>
      <c r="V71" s="282">
        <v>0</v>
      </c>
      <c r="W71" s="282">
        <v>0</v>
      </c>
      <c r="X71" s="282">
        <v>0</v>
      </c>
      <c r="Y71" s="282">
        <v>92478.17</v>
      </c>
      <c r="Z71" s="282">
        <v>0</v>
      </c>
      <c r="AA71" s="282">
        <v>0</v>
      </c>
      <c r="AB71" s="282">
        <v>0</v>
      </c>
      <c r="AC71" s="282">
        <v>0</v>
      </c>
      <c r="AD71" s="282">
        <v>0</v>
      </c>
      <c r="AE71" s="282">
        <v>0</v>
      </c>
      <c r="AF71" s="282">
        <v>0</v>
      </c>
      <c r="AG71" s="282">
        <v>644405.39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63840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0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v>3174719.36</v>
      </c>
    </row>
    <row r="72" spans="1:83" x14ac:dyDescent="0.25">
      <c r="A72" s="26" t="s">
        <v>271</v>
      </c>
      <c r="B72" s="336"/>
      <c r="C72" s="282">
        <v>0</v>
      </c>
      <c r="D72" s="282">
        <v>0</v>
      </c>
      <c r="E72" s="282">
        <v>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0</v>
      </c>
      <c r="Q72" s="282">
        <v>0</v>
      </c>
      <c r="R72" s="282">
        <v>0</v>
      </c>
      <c r="S72" s="282">
        <v>0</v>
      </c>
      <c r="T72" s="282">
        <v>0</v>
      </c>
      <c r="U72" s="282">
        <v>0</v>
      </c>
      <c r="V72" s="282">
        <v>0</v>
      </c>
      <c r="W72" s="282">
        <v>0</v>
      </c>
      <c r="X72" s="282">
        <v>0</v>
      </c>
      <c r="Y72" s="282">
        <v>0</v>
      </c>
      <c r="Z72" s="282">
        <v>0</v>
      </c>
      <c r="AA72" s="282">
        <v>0</v>
      </c>
      <c r="AB72" s="282">
        <v>0</v>
      </c>
      <c r="AC72" s="282">
        <v>0</v>
      </c>
      <c r="AD72" s="282">
        <v>0</v>
      </c>
      <c r="AE72" s="282">
        <v>0</v>
      </c>
      <c r="AF72" s="282">
        <v>0</v>
      </c>
      <c r="AG72" s="282">
        <v>0</v>
      </c>
      <c r="AH72" s="282">
        <v>0</v>
      </c>
      <c r="AI72" s="282">
        <v>0</v>
      </c>
      <c r="AJ72" s="282">
        <v>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0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0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v>0</v>
      </c>
    </row>
    <row r="73" spans="1:83" x14ac:dyDescent="0.25">
      <c r="A73" s="26" t="s">
        <v>272</v>
      </c>
      <c r="B73" s="336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40780.160000000003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526313.1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0</v>
      </c>
      <c r="CD73" s="282">
        <v>0</v>
      </c>
      <c r="CE73" s="25">
        <v>567093.26</v>
      </c>
    </row>
    <row r="74" spans="1:83" x14ac:dyDescent="0.25">
      <c r="A74" s="26" t="s">
        <v>273</v>
      </c>
      <c r="B74" s="336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0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v>0</v>
      </c>
    </row>
    <row r="75" spans="1:83" x14ac:dyDescent="0.25">
      <c r="A75" s="26" t="s">
        <v>274</v>
      </c>
      <c r="B75" s="336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0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v>0</v>
      </c>
    </row>
    <row r="76" spans="1:83" x14ac:dyDescent="0.25">
      <c r="A76" s="26" t="s">
        <v>275</v>
      </c>
      <c r="B76" s="337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v>0</v>
      </c>
    </row>
    <row r="77" spans="1:83" x14ac:dyDescent="0.25">
      <c r="A77" s="26" t="s">
        <v>276</v>
      </c>
      <c r="B77" s="336"/>
      <c r="C77" s="282">
        <v>2127.98</v>
      </c>
      <c r="D77" s="282">
        <v>0</v>
      </c>
      <c r="E77" s="282">
        <v>327.88</v>
      </c>
      <c r="F77" s="282">
        <v>0</v>
      </c>
      <c r="G77" s="282">
        <v>0</v>
      </c>
      <c r="H77" s="282">
        <v>7132.26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650.73</v>
      </c>
      <c r="P77" s="282">
        <v>158232.66</v>
      </c>
      <c r="Q77" s="282">
        <v>260.95999999999998</v>
      </c>
      <c r="R77" s="282">
        <v>0</v>
      </c>
      <c r="S77" s="282">
        <v>6447.8</v>
      </c>
      <c r="T77" s="282">
        <v>0</v>
      </c>
      <c r="U77" s="282">
        <v>518.84</v>
      </c>
      <c r="V77" s="282">
        <v>0</v>
      </c>
      <c r="W77" s="282">
        <v>0</v>
      </c>
      <c r="X77" s="282">
        <v>0</v>
      </c>
      <c r="Y77" s="282">
        <v>5335.2</v>
      </c>
      <c r="Z77" s="282">
        <v>0</v>
      </c>
      <c r="AA77" s="282">
        <v>0</v>
      </c>
      <c r="AB77" s="282">
        <v>1795</v>
      </c>
      <c r="AC77" s="282">
        <v>12742.57</v>
      </c>
      <c r="AD77" s="282">
        <v>0</v>
      </c>
      <c r="AE77" s="282">
        <v>3638.88</v>
      </c>
      <c r="AF77" s="282">
        <v>0</v>
      </c>
      <c r="AG77" s="282">
        <v>3670.83</v>
      </c>
      <c r="AH77" s="282">
        <v>0</v>
      </c>
      <c r="AI77" s="282">
        <v>0</v>
      </c>
      <c r="AJ77" s="282">
        <v>2652.12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38470.449999999997</v>
      </c>
      <c r="AZ77" s="282">
        <v>0</v>
      </c>
      <c r="BA77" s="282">
        <v>0</v>
      </c>
      <c r="BB77" s="282">
        <v>0</v>
      </c>
      <c r="BC77" s="282">
        <v>0</v>
      </c>
      <c r="BD77" s="282">
        <v>0</v>
      </c>
      <c r="BE77" s="282">
        <v>94185.97</v>
      </c>
      <c r="BF77" s="282">
        <v>861.97</v>
      </c>
      <c r="BG77" s="282">
        <v>0</v>
      </c>
      <c r="BH77" s="282">
        <v>2083.85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-19.03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0</v>
      </c>
      <c r="BU77" s="282">
        <v>0</v>
      </c>
      <c r="BV77" s="282">
        <v>0</v>
      </c>
      <c r="BW77" s="282">
        <v>0</v>
      </c>
      <c r="BX77" s="282">
        <v>0</v>
      </c>
      <c r="BY77" s="282">
        <v>3611.59</v>
      </c>
      <c r="BZ77" s="282">
        <v>0</v>
      </c>
      <c r="CA77" s="282">
        <v>0</v>
      </c>
      <c r="CB77" s="282">
        <v>0</v>
      </c>
      <c r="CC77" s="282">
        <v>0</v>
      </c>
      <c r="CD77" s="282">
        <v>0</v>
      </c>
      <c r="CE77" s="25">
        <v>344728.50999999995</v>
      </c>
    </row>
    <row r="78" spans="1:83" x14ac:dyDescent="0.25">
      <c r="A78" s="26" t="s">
        <v>277</v>
      </c>
      <c r="B78" s="16"/>
      <c r="C78" s="282">
        <v>0</v>
      </c>
      <c r="D78" s="282">
        <v>0</v>
      </c>
      <c r="E78" s="282">
        <v>0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0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0</v>
      </c>
      <c r="AC78" s="282">
        <v>0</v>
      </c>
      <c r="AD78" s="282">
        <v>0</v>
      </c>
      <c r="AE78" s="282">
        <v>0</v>
      </c>
      <c r="AF78" s="282">
        <v>0</v>
      </c>
      <c r="AG78" s="282">
        <v>0</v>
      </c>
      <c r="AH78" s="282">
        <v>0</v>
      </c>
      <c r="AI78" s="282">
        <v>0</v>
      </c>
      <c r="AJ78" s="282">
        <v>0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9178809.6799999997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0</v>
      </c>
      <c r="CD78" s="282">
        <v>0</v>
      </c>
      <c r="CE78" s="25">
        <v>9178809.6799999997</v>
      </c>
    </row>
    <row r="79" spans="1:83" x14ac:dyDescent="0.25">
      <c r="A79" s="26" t="s">
        <v>278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0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0</v>
      </c>
      <c r="CD79" s="282">
        <v>0</v>
      </c>
      <c r="CE79" s="25">
        <v>0</v>
      </c>
    </row>
    <row r="80" spans="1:83" x14ac:dyDescent="0.25">
      <c r="A80" s="26" t="s">
        <v>279</v>
      </c>
      <c r="B80" s="16"/>
      <c r="C80" s="282">
        <v>0</v>
      </c>
      <c r="D80" s="282">
        <v>0</v>
      </c>
      <c r="E80" s="282">
        <v>0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0</v>
      </c>
      <c r="Q80" s="282">
        <v>0</v>
      </c>
      <c r="R80" s="282">
        <v>0</v>
      </c>
      <c r="S80" s="282">
        <v>0</v>
      </c>
      <c r="T80" s="282">
        <v>0</v>
      </c>
      <c r="U80" s="282">
        <v>0</v>
      </c>
      <c r="V80" s="282">
        <v>0</v>
      </c>
      <c r="W80" s="282">
        <v>0</v>
      </c>
      <c r="X80" s="282">
        <v>0</v>
      </c>
      <c r="Y80" s="282">
        <v>0</v>
      </c>
      <c r="Z80" s="282">
        <v>0</v>
      </c>
      <c r="AA80" s="282">
        <v>0</v>
      </c>
      <c r="AB80" s="282">
        <v>0</v>
      </c>
      <c r="AC80" s="282">
        <v>0</v>
      </c>
      <c r="AD80" s="282">
        <v>0</v>
      </c>
      <c r="AE80" s="282">
        <v>0</v>
      </c>
      <c r="AF80" s="282">
        <v>0</v>
      </c>
      <c r="AG80" s="282">
        <v>0</v>
      </c>
      <c r="AH80" s="282">
        <v>0</v>
      </c>
      <c r="AI80" s="282">
        <v>0</v>
      </c>
      <c r="AJ80" s="282">
        <v>0</v>
      </c>
      <c r="AK80" s="282">
        <v>0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0</v>
      </c>
      <c r="AW80" s="282">
        <v>0</v>
      </c>
      <c r="AX80" s="282">
        <v>0</v>
      </c>
      <c r="AY80" s="282">
        <v>0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0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0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0</v>
      </c>
      <c r="BZ80" s="282">
        <v>0</v>
      </c>
      <c r="CA80" s="282">
        <v>0</v>
      </c>
      <c r="CB80" s="282">
        <v>0</v>
      </c>
      <c r="CC80" s="282">
        <v>0</v>
      </c>
      <c r="CD80" s="282">
        <v>0</v>
      </c>
      <c r="CE80" s="25">
        <v>0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9353.4500000000007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1023</v>
      </c>
      <c r="Q81" s="282">
        <v>0</v>
      </c>
      <c r="R81" s="282">
        <v>0</v>
      </c>
      <c r="S81" s="282">
        <v>0</v>
      </c>
      <c r="T81" s="282">
        <v>0</v>
      </c>
      <c r="U81" s="282">
        <v>3369.61</v>
      </c>
      <c r="V81" s="282">
        <v>0</v>
      </c>
      <c r="W81" s="282">
        <v>45</v>
      </c>
      <c r="X81" s="282">
        <v>0</v>
      </c>
      <c r="Y81" s="282">
        <v>4958</v>
      </c>
      <c r="Z81" s="282">
        <v>0</v>
      </c>
      <c r="AA81" s="282">
        <v>0</v>
      </c>
      <c r="AB81" s="282">
        <v>4776.4799999999996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12254.33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77.77</v>
      </c>
      <c r="BE81" s="282">
        <v>8282.1200000000008</v>
      </c>
      <c r="BF81" s="282">
        <v>7.86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1833281.15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648806.96</v>
      </c>
      <c r="CD81" s="282">
        <v>0</v>
      </c>
      <c r="CE81" s="25">
        <v>2526235.73</v>
      </c>
    </row>
    <row r="82" spans="1:84" x14ac:dyDescent="0.25">
      <c r="A82" s="26" t="s">
        <v>281</v>
      </c>
      <c r="B82" s="16"/>
      <c r="C82" s="282">
        <v>0</v>
      </c>
      <c r="D82" s="282">
        <v>0</v>
      </c>
      <c r="E82" s="282">
        <v>0</v>
      </c>
      <c r="F82" s="282">
        <v>0</v>
      </c>
      <c r="G82" s="282">
        <v>0</v>
      </c>
      <c r="H82" s="282">
        <v>581.78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15880.49</v>
      </c>
      <c r="Q82" s="282">
        <v>0</v>
      </c>
      <c r="R82" s="282">
        <v>0</v>
      </c>
      <c r="S82" s="282">
        <v>0</v>
      </c>
      <c r="T82" s="282">
        <v>0</v>
      </c>
      <c r="U82" s="282">
        <v>0</v>
      </c>
      <c r="V82" s="282">
        <v>0</v>
      </c>
      <c r="W82" s="282">
        <v>0</v>
      </c>
      <c r="X82" s="282">
        <v>0</v>
      </c>
      <c r="Y82" s="282">
        <v>205.1</v>
      </c>
      <c r="Z82" s="282">
        <v>0</v>
      </c>
      <c r="AA82" s="282">
        <v>0</v>
      </c>
      <c r="AB82" s="282">
        <v>0</v>
      </c>
      <c r="AC82" s="282">
        <v>0</v>
      </c>
      <c r="AD82" s="282">
        <v>0</v>
      </c>
      <c r="AE82" s="282">
        <v>0</v>
      </c>
      <c r="AF82" s="282">
        <v>0</v>
      </c>
      <c r="AG82" s="282">
        <v>0</v>
      </c>
      <c r="AH82" s="282">
        <v>0</v>
      </c>
      <c r="AI82" s="282">
        <v>0</v>
      </c>
      <c r="AJ82" s="282">
        <v>86759.72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0</v>
      </c>
      <c r="BC82" s="282">
        <v>0</v>
      </c>
      <c r="BD82" s="282">
        <v>0</v>
      </c>
      <c r="BE82" s="282">
        <v>550530.64</v>
      </c>
      <c r="BF82" s="282">
        <v>0</v>
      </c>
      <c r="BG82" s="282">
        <v>0</v>
      </c>
      <c r="BH82" s="282">
        <v>3259.1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0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0</v>
      </c>
      <c r="BU82" s="282">
        <v>0</v>
      </c>
      <c r="BV82" s="282">
        <v>0</v>
      </c>
      <c r="BW82" s="282">
        <v>0</v>
      </c>
      <c r="BX82" s="282">
        <v>0</v>
      </c>
      <c r="BY82" s="282">
        <v>254.65</v>
      </c>
      <c r="BZ82" s="282">
        <v>0</v>
      </c>
      <c r="CA82" s="282">
        <v>0</v>
      </c>
      <c r="CB82" s="282">
        <v>0</v>
      </c>
      <c r="CC82" s="282">
        <v>0</v>
      </c>
      <c r="CD82" s="282">
        <v>0</v>
      </c>
      <c r="CE82" s="25">
        <v>657471.48</v>
      </c>
    </row>
    <row r="83" spans="1:84" x14ac:dyDescent="0.25">
      <c r="A83" s="26" t="s">
        <v>282</v>
      </c>
      <c r="B83" s="16"/>
      <c r="C83" s="273">
        <v>1575.15</v>
      </c>
      <c r="D83" s="273">
        <v>0</v>
      </c>
      <c r="E83" s="331">
        <v>57.66</v>
      </c>
      <c r="F83" s="331">
        <v>0</v>
      </c>
      <c r="G83" s="273">
        <v>0</v>
      </c>
      <c r="H83" s="273">
        <v>1124.8699999999999</v>
      </c>
      <c r="I83" s="331">
        <v>0</v>
      </c>
      <c r="J83" s="331">
        <v>0</v>
      </c>
      <c r="K83" s="331">
        <v>0</v>
      </c>
      <c r="L83" s="331">
        <v>0</v>
      </c>
      <c r="M83" s="273">
        <v>0</v>
      </c>
      <c r="N83" s="273">
        <v>0</v>
      </c>
      <c r="O83" s="273">
        <v>-2749.01</v>
      </c>
      <c r="P83" s="331">
        <v>60148.83</v>
      </c>
      <c r="Q83" s="331">
        <v>0</v>
      </c>
      <c r="R83" s="333">
        <v>0</v>
      </c>
      <c r="S83" s="331">
        <v>21.86</v>
      </c>
      <c r="T83" s="273">
        <v>0</v>
      </c>
      <c r="U83" s="331">
        <v>10669.71</v>
      </c>
      <c r="V83" s="331">
        <v>502.51</v>
      </c>
      <c r="W83" s="273">
        <v>328.75</v>
      </c>
      <c r="X83" s="331">
        <v>377.5</v>
      </c>
      <c r="Y83" s="331">
        <v>1214.79</v>
      </c>
      <c r="Z83" s="331">
        <v>0</v>
      </c>
      <c r="AA83" s="331">
        <v>0</v>
      </c>
      <c r="AB83" s="331">
        <v>27401.5</v>
      </c>
      <c r="AC83" s="331">
        <v>52.79</v>
      </c>
      <c r="AD83" s="331">
        <v>0</v>
      </c>
      <c r="AE83" s="331">
        <v>532.55999999999995</v>
      </c>
      <c r="AF83" s="331">
        <v>0</v>
      </c>
      <c r="AG83" s="331">
        <v>9845.74</v>
      </c>
      <c r="AH83" s="331">
        <v>0</v>
      </c>
      <c r="AI83" s="331">
        <v>0</v>
      </c>
      <c r="AJ83" s="331">
        <v>76571.839999999997</v>
      </c>
      <c r="AK83" s="331">
        <v>0</v>
      </c>
      <c r="AL83" s="331">
        <v>0</v>
      </c>
      <c r="AM83" s="331">
        <v>0</v>
      </c>
      <c r="AN83" s="331">
        <v>0</v>
      </c>
      <c r="AO83" s="273">
        <v>0</v>
      </c>
      <c r="AP83" s="331">
        <v>0</v>
      </c>
      <c r="AQ83" s="273">
        <v>0</v>
      </c>
      <c r="AR83" s="273">
        <v>0</v>
      </c>
      <c r="AS83" s="273">
        <v>0</v>
      </c>
      <c r="AT83" s="273">
        <v>0</v>
      </c>
      <c r="AU83" s="331">
        <v>0</v>
      </c>
      <c r="AV83" s="331">
        <v>0</v>
      </c>
      <c r="AW83" s="331">
        <v>0</v>
      </c>
      <c r="AX83" s="331">
        <v>0</v>
      </c>
      <c r="AY83" s="331">
        <v>10.56</v>
      </c>
      <c r="AZ83" s="331">
        <v>0</v>
      </c>
      <c r="BA83" s="331">
        <v>0</v>
      </c>
      <c r="BB83" s="331">
        <v>0</v>
      </c>
      <c r="BC83" s="331">
        <v>0</v>
      </c>
      <c r="BD83" s="331">
        <v>-28586.57</v>
      </c>
      <c r="BE83" s="331">
        <v>269.04000000000002</v>
      </c>
      <c r="BF83" s="331">
        <v>0</v>
      </c>
      <c r="BG83" s="331">
        <v>0</v>
      </c>
      <c r="BH83" s="331">
        <v>391.5</v>
      </c>
      <c r="BI83" s="331">
        <v>0</v>
      </c>
      <c r="BJ83" s="331">
        <v>0</v>
      </c>
      <c r="BK83" s="331">
        <v>0</v>
      </c>
      <c r="BL83" s="331">
        <v>15</v>
      </c>
      <c r="BM83" s="331">
        <v>0</v>
      </c>
      <c r="BN83" s="331">
        <v>25805.37</v>
      </c>
      <c r="BO83" s="331">
        <v>0</v>
      </c>
      <c r="BP83" s="331">
        <v>2105.84</v>
      </c>
      <c r="BQ83" s="331">
        <v>0</v>
      </c>
      <c r="BR83" s="331">
        <v>10466.66</v>
      </c>
      <c r="BS83" s="331">
        <v>0</v>
      </c>
      <c r="BT83" s="331">
        <v>0</v>
      </c>
      <c r="BU83" s="331">
        <v>0</v>
      </c>
      <c r="BV83" s="331">
        <v>63012.03</v>
      </c>
      <c r="BW83" s="331">
        <v>4862.95</v>
      </c>
      <c r="BX83" s="331">
        <v>43133.48</v>
      </c>
      <c r="BY83" s="331">
        <v>61542.58</v>
      </c>
      <c r="BZ83" s="331">
        <v>0</v>
      </c>
      <c r="CA83" s="331">
        <v>0</v>
      </c>
      <c r="CB83" s="331">
        <v>0</v>
      </c>
      <c r="CC83" s="331">
        <v>2813388.36</v>
      </c>
      <c r="CD83" s="282">
        <v>0</v>
      </c>
      <c r="CE83" s="25">
        <v>3184093.8499999996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0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0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0</v>
      </c>
      <c r="AZ84" s="273">
        <v>0</v>
      </c>
      <c r="BA84" s="273">
        <v>0</v>
      </c>
      <c r="BB84" s="273">
        <v>0</v>
      </c>
      <c r="BC84" s="273">
        <v>0</v>
      </c>
      <c r="BD84" s="273">
        <v>0</v>
      </c>
      <c r="BE84" s="273">
        <v>0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0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0</v>
      </c>
      <c r="CD84" s="282">
        <v>0</v>
      </c>
      <c r="CE84" s="25">
        <v>0</v>
      </c>
    </row>
    <row r="85" spans="1:84" x14ac:dyDescent="0.25">
      <c r="A85" s="31" t="s">
        <v>284</v>
      </c>
      <c r="B85" s="25"/>
      <c r="C85" s="25">
        <v>476950.54</v>
      </c>
      <c r="D85" s="25">
        <v>0</v>
      </c>
      <c r="E85" s="25">
        <v>4248586.66</v>
      </c>
      <c r="F85" s="25">
        <v>0</v>
      </c>
      <c r="G85" s="25">
        <v>0</v>
      </c>
      <c r="H85" s="25">
        <v>3938699.3299999996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120877.92000000001</v>
      </c>
      <c r="P85" s="25">
        <v>7701121.0199999996</v>
      </c>
      <c r="Q85" s="25">
        <v>689841.49999999988</v>
      </c>
      <c r="R85" s="25">
        <v>1221112.68</v>
      </c>
      <c r="S85" s="25">
        <v>46412.259999999995</v>
      </c>
      <c r="T85" s="25">
        <v>54.35</v>
      </c>
      <c r="U85" s="25">
        <v>2674856.27</v>
      </c>
      <c r="V85" s="25">
        <v>88010.51</v>
      </c>
      <c r="W85" s="25">
        <v>546617.09</v>
      </c>
      <c r="X85" s="25">
        <v>168202.69</v>
      </c>
      <c r="Y85" s="25">
        <v>1563317.5000000002</v>
      </c>
      <c r="Z85" s="25">
        <v>0</v>
      </c>
      <c r="AA85" s="25">
        <v>0</v>
      </c>
      <c r="AB85" s="25">
        <v>1911743.94</v>
      </c>
      <c r="AC85" s="25">
        <v>815310.99</v>
      </c>
      <c r="AD85" s="25">
        <v>0</v>
      </c>
      <c r="AE85" s="25">
        <v>352441.52</v>
      </c>
      <c r="AF85" s="25">
        <v>0</v>
      </c>
      <c r="AG85" s="25">
        <v>5059483.5699999994</v>
      </c>
      <c r="AH85" s="25">
        <v>0</v>
      </c>
      <c r="AI85" s="25">
        <v>0</v>
      </c>
      <c r="AJ85" s="25">
        <v>10146130.09</v>
      </c>
      <c r="AK85" s="25">
        <v>482.71</v>
      </c>
      <c r="AL85" s="25">
        <v>35969.599999999999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815083.53</v>
      </c>
      <c r="AZ85" s="25">
        <v>0</v>
      </c>
      <c r="BA85" s="25">
        <v>0</v>
      </c>
      <c r="BB85" s="25">
        <v>0</v>
      </c>
      <c r="BC85" s="25">
        <v>0</v>
      </c>
      <c r="BD85" s="25">
        <v>155943.53000000003</v>
      </c>
      <c r="BE85" s="25">
        <v>1061764.29</v>
      </c>
      <c r="BF85" s="25">
        <v>753450.2</v>
      </c>
      <c r="BG85" s="25">
        <v>39485.910000000003</v>
      </c>
      <c r="BH85" s="25">
        <v>581343.12</v>
      </c>
      <c r="BI85" s="25">
        <v>0</v>
      </c>
      <c r="BJ85" s="25">
        <v>147691.84</v>
      </c>
      <c r="BK85" s="25">
        <v>0</v>
      </c>
      <c r="BL85" s="25">
        <v>730038.21</v>
      </c>
      <c r="BM85" s="25">
        <v>0</v>
      </c>
      <c r="BN85" s="25">
        <v>11712126.59</v>
      </c>
      <c r="BO85" s="25">
        <v>290.77999999999997</v>
      </c>
      <c r="BP85" s="25">
        <v>2105.84</v>
      </c>
      <c r="BQ85" s="25">
        <v>0</v>
      </c>
      <c r="BR85" s="25">
        <v>41137.58</v>
      </c>
      <c r="BS85" s="25">
        <v>0</v>
      </c>
      <c r="BT85" s="25">
        <v>0</v>
      </c>
      <c r="BU85" s="25">
        <v>0</v>
      </c>
      <c r="BV85" s="25">
        <v>365805.9</v>
      </c>
      <c r="BW85" s="25">
        <v>344543.95</v>
      </c>
      <c r="BX85" s="25">
        <v>423282.99</v>
      </c>
      <c r="BY85" s="25">
        <v>1210717.9400000002</v>
      </c>
      <c r="BZ85" s="25">
        <v>0</v>
      </c>
      <c r="CA85" s="25">
        <v>0</v>
      </c>
      <c r="CB85" s="25">
        <v>0</v>
      </c>
      <c r="CC85" s="25">
        <v>3775569.9099999997</v>
      </c>
      <c r="CD85" s="25">
        <v>0</v>
      </c>
      <c r="CE85" s="25">
        <v>63966604.850000009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0</v>
      </c>
    </row>
    <row r="87" spans="1:84" x14ac:dyDescent="0.25">
      <c r="A87" s="21" t="s">
        <v>286</v>
      </c>
      <c r="B87" s="16"/>
      <c r="C87" s="273">
        <v>-1060497</v>
      </c>
      <c r="D87" s="273">
        <v>0</v>
      </c>
      <c r="E87" s="273">
        <v>-4670713</v>
      </c>
      <c r="F87" s="273">
        <v>0</v>
      </c>
      <c r="G87" s="273">
        <v>0</v>
      </c>
      <c r="H87" s="273">
        <v>-11116570</v>
      </c>
      <c r="I87" s="273">
        <v>0</v>
      </c>
      <c r="J87" s="273">
        <v>0</v>
      </c>
      <c r="K87" s="273">
        <v>0</v>
      </c>
      <c r="L87" s="273">
        <v>0</v>
      </c>
      <c r="M87" s="273">
        <v>0</v>
      </c>
      <c r="N87" s="273">
        <v>0</v>
      </c>
      <c r="O87" s="273">
        <v>1608</v>
      </c>
      <c r="P87" s="273">
        <v>-1990055.51</v>
      </c>
      <c r="Q87" s="273">
        <v>-13728.52</v>
      </c>
      <c r="R87" s="273">
        <v>-104315.65</v>
      </c>
      <c r="S87" s="273">
        <v>-41550</v>
      </c>
      <c r="T87" s="273">
        <v>0</v>
      </c>
      <c r="U87" s="273">
        <v>-5863825.0999999996</v>
      </c>
      <c r="V87" s="273">
        <v>-590510.67000000004</v>
      </c>
      <c r="W87" s="273">
        <v>-118630.13</v>
      </c>
      <c r="X87" s="273">
        <v>-3391923.96</v>
      </c>
      <c r="Y87" s="273">
        <v>-1030104.09</v>
      </c>
      <c r="Z87" s="273">
        <v>0</v>
      </c>
      <c r="AA87" s="273">
        <v>0</v>
      </c>
      <c r="AB87" s="273">
        <v>-6988160.9699999997</v>
      </c>
      <c r="AC87" s="273">
        <v>-1981244.16</v>
      </c>
      <c r="AD87" s="273">
        <v>0</v>
      </c>
      <c r="AE87" s="273">
        <v>-247254</v>
      </c>
      <c r="AF87" s="273">
        <v>0</v>
      </c>
      <c r="AG87" s="273">
        <v>-2659497</v>
      </c>
      <c r="AH87" s="273">
        <v>0</v>
      </c>
      <c r="AI87" s="273">
        <v>0</v>
      </c>
      <c r="AJ87" s="273">
        <v>0</v>
      </c>
      <c r="AK87" s="273">
        <v>-79008</v>
      </c>
      <c r="AL87" s="273">
        <v>-42725</v>
      </c>
      <c r="AM87" s="273">
        <v>0</v>
      </c>
      <c r="AN87" s="273">
        <v>0</v>
      </c>
      <c r="AO87" s="273">
        <v>-1999261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-57729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-44045694.759999998</v>
      </c>
    </row>
    <row r="88" spans="1:84" x14ac:dyDescent="0.25">
      <c r="A88" s="21" t="s">
        <v>287</v>
      </c>
      <c r="B88" s="16"/>
      <c r="C88" s="273">
        <v>281.83</v>
      </c>
      <c r="D88" s="273">
        <v>0</v>
      </c>
      <c r="E88" s="273">
        <v>-1725486.5</v>
      </c>
      <c r="F88" s="273">
        <v>0</v>
      </c>
      <c r="G88" s="273">
        <v>0</v>
      </c>
      <c r="H88" s="273">
        <v>0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909</v>
      </c>
      <c r="P88" s="273">
        <v>-64611835.509999998</v>
      </c>
      <c r="Q88" s="273">
        <v>-1383008.3</v>
      </c>
      <c r="R88" s="273">
        <v>-467467.33</v>
      </c>
      <c r="S88" s="273">
        <v>-388312.16</v>
      </c>
      <c r="T88" s="273">
        <v>-213654.05</v>
      </c>
      <c r="U88" s="273">
        <v>-15456814.33</v>
      </c>
      <c r="V88" s="273">
        <v>-1770385</v>
      </c>
      <c r="W88" s="273">
        <v>-1835216.2</v>
      </c>
      <c r="X88" s="273">
        <v>-21467268.84</v>
      </c>
      <c r="Y88" s="273">
        <v>-12729752.23</v>
      </c>
      <c r="Z88" s="273">
        <v>0</v>
      </c>
      <c r="AA88" s="273">
        <v>0</v>
      </c>
      <c r="AB88" s="273">
        <v>-5040681.7300000004</v>
      </c>
      <c r="AC88" s="273">
        <v>-775676.34</v>
      </c>
      <c r="AD88" s="273">
        <v>0</v>
      </c>
      <c r="AE88" s="273">
        <v>-1864698</v>
      </c>
      <c r="AF88" s="273">
        <v>0</v>
      </c>
      <c r="AG88" s="273">
        <v>-25336633.579999998</v>
      </c>
      <c r="AH88" s="273">
        <v>0</v>
      </c>
      <c r="AI88" s="273">
        <v>0</v>
      </c>
      <c r="AJ88" s="273">
        <v>-14269489.289999999</v>
      </c>
      <c r="AK88" s="273">
        <v>-8435</v>
      </c>
      <c r="AL88" s="273">
        <v>-163566</v>
      </c>
      <c r="AM88" s="273">
        <v>0</v>
      </c>
      <c r="AN88" s="273">
        <v>0</v>
      </c>
      <c r="AO88" s="273">
        <v>-145977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-319194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-169972360.56</v>
      </c>
    </row>
    <row r="89" spans="1:84" x14ac:dyDescent="0.25">
      <c r="A89" s="21" t="s">
        <v>288</v>
      </c>
      <c r="B89" s="16"/>
      <c r="C89" s="25">
        <v>-1060215.17</v>
      </c>
      <c r="D89" s="25">
        <v>0</v>
      </c>
      <c r="E89" s="25">
        <v>-6396199.5</v>
      </c>
      <c r="F89" s="25">
        <v>0</v>
      </c>
      <c r="G89" s="25">
        <v>0</v>
      </c>
      <c r="H89" s="25">
        <v>-11116570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2517</v>
      </c>
      <c r="P89" s="25">
        <v>-66601891.019999996</v>
      </c>
      <c r="Q89" s="25">
        <v>-1396736.82</v>
      </c>
      <c r="R89" s="25">
        <v>-571782.98</v>
      </c>
      <c r="S89" s="25">
        <v>-429862.16</v>
      </c>
      <c r="T89" s="25">
        <v>-213654.05</v>
      </c>
      <c r="U89" s="25">
        <v>-21320639.43</v>
      </c>
      <c r="V89" s="25">
        <v>-2360895.67</v>
      </c>
      <c r="W89" s="25">
        <v>-1953846.33</v>
      </c>
      <c r="X89" s="25">
        <v>-24859192.800000001</v>
      </c>
      <c r="Y89" s="25">
        <v>-13759856.32</v>
      </c>
      <c r="Z89" s="25">
        <v>0</v>
      </c>
      <c r="AA89" s="25">
        <v>0</v>
      </c>
      <c r="AB89" s="25">
        <v>-12028842.699999999</v>
      </c>
      <c r="AC89" s="25">
        <v>-2756920.5</v>
      </c>
      <c r="AD89" s="25">
        <v>0</v>
      </c>
      <c r="AE89" s="25">
        <v>-2111952</v>
      </c>
      <c r="AF89" s="25">
        <v>0</v>
      </c>
      <c r="AG89" s="25">
        <v>-27996130.579999998</v>
      </c>
      <c r="AH89" s="25">
        <v>0</v>
      </c>
      <c r="AI89" s="25">
        <v>0</v>
      </c>
      <c r="AJ89" s="25">
        <v>-14269489.289999999</v>
      </c>
      <c r="AK89" s="25">
        <v>-87443</v>
      </c>
      <c r="AL89" s="25">
        <v>-206291</v>
      </c>
      <c r="AM89" s="25">
        <v>0</v>
      </c>
      <c r="AN89" s="25">
        <v>0</v>
      </c>
      <c r="AO89" s="25">
        <v>-2145238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-376923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-214018055.31999996</v>
      </c>
    </row>
    <row r="90" spans="1:84" x14ac:dyDescent="0.25">
      <c r="A90" s="21" t="s">
        <v>289</v>
      </c>
      <c r="B90" s="25"/>
      <c r="C90" s="273">
        <v>2395</v>
      </c>
      <c r="D90" s="273">
        <v>0</v>
      </c>
      <c r="E90" s="273">
        <v>2829</v>
      </c>
      <c r="F90" s="273">
        <v>0</v>
      </c>
      <c r="G90" s="273">
        <v>0</v>
      </c>
      <c r="H90" s="273">
        <v>4503</v>
      </c>
      <c r="I90" s="273">
        <v>0</v>
      </c>
      <c r="J90" s="273">
        <v>0</v>
      </c>
      <c r="K90" s="273">
        <v>0</v>
      </c>
      <c r="L90" s="273">
        <v>0</v>
      </c>
      <c r="M90" s="273">
        <v>0</v>
      </c>
      <c r="N90" s="273">
        <v>0</v>
      </c>
      <c r="O90" s="273">
        <v>7001</v>
      </c>
      <c r="P90" s="273">
        <v>12580</v>
      </c>
      <c r="Q90" s="273">
        <v>0</v>
      </c>
      <c r="R90" s="273">
        <v>0</v>
      </c>
      <c r="S90" s="273">
        <v>0</v>
      </c>
      <c r="T90" s="273">
        <v>0</v>
      </c>
      <c r="U90" s="273">
        <v>2821</v>
      </c>
      <c r="V90" s="273">
        <v>0</v>
      </c>
      <c r="W90" s="273">
        <v>0</v>
      </c>
      <c r="X90" s="273">
        <v>0</v>
      </c>
      <c r="Y90" s="273">
        <v>3372</v>
      </c>
      <c r="Z90" s="273">
        <v>0</v>
      </c>
      <c r="AA90" s="273">
        <v>0</v>
      </c>
      <c r="AB90" s="273">
        <v>1361</v>
      </c>
      <c r="AC90" s="273">
        <v>1097</v>
      </c>
      <c r="AD90" s="273">
        <v>0</v>
      </c>
      <c r="AE90" s="273">
        <v>1211</v>
      </c>
      <c r="AF90" s="273">
        <v>0</v>
      </c>
      <c r="AG90" s="273">
        <v>4631</v>
      </c>
      <c r="AH90" s="273">
        <v>0</v>
      </c>
      <c r="AI90" s="273">
        <v>0</v>
      </c>
      <c r="AJ90" s="273">
        <v>0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0</v>
      </c>
      <c r="AW90" s="273">
        <v>0</v>
      </c>
      <c r="AX90" s="273">
        <v>0</v>
      </c>
      <c r="AY90" s="273">
        <v>2242</v>
      </c>
      <c r="AZ90" s="273">
        <v>0</v>
      </c>
      <c r="BA90" s="273">
        <v>0</v>
      </c>
      <c r="BB90" s="273">
        <v>0</v>
      </c>
      <c r="BC90" s="273">
        <v>0</v>
      </c>
      <c r="BD90" s="273">
        <v>3277</v>
      </c>
      <c r="BE90" s="273">
        <v>1293</v>
      </c>
      <c r="BF90" s="273">
        <v>476</v>
      </c>
      <c r="BG90" s="273">
        <v>124</v>
      </c>
      <c r="BH90" s="273">
        <v>0</v>
      </c>
      <c r="BI90" s="273">
        <v>0</v>
      </c>
      <c r="BJ90" s="273">
        <v>0</v>
      </c>
      <c r="BK90" s="273">
        <v>0</v>
      </c>
      <c r="BL90" s="273">
        <v>0</v>
      </c>
      <c r="BM90" s="273">
        <v>0</v>
      </c>
      <c r="BN90" s="273">
        <v>5177</v>
      </c>
      <c r="BO90" s="273">
        <v>0</v>
      </c>
      <c r="BP90" s="273">
        <v>0</v>
      </c>
      <c r="BQ90" s="273">
        <v>0</v>
      </c>
      <c r="BR90" s="273">
        <v>0</v>
      </c>
      <c r="BS90" s="273">
        <v>0</v>
      </c>
      <c r="BT90" s="273">
        <v>0</v>
      </c>
      <c r="BU90" s="273">
        <v>0</v>
      </c>
      <c r="BV90" s="273">
        <v>0</v>
      </c>
      <c r="BW90" s="273">
        <v>0</v>
      </c>
      <c r="BX90" s="273">
        <v>414</v>
      </c>
      <c r="BY90" s="273">
        <v>523</v>
      </c>
      <c r="BZ90" s="273">
        <v>0</v>
      </c>
      <c r="CA90" s="273">
        <v>0</v>
      </c>
      <c r="CB90" s="273">
        <v>0</v>
      </c>
      <c r="CC90" s="273">
        <v>12756</v>
      </c>
      <c r="CD90" s="224" t="s">
        <v>247</v>
      </c>
      <c r="CE90" s="25">
        <v>70083</v>
      </c>
      <c r="CF90" s="25">
        <v>0</v>
      </c>
    </row>
    <row r="91" spans="1:84" x14ac:dyDescent="0.25">
      <c r="A91" s="21" t="s">
        <v>290</v>
      </c>
      <c r="B91" s="16"/>
      <c r="C91" s="273">
        <v>5145</v>
      </c>
      <c r="D91" s="273">
        <v>0</v>
      </c>
      <c r="E91" s="273">
        <v>0</v>
      </c>
      <c r="F91" s="273">
        <v>0</v>
      </c>
      <c r="G91" s="273">
        <v>0</v>
      </c>
      <c r="H91" s="273">
        <v>16822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4025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321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26313</v>
      </c>
      <c r="CF91" s="25">
        <v>0</v>
      </c>
    </row>
    <row r="92" spans="1:84" x14ac:dyDescent="0.25">
      <c r="A92" s="21" t="s">
        <v>291</v>
      </c>
      <c r="B92" s="16"/>
      <c r="C92" s="273">
        <v>0</v>
      </c>
      <c r="D92" s="273">
        <v>0</v>
      </c>
      <c r="E92" s="273">
        <v>0</v>
      </c>
      <c r="F92" s="273">
        <v>0</v>
      </c>
      <c r="G92" s="273">
        <v>0</v>
      </c>
      <c r="H92" s="273">
        <v>0</v>
      </c>
      <c r="I92" s="273">
        <v>0</v>
      </c>
      <c r="J92" s="273">
        <v>0</v>
      </c>
      <c r="K92" s="273">
        <v>0</v>
      </c>
      <c r="L92" s="273">
        <v>0</v>
      </c>
      <c r="M92" s="273">
        <v>0</v>
      </c>
      <c r="N92" s="273">
        <v>0</v>
      </c>
      <c r="O92" s="273">
        <v>0</v>
      </c>
      <c r="P92" s="273">
        <v>0</v>
      </c>
      <c r="Q92" s="273">
        <v>0</v>
      </c>
      <c r="R92" s="273">
        <v>0</v>
      </c>
      <c r="S92" s="273">
        <v>0</v>
      </c>
      <c r="T92" s="273">
        <v>0</v>
      </c>
      <c r="U92" s="273">
        <v>0</v>
      </c>
      <c r="V92" s="273">
        <v>0</v>
      </c>
      <c r="W92" s="273">
        <v>0</v>
      </c>
      <c r="X92" s="273">
        <v>0</v>
      </c>
      <c r="Y92" s="273">
        <v>0</v>
      </c>
      <c r="Z92" s="273">
        <v>0</v>
      </c>
      <c r="AA92" s="273">
        <v>0</v>
      </c>
      <c r="AB92" s="273">
        <v>0</v>
      </c>
      <c r="AC92" s="273">
        <v>0</v>
      </c>
      <c r="AD92" s="273">
        <v>0</v>
      </c>
      <c r="AE92" s="273">
        <v>0</v>
      </c>
      <c r="AF92" s="273">
        <v>0</v>
      </c>
      <c r="AG92" s="273">
        <v>0</v>
      </c>
      <c r="AH92" s="273">
        <v>0</v>
      </c>
      <c r="AI92" s="273">
        <v>0</v>
      </c>
      <c r="AJ92" s="273">
        <v>0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0</v>
      </c>
      <c r="BB92" s="273">
        <v>0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0</v>
      </c>
      <c r="BI92" s="273">
        <v>0</v>
      </c>
      <c r="BJ92" s="24" t="s">
        <v>247</v>
      </c>
      <c r="BK92" s="273">
        <v>0</v>
      </c>
      <c r="BL92" s="273">
        <v>0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0</v>
      </c>
      <c r="BT92" s="273">
        <v>0</v>
      </c>
      <c r="BU92" s="273">
        <v>0</v>
      </c>
      <c r="BV92" s="273">
        <v>0</v>
      </c>
      <c r="BW92" s="273">
        <v>0</v>
      </c>
      <c r="BX92" s="273">
        <v>0</v>
      </c>
      <c r="BY92" s="273">
        <v>0</v>
      </c>
      <c r="BZ92" s="273">
        <v>0</v>
      </c>
      <c r="CA92" s="273">
        <v>0</v>
      </c>
      <c r="CB92" s="273">
        <v>0</v>
      </c>
      <c r="CC92" s="24" t="s">
        <v>247</v>
      </c>
      <c r="CD92" s="24" t="s">
        <v>247</v>
      </c>
      <c r="CE92" s="25">
        <v>0</v>
      </c>
      <c r="CF92" s="16"/>
    </row>
    <row r="93" spans="1:84" x14ac:dyDescent="0.25">
      <c r="A93" s="21" t="s">
        <v>292</v>
      </c>
      <c r="B93" s="16"/>
      <c r="C93" s="273">
        <v>77276</v>
      </c>
      <c r="D93" s="273">
        <v>0</v>
      </c>
      <c r="E93" s="273">
        <v>0</v>
      </c>
      <c r="F93" s="273">
        <v>0</v>
      </c>
      <c r="G93" s="273">
        <v>0</v>
      </c>
      <c r="H93" s="273">
        <v>28817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0</v>
      </c>
      <c r="P93" s="273">
        <v>76086</v>
      </c>
      <c r="Q93" s="273">
        <v>0</v>
      </c>
      <c r="R93" s="273">
        <v>0</v>
      </c>
      <c r="S93" s="273">
        <v>0</v>
      </c>
      <c r="T93" s="273">
        <v>0</v>
      </c>
      <c r="U93" s="273">
        <v>0</v>
      </c>
      <c r="V93" s="273">
        <v>0</v>
      </c>
      <c r="W93" s="273">
        <v>0</v>
      </c>
      <c r="X93" s="273">
        <v>0</v>
      </c>
      <c r="Y93" s="273">
        <v>22520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0</v>
      </c>
      <c r="AF93" s="273">
        <v>0</v>
      </c>
      <c r="AG93" s="273">
        <v>98545</v>
      </c>
      <c r="AH93" s="273">
        <v>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303244</v>
      </c>
      <c r="CF93" s="25">
        <v>0</v>
      </c>
    </row>
    <row r="94" spans="1:84" x14ac:dyDescent="0.25">
      <c r="A94" s="21" t="s">
        <v>293</v>
      </c>
      <c r="B94" s="16"/>
      <c r="C94" s="277">
        <v>1</v>
      </c>
      <c r="D94" s="277">
        <v>0</v>
      </c>
      <c r="E94" s="277">
        <v>6.45</v>
      </c>
      <c r="F94" s="277">
        <v>0</v>
      </c>
      <c r="G94" s="277">
        <v>0</v>
      </c>
      <c r="H94" s="277">
        <v>7.69</v>
      </c>
      <c r="I94" s="277">
        <v>0</v>
      </c>
      <c r="J94" s="277">
        <v>0</v>
      </c>
      <c r="K94" s="277">
        <v>0</v>
      </c>
      <c r="L94" s="277">
        <v>0</v>
      </c>
      <c r="M94" s="277">
        <v>0</v>
      </c>
      <c r="N94" s="277">
        <v>0</v>
      </c>
      <c r="O94" s="277">
        <v>1</v>
      </c>
      <c r="P94" s="334">
        <v>12.86</v>
      </c>
      <c r="Q94" s="334">
        <v>4.18</v>
      </c>
      <c r="R94" s="334">
        <v>0</v>
      </c>
      <c r="S94" s="278">
        <v>0</v>
      </c>
      <c r="T94" s="278">
        <v>0</v>
      </c>
      <c r="U94" s="335">
        <v>0</v>
      </c>
      <c r="V94" s="334">
        <v>0</v>
      </c>
      <c r="W94" s="334">
        <v>0</v>
      </c>
      <c r="X94" s="334">
        <v>0</v>
      </c>
      <c r="Y94" s="334">
        <v>0</v>
      </c>
      <c r="Z94" s="334">
        <v>0</v>
      </c>
      <c r="AA94" s="334">
        <v>0</v>
      </c>
      <c r="AB94" s="278">
        <v>0</v>
      </c>
      <c r="AC94" s="334">
        <v>0</v>
      </c>
      <c r="AD94" s="334">
        <v>0</v>
      </c>
      <c r="AE94" s="334">
        <v>0</v>
      </c>
      <c r="AF94" s="334">
        <v>0</v>
      </c>
      <c r="AG94" s="334">
        <v>10.64</v>
      </c>
      <c r="AH94" s="334">
        <v>0</v>
      </c>
      <c r="AI94" s="334">
        <v>0</v>
      </c>
      <c r="AJ94" s="334">
        <v>0</v>
      </c>
      <c r="AK94" s="334">
        <v>0</v>
      </c>
      <c r="AL94" s="334">
        <v>0</v>
      </c>
      <c r="AM94" s="334">
        <v>0</v>
      </c>
      <c r="AN94" s="334">
        <v>0</v>
      </c>
      <c r="AO94" s="334">
        <v>0</v>
      </c>
      <c r="AP94" s="334">
        <v>0</v>
      </c>
      <c r="AQ94" s="334">
        <v>0</v>
      </c>
      <c r="AR94" s="334">
        <v>0</v>
      </c>
      <c r="AS94" s="334">
        <v>0</v>
      </c>
      <c r="AT94" s="334">
        <v>0</v>
      </c>
      <c r="AU94" s="334">
        <v>0</v>
      </c>
      <c r="AV94" s="278">
        <v>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v>43.82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1059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98948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1060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1061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1062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1063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339" t="s">
        <v>1064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0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1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328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329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2">
        <v>615</v>
      </c>
      <c r="D127" s="295">
        <v>7931</v>
      </c>
      <c r="E127" s="16"/>
    </row>
    <row r="128" spans="1:5" x14ac:dyDescent="0.25">
      <c r="A128" s="16" t="s">
        <v>334</v>
      </c>
      <c r="B128" s="35" t="s">
        <v>299</v>
      </c>
      <c r="C128" s="292">
        <v>0</v>
      </c>
      <c r="D128" s="295">
        <v>0</v>
      </c>
      <c r="E128" s="16"/>
    </row>
    <row r="129" spans="1:6" x14ac:dyDescent="0.25">
      <c r="A129" s="16" t="s">
        <v>335</v>
      </c>
      <c r="B129" s="35" t="s">
        <v>299</v>
      </c>
      <c r="C129" s="292">
        <v>0</v>
      </c>
      <c r="D129" s="295">
        <v>0</v>
      </c>
      <c r="E129" s="16"/>
    </row>
    <row r="130" spans="1:6" x14ac:dyDescent="0.25">
      <c r="A130" s="16" t="s">
        <v>336</v>
      </c>
      <c r="B130" s="35" t="s">
        <v>299</v>
      </c>
      <c r="C130" s="292">
        <v>0</v>
      </c>
      <c r="D130" s="295">
        <v>0</v>
      </c>
      <c r="E130" s="16"/>
    </row>
    <row r="131" spans="1:6" x14ac:dyDescent="0.25">
      <c r="A131" s="21" t="s">
        <v>337</v>
      </c>
      <c r="B131" s="16"/>
      <c r="C131" s="17" t="s">
        <v>193</v>
      </c>
      <c r="D131" s="16"/>
      <c r="E131" s="16"/>
    </row>
    <row r="132" spans="1:6" x14ac:dyDescent="0.25">
      <c r="A132" s="16" t="s">
        <v>338</v>
      </c>
      <c r="B132" s="35" t="s">
        <v>299</v>
      </c>
      <c r="C132" s="292">
        <v>7</v>
      </c>
      <c r="D132" s="16"/>
      <c r="E132" s="16"/>
    </row>
    <row r="133" spans="1:6" x14ac:dyDescent="0.25">
      <c r="A133" s="16" t="s">
        <v>339</v>
      </c>
      <c r="B133" s="35" t="s">
        <v>299</v>
      </c>
      <c r="C133" s="292">
        <v>0</v>
      </c>
      <c r="D133" s="16"/>
      <c r="E133" s="16"/>
    </row>
    <row r="134" spans="1:6" x14ac:dyDescent="0.25">
      <c r="A134" s="16" t="s">
        <v>340</v>
      </c>
      <c r="B134" s="35" t="s">
        <v>299</v>
      </c>
      <c r="C134" s="292">
        <v>16</v>
      </c>
      <c r="D134" s="16"/>
      <c r="E134" s="16"/>
    </row>
    <row r="135" spans="1:6" x14ac:dyDescent="0.25">
      <c r="A135" s="16" t="s">
        <v>341</v>
      </c>
      <c r="B135" s="35" t="s">
        <v>299</v>
      </c>
      <c r="C135" s="292">
        <v>0</v>
      </c>
      <c r="D135" s="16"/>
      <c r="E135" s="16"/>
    </row>
    <row r="136" spans="1:6" x14ac:dyDescent="0.25">
      <c r="A136" s="16" t="s">
        <v>342</v>
      </c>
      <c r="B136" s="35" t="s">
        <v>299</v>
      </c>
      <c r="C136" s="292">
        <v>10</v>
      </c>
      <c r="D136" s="16"/>
      <c r="E136" s="16"/>
      <c r="F136" s="56"/>
    </row>
    <row r="137" spans="1:6" x14ac:dyDescent="0.25">
      <c r="A137" s="16" t="s">
        <v>343</v>
      </c>
      <c r="B137" s="35" t="s">
        <v>299</v>
      </c>
      <c r="C137" s="292">
        <v>0</v>
      </c>
      <c r="D137" s="16"/>
      <c r="E137" s="16"/>
    </row>
    <row r="138" spans="1:6" x14ac:dyDescent="0.25">
      <c r="A138" s="16" t="s">
        <v>122</v>
      </c>
      <c r="B138" s="35" t="s">
        <v>299</v>
      </c>
      <c r="C138" s="292">
        <v>15</v>
      </c>
      <c r="D138" s="16"/>
      <c r="E138" s="16"/>
    </row>
    <row r="139" spans="1:6" x14ac:dyDescent="0.25">
      <c r="A139" s="16" t="s">
        <v>344</v>
      </c>
      <c r="B139" s="35" t="s">
        <v>299</v>
      </c>
      <c r="C139" s="292">
        <v>0</v>
      </c>
      <c r="D139" s="16"/>
      <c r="E139" s="16"/>
    </row>
    <row r="140" spans="1:6" x14ac:dyDescent="0.25">
      <c r="A140" s="16" t="s">
        <v>345</v>
      </c>
      <c r="B140" s="35"/>
      <c r="C140" s="292">
        <v>0</v>
      </c>
      <c r="D140" s="16"/>
      <c r="E140" s="16"/>
    </row>
    <row r="141" spans="1:6" x14ac:dyDescent="0.25">
      <c r="A141" s="16" t="s">
        <v>335</v>
      </c>
      <c r="B141" s="35" t="s">
        <v>299</v>
      </c>
      <c r="C141" s="292">
        <v>0</v>
      </c>
      <c r="D141" s="16"/>
      <c r="E141" s="16"/>
    </row>
    <row r="142" spans="1:6" x14ac:dyDescent="0.25">
      <c r="A142" s="16" t="s">
        <v>346</v>
      </c>
      <c r="B142" s="35" t="s">
        <v>299</v>
      </c>
      <c r="C142" s="292">
        <v>0</v>
      </c>
      <c r="D142" s="16"/>
      <c r="E142" s="16"/>
    </row>
    <row r="143" spans="1:6" x14ac:dyDescent="0.25">
      <c r="A143" s="16" t="s">
        <v>347</v>
      </c>
      <c r="B143" s="16"/>
      <c r="C143" s="22"/>
      <c r="D143" s="16"/>
      <c r="E143" s="25">
        <v>48</v>
      </c>
    </row>
    <row r="144" spans="1:6" x14ac:dyDescent="0.25">
      <c r="A144" s="16" t="s">
        <v>348</v>
      </c>
      <c r="B144" s="35" t="s">
        <v>299</v>
      </c>
      <c r="C144" s="292">
        <v>78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2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257</v>
      </c>
      <c r="C154" s="295">
        <v>269</v>
      </c>
      <c r="D154" s="295">
        <v>89</v>
      </c>
      <c r="E154" s="25">
        <v>615</v>
      </c>
    </row>
    <row r="155" spans="1:6" x14ac:dyDescent="0.25">
      <c r="A155" s="16" t="s">
        <v>241</v>
      </c>
      <c r="B155" s="295">
        <v>3081</v>
      </c>
      <c r="C155" s="295">
        <v>4298</v>
      </c>
      <c r="D155" s="295">
        <v>552</v>
      </c>
      <c r="E155" s="25">
        <v>7931</v>
      </c>
    </row>
    <row r="156" spans="1:6" x14ac:dyDescent="0.25">
      <c r="A156" s="16" t="s">
        <v>355</v>
      </c>
      <c r="B156" s="295">
        <v>27033.489722963724</v>
      </c>
      <c r="C156" s="295">
        <v>36372.210149045619</v>
      </c>
      <c r="D156" s="295">
        <v>41511.30012799066</v>
      </c>
      <c r="E156" s="25">
        <v>104917</v>
      </c>
    </row>
    <row r="157" spans="1:6" x14ac:dyDescent="0.25">
      <c r="A157" s="16" t="s">
        <v>286</v>
      </c>
      <c r="B157" s="295">
        <v>16601829</v>
      </c>
      <c r="C157" s="295">
        <v>19782923</v>
      </c>
      <c r="D157" s="295">
        <v>7660943</v>
      </c>
      <c r="E157" s="25">
        <v>44045695</v>
      </c>
      <c r="F157" s="14"/>
    </row>
    <row r="158" spans="1:6" x14ac:dyDescent="0.25">
      <c r="A158" s="16" t="s">
        <v>287</v>
      </c>
      <c r="B158" s="295">
        <v>43965369</v>
      </c>
      <c r="C158" s="295">
        <v>59153208</v>
      </c>
      <c r="D158" s="295">
        <v>66853784</v>
      </c>
      <c r="E158" s="25">
        <v>169972361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95">
        <v>0</v>
      </c>
      <c r="C160" s="295">
        <v>0</v>
      </c>
      <c r="D160" s="295">
        <v>0</v>
      </c>
      <c r="E160" s="25">
        <v>0</v>
      </c>
    </row>
    <row r="161" spans="1:5" x14ac:dyDescent="0.25">
      <c r="A161" s="16" t="s">
        <v>241</v>
      </c>
      <c r="B161" s="295">
        <v>0</v>
      </c>
      <c r="C161" s="295">
        <v>0</v>
      </c>
      <c r="D161" s="295">
        <v>0</v>
      </c>
      <c r="E161" s="25">
        <v>0</v>
      </c>
    </row>
    <row r="162" spans="1:5" x14ac:dyDescent="0.25">
      <c r="A162" s="16" t="s">
        <v>355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95">
        <v>0</v>
      </c>
      <c r="C163" s="295">
        <v>0</v>
      </c>
      <c r="D163" s="295">
        <v>0</v>
      </c>
      <c r="E163" s="25">
        <v>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355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95">
        <v>0</v>
      </c>
      <c r="C173" s="295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1467327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177068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254692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1896481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658347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13048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4466963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803685.89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482904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1286589.8900000001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550456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16636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567092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91419.23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2434816.5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2526235.73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0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2663933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2663933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5">
        <v>550000</v>
      </c>
      <c r="C211" s="292">
        <v>0</v>
      </c>
      <c r="D211" s="295">
        <v>0</v>
      </c>
      <c r="E211" s="25">
        <v>550000</v>
      </c>
    </row>
    <row r="212" spans="1:5" x14ac:dyDescent="0.25">
      <c r="A212" s="16" t="s">
        <v>390</v>
      </c>
      <c r="B212" s="295">
        <v>26953</v>
      </c>
      <c r="C212" s="292">
        <v>0</v>
      </c>
      <c r="D212" s="295">
        <v>0</v>
      </c>
      <c r="E212" s="25">
        <v>26953</v>
      </c>
    </row>
    <row r="213" spans="1:5" x14ac:dyDescent="0.25">
      <c r="A213" s="16" t="s">
        <v>391</v>
      </c>
      <c r="B213" s="295">
        <v>8244365</v>
      </c>
      <c r="C213" s="292">
        <v>0</v>
      </c>
      <c r="D213" s="295">
        <v>0</v>
      </c>
      <c r="E213" s="25">
        <v>8244365</v>
      </c>
    </row>
    <row r="214" spans="1:5" x14ac:dyDescent="0.25">
      <c r="A214" s="16" t="s">
        <v>392</v>
      </c>
      <c r="B214" s="295">
        <v>0</v>
      </c>
      <c r="C214" s="292">
        <v>0</v>
      </c>
      <c r="D214" s="295">
        <v>0</v>
      </c>
      <c r="E214" s="25">
        <v>0</v>
      </c>
    </row>
    <row r="215" spans="1:5" x14ac:dyDescent="0.25">
      <c r="A215" s="16" t="s">
        <v>393</v>
      </c>
      <c r="B215" s="295">
        <v>0</v>
      </c>
      <c r="C215" s="292">
        <v>0</v>
      </c>
      <c r="D215" s="295">
        <v>0</v>
      </c>
      <c r="E215" s="25">
        <v>0</v>
      </c>
    </row>
    <row r="216" spans="1:5" x14ac:dyDescent="0.25">
      <c r="A216" s="16" t="s">
        <v>394</v>
      </c>
      <c r="B216" s="295">
        <v>5793774</v>
      </c>
      <c r="C216" s="292">
        <v>873587.94</v>
      </c>
      <c r="D216" s="295">
        <v>593435</v>
      </c>
      <c r="E216" s="25">
        <v>6073926.9399999995</v>
      </c>
    </row>
    <row r="217" spans="1:5" x14ac:dyDescent="0.25">
      <c r="A217" s="16" t="s">
        <v>395</v>
      </c>
      <c r="B217" s="295">
        <v>407983</v>
      </c>
      <c r="C217" s="292">
        <v>6912</v>
      </c>
      <c r="D217" s="295">
        <v>12008</v>
      </c>
      <c r="E217" s="25">
        <v>402887</v>
      </c>
    </row>
    <row r="218" spans="1:5" x14ac:dyDescent="0.25">
      <c r="A218" s="16" t="s">
        <v>396</v>
      </c>
      <c r="B218" s="295">
        <v>0</v>
      </c>
      <c r="C218" s="292">
        <v>0</v>
      </c>
      <c r="D218" s="295">
        <v>0</v>
      </c>
      <c r="E218" s="25">
        <v>0</v>
      </c>
    </row>
    <row r="219" spans="1:5" x14ac:dyDescent="0.25">
      <c r="A219" s="16" t="s">
        <v>397</v>
      </c>
      <c r="B219" s="295">
        <v>1108989</v>
      </c>
      <c r="C219" s="292">
        <v>554253</v>
      </c>
      <c r="D219" s="295">
        <v>840906</v>
      </c>
      <c r="E219" s="25">
        <v>822336</v>
      </c>
    </row>
    <row r="220" spans="1:5" x14ac:dyDescent="0.25">
      <c r="A220" s="16" t="s">
        <v>229</v>
      </c>
      <c r="B220" s="25">
        <v>16132064</v>
      </c>
      <c r="C220" s="225">
        <v>1434752.94</v>
      </c>
      <c r="D220" s="25">
        <v>1446349</v>
      </c>
      <c r="E220" s="25">
        <v>16120467.939999999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398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5">
        <v>6254</v>
      </c>
      <c r="C225" s="292">
        <v>1797</v>
      </c>
      <c r="D225" s="295">
        <v>0</v>
      </c>
      <c r="E225" s="25">
        <v>8051</v>
      </c>
    </row>
    <row r="226" spans="1:6" x14ac:dyDescent="0.25">
      <c r="A226" s="16" t="s">
        <v>391</v>
      </c>
      <c r="B226" s="295">
        <v>2550677</v>
      </c>
      <c r="C226" s="292">
        <v>481120</v>
      </c>
      <c r="D226" s="295">
        <v>0</v>
      </c>
      <c r="E226" s="25">
        <v>3031797</v>
      </c>
    </row>
    <row r="227" spans="1:6" x14ac:dyDescent="0.25">
      <c r="A227" s="16" t="s">
        <v>392</v>
      </c>
      <c r="B227" s="295">
        <v>0</v>
      </c>
      <c r="C227" s="292">
        <v>0</v>
      </c>
      <c r="D227" s="295">
        <v>0</v>
      </c>
      <c r="E227" s="25">
        <v>0</v>
      </c>
    </row>
    <row r="228" spans="1:6" x14ac:dyDescent="0.25">
      <c r="A228" s="16" t="s">
        <v>393</v>
      </c>
      <c r="B228" s="295">
        <v>0</v>
      </c>
      <c r="C228" s="292">
        <v>0</v>
      </c>
      <c r="D228" s="295">
        <v>0</v>
      </c>
      <c r="E228" s="25">
        <v>0</v>
      </c>
    </row>
    <row r="229" spans="1:6" x14ac:dyDescent="0.25">
      <c r="A229" s="16" t="s">
        <v>394</v>
      </c>
      <c r="B229" s="295">
        <v>1350666</v>
      </c>
      <c r="C229" s="292">
        <v>247119</v>
      </c>
      <c r="D229" s="295">
        <v>4984</v>
      </c>
      <c r="E229" s="25">
        <v>1592801</v>
      </c>
    </row>
    <row r="230" spans="1:6" x14ac:dyDescent="0.25">
      <c r="A230" s="16" t="s">
        <v>395</v>
      </c>
      <c r="B230" s="295">
        <v>258772</v>
      </c>
      <c r="C230" s="292">
        <v>37917</v>
      </c>
      <c r="D230" s="295">
        <v>0</v>
      </c>
      <c r="E230" s="25">
        <v>296689</v>
      </c>
    </row>
    <row r="231" spans="1:6" x14ac:dyDescent="0.25">
      <c r="A231" s="16" t="s">
        <v>396</v>
      </c>
      <c r="B231" s="295">
        <v>0</v>
      </c>
      <c r="C231" s="292">
        <v>0</v>
      </c>
      <c r="D231" s="295">
        <v>0</v>
      </c>
      <c r="E231" s="25">
        <v>0</v>
      </c>
    </row>
    <row r="232" spans="1:6" x14ac:dyDescent="0.25">
      <c r="A232" s="16" t="s">
        <v>397</v>
      </c>
      <c r="B232" s="295">
        <v>0</v>
      </c>
      <c r="C232" s="292">
        <v>0</v>
      </c>
      <c r="D232" s="295">
        <v>0</v>
      </c>
      <c r="E232" s="25">
        <v>0</v>
      </c>
    </row>
    <row r="233" spans="1:6" x14ac:dyDescent="0.25">
      <c r="A233" s="16" t="s">
        <v>229</v>
      </c>
      <c r="B233" s="25">
        <v>4166369</v>
      </c>
      <c r="C233" s="225">
        <v>767953</v>
      </c>
      <c r="D233" s="25">
        <v>4984</v>
      </c>
      <c r="E233" s="25">
        <v>4929338</v>
      </c>
    </row>
    <row r="234" spans="1:6" x14ac:dyDescent="0.25">
      <c r="A234" s="16"/>
      <c r="B234" s="16"/>
      <c r="C234" s="22"/>
      <c r="D234" s="16"/>
      <c r="E234" s="16"/>
      <c r="F234" s="11">
        <v>11191129.939999999</v>
      </c>
    </row>
    <row r="235" spans="1:6" x14ac:dyDescent="0.25">
      <c r="A235" s="30" t="s">
        <v>399</v>
      </c>
      <c r="B235" s="30"/>
      <c r="C235" s="30"/>
      <c r="D235" s="30"/>
      <c r="E235" s="30"/>
    </row>
    <row r="236" spans="1:6" x14ac:dyDescent="0.25">
      <c r="A236" s="30"/>
      <c r="B236" s="341" t="s">
        <v>400</v>
      </c>
      <c r="C236" s="341"/>
      <c r="D236" s="30"/>
      <c r="E236" s="30"/>
    </row>
    <row r="237" spans="1:6" x14ac:dyDescent="0.25">
      <c r="A237" s="43" t="s">
        <v>400</v>
      </c>
      <c r="B237" s="30"/>
      <c r="C237" s="292">
        <v>-1756052</v>
      </c>
      <c r="D237" s="32">
        <v>-1756052</v>
      </c>
      <c r="E237" s="30"/>
    </row>
    <row r="238" spans="1:6" x14ac:dyDescent="0.25">
      <c r="A238" s="34" t="s">
        <v>401</v>
      </c>
      <c r="B238" s="34"/>
      <c r="C238" s="34"/>
      <c r="D238" s="34"/>
      <c r="E238" s="34"/>
    </row>
    <row r="239" spans="1:6" x14ac:dyDescent="0.25">
      <c r="A239" s="16" t="s">
        <v>402</v>
      </c>
      <c r="B239" s="35" t="s">
        <v>299</v>
      </c>
      <c r="C239" s="292">
        <v>48951192</v>
      </c>
      <c r="D239" s="16"/>
      <c r="E239" s="16"/>
    </row>
    <row r="240" spans="1:6" x14ac:dyDescent="0.25">
      <c r="A240" s="16" t="s">
        <v>403</v>
      </c>
      <c r="B240" s="35" t="s">
        <v>299</v>
      </c>
      <c r="C240" s="292">
        <v>68583189</v>
      </c>
      <c r="D240" s="16"/>
      <c r="E240" s="16"/>
    </row>
    <row r="241" spans="1:5" x14ac:dyDescent="0.25">
      <c r="A241" s="16" t="s">
        <v>404</v>
      </c>
      <c r="B241" s="35" t="s">
        <v>299</v>
      </c>
      <c r="C241" s="292">
        <v>5958960</v>
      </c>
      <c r="D241" s="16"/>
      <c r="E241" s="16"/>
    </row>
    <row r="242" spans="1:5" x14ac:dyDescent="0.25">
      <c r="A242" s="16" t="s">
        <v>405</v>
      </c>
      <c r="B242" s="35" t="s">
        <v>299</v>
      </c>
      <c r="C242" s="292">
        <v>1184760</v>
      </c>
      <c r="D242" s="16"/>
      <c r="E242" s="16"/>
    </row>
    <row r="243" spans="1:5" x14ac:dyDescent="0.25">
      <c r="A243" s="16" t="s">
        <v>406</v>
      </c>
      <c r="B243" s="35" t="s">
        <v>299</v>
      </c>
      <c r="C243" s="292">
        <v>31000834</v>
      </c>
      <c r="D243" s="16"/>
      <c r="E243" s="16"/>
    </row>
    <row r="244" spans="1:5" x14ac:dyDescent="0.25">
      <c r="A244" s="16" t="s">
        <v>407</v>
      </c>
      <c r="B244" s="35" t="s">
        <v>299</v>
      </c>
      <c r="C244" s="292">
        <v>5187436</v>
      </c>
      <c r="D244" s="16"/>
      <c r="E244" s="16"/>
    </row>
    <row r="245" spans="1:5" x14ac:dyDescent="0.25">
      <c r="A245" s="16" t="s">
        <v>408</v>
      </c>
      <c r="B245" s="16"/>
      <c r="C245" s="22"/>
      <c r="D245" s="25">
        <v>160866371</v>
      </c>
      <c r="E245" s="16"/>
    </row>
    <row r="246" spans="1:5" x14ac:dyDescent="0.25">
      <c r="A246" s="34" t="s">
        <v>409</v>
      </c>
      <c r="B246" s="34"/>
      <c r="C246" s="34"/>
      <c r="D246" s="34"/>
      <c r="E246" s="34"/>
    </row>
    <row r="247" spans="1:5" x14ac:dyDescent="0.25">
      <c r="A247" s="21" t="s">
        <v>410</v>
      </c>
      <c r="B247" s="35" t="s">
        <v>299</v>
      </c>
      <c r="C247" s="292">
        <v>0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411</v>
      </c>
      <c r="B249" s="35" t="s">
        <v>299</v>
      </c>
      <c r="C249" s="292">
        <v>79217</v>
      </c>
      <c r="D249" s="16"/>
      <c r="E249" s="16"/>
    </row>
    <row r="250" spans="1:5" x14ac:dyDescent="0.25">
      <c r="A250" s="21" t="s">
        <v>412</v>
      </c>
      <c r="B250" s="35" t="s">
        <v>299</v>
      </c>
      <c r="C250" s="292">
        <v>1877277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413</v>
      </c>
      <c r="B252" s="16"/>
      <c r="C252" s="22"/>
      <c r="D252" s="25">
        <v>1956494</v>
      </c>
      <c r="E252" s="16"/>
    </row>
    <row r="253" spans="1:5" x14ac:dyDescent="0.25">
      <c r="A253" s="34" t="s">
        <v>414</v>
      </c>
      <c r="B253" s="34"/>
      <c r="C253" s="34"/>
      <c r="D253" s="34"/>
      <c r="E253" s="34"/>
    </row>
    <row r="254" spans="1:5" x14ac:dyDescent="0.25">
      <c r="A254" s="16" t="s">
        <v>415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414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416</v>
      </c>
      <c r="B256" s="16"/>
      <c r="C256" s="22"/>
      <c r="D256" s="25">
        <v>0</v>
      </c>
      <c r="E256" s="16"/>
    </row>
    <row r="257" spans="1:8" x14ac:dyDescent="0.25">
      <c r="A257" s="16"/>
      <c r="B257" s="16"/>
      <c r="C257" s="22"/>
      <c r="D257" s="16"/>
      <c r="E257" s="16"/>
    </row>
    <row r="258" spans="1:8" x14ac:dyDescent="0.25">
      <c r="A258" s="16" t="s">
        <v>417</v>
      </c>
      <c r="B258" s="16"/>
      <c r="C258" s="22"/>
      <c r="D258" s="25">
        <v>161066813</v>
      </c>
      <c r="E258" s="16"/>
    </row>
    <row r="259" spans="1:8" x14ac:dyDescent="0.25">
      <c r="A259" s="16"/>
      <c r="B259" s="16"/>
      <c r="C259" s="22"/>
      <c r="D259" s="16"/>
      <c r="E259" s="16"/>
    </row>
    <row r="260" spans="1:8" x14ac:dyDescent="0.25">
      <c r="A260" s="16"/>
      <c r="B260" s="16"/>
      <c r="C260" s="22"/>
      <c r="D260" s="16"/>
      <c r="E260" s="16"/>
    </row>
    <row r="261" spans="1:8" x14ac:dyDescent="0.25">
      <c r="A261" s="16"/>
      <c r="B261" s="16"/>
      <c r="C261" s="22"/>
      <c r="D261" s="16"/>
      <c r="E261" s="16"/>
    </row>
    <row r="262" spans="1:8" x14ac:dyDescent="0.25">
      <c r="A262" s="16"/>
      <c r="B262" s="16"/>
      <c r="C262" s="22"/>
      <c r="D262" s="16"/>
      <c r="E262" s="16"/>
    </row>
    <row r="263" spans="1:8" x14ac:dyDescent="0.25">
      <c r="A263" s="16"/>
      <c r="B263" s="16"/>
      <c r="C263" s="22"/>
      <c r="D263" s="16"/>
      <c r="E263" s="16"/>
    </row>
    <row r="264" spans="1:8" x14ac:dyDescent="0.25">
      <c r="A264" s="30" t="s">
        <v>418</v>
      </c>
      <c r="B264" s="30"/>
      <c r="C264" s="30"/>
      <c r="D264" s="30"/>
      <c r="E264" s="30"/>
    </row>
    <row r="265" spans="1:8" x14ac:dyDescent="0.25">
      <c r="A265" s="34" t="s">
        <v>419</v>
      </c>
      <c r="B265" s="34"/>
      <c r="C265" s="34"/>
      <c r="D265" s="34"/>
      <c r="E265" s="34"/>
    </row>
    <row r="266" spans="1:8" x14ac:dyDescent="0.25">
      <c r="A266" s="16" t="s">
        <v>420</v>
      </c>
      <c r="B266" s="35" t="s">
        <v>299</v>
      </c>
      <c r="C266" s="292">
        <v>174048</v>
      </c>
      <c r="D266" s="16"/>
      <c r="E266" s="16"/>
    </row>
    <row r="267" spans="1:8" x14ac:dyDescent="0.25">
      <c r="A267" s="16" t="s">
        <v>421</v>
      </c>
      <c r="B267" s="35" t="s">
        <v>299</v>
      </c>
      <c r="C267" s="292">
        <v>0</v>
      </c>
      <c r="D267" s="16"/>
      <c r="E267" s="16"/>
    </row>
    <row r="268" spans="1:8" x14ac:dyDescent="0.25">
      <c r="A268" s="16" t="s">
        <v>422</v>
      </c>
      <c r="B268" s="35" t="s">
        <v>299</v>
      </c>
      <c r="C268" s="292">
        <v>62563605</v>
      </c>
      <c r="D268" s="16"/>
      <c r="E268" s="16"/>
    </row>
    <row r="269" spans="1:8" x14ac:dyDescent="0.25">
      <c r="A269" s="16" t="s">
        <v>423</v>
      </c>
      <c r="B269" s="35" t="s">
        <v>299</v>
      </c>
      <c r="C269" s="292">
        <v>53011335</v>
      </c>
      <c r="D269" s="16"/>
      <c r="E269" s="16"/>
      <c r="H269" s="11">
        <v>9552270</v>
      </c>
    </row>
    <row r="270" spans="1:8" x14ac:dyDescent="0.25">
      <c r="A270" s="16" t="s">
        <v>424</v>
      </c>
      <c r="B270" s="35" t="s">
        <v>299</v>
      </c>
      <c r="C270" s="292">
        <v>-31139331</v>
      </c>
      <c r="D270" s="16"/>
      <c r="E270" s="16"/>
    </row>
    <row r="271" spans="1:8" x14ac:dyDescent="0.25">
      <c r="A271" s="16" t="s">
        <v>425</v>
      </c>
      <c r="B271" s="35" t="s">
        <v>299</v>
      </c>
      <c r="C271" s="292">
        <v>0</v>
      </c>
      <c r="D271" s="16"/>
      <c r="E271" s="16"/>
    </row>
    <row r="272" spans="1:8" x14ac:dyDescent="0.25">
      <c r="A272" s="16" t="s">
        <v>426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427</v>
      </c>
      <c r="B273" s="35" t="s">
        <v>299</v>
      </c>
      <c r="C273" s="292">
        <v>2749186</v>
      </c>
      <c r="D273" s="16"/>
      <c r="E273" s="16"/>
    </row>
    <row r="274" spans="1:5" x14ac:dyDescent="0.25">
      <c r="A274" s="16" t="s">
        <v>428</v>
      </c>
      <c r="B274" s="35" t="s">
        <v>299</v>
      </c>
      <c r="C274" s="292">
        <v>307478</v>
      </c>
      <c r="D274" s="16"/>
      <c r="E274" s="16"/>
    </row>
    <row r="275" spans="1:5" x14ac:dyDescent="0.25">
      <c r="A275" s="16" t="s">
        <v>429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430</v>
      </c>
      <c r="B276" s="16"/>
      <c r="C276" s="22"/>
      <c r="D276" s="25">
        <v>-18356349</v>
      </c>
      <c r="E276" s="16"/>
    </row>
    <row r="277" spans="1:5" x14ac:dyDescent="0.25">
      <c r="A277" s="34" t="s">
        <v>431</v>
      </c>
      <c r="B277" s="34"/>
      <c r="C277" s="34"/>
      <c r="D277" s="34"/>
      <c r="E277" s="34"/>
    </row>
    <row r="278" spans="1:5" x14ac:dyDescent="0.25">
      <c r="A278" s="16" t="s">
        <v>420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421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432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433</v>
      </c>
      <c r="B281" s="16"/>
      <c r="C281" s="22"/>
      <c r="D281" s="25">
        <v>0</v>
      </c>
      <c r="E281" s="16"/>
    </row>
    <row r="282" spans="1:5" x14ac:dyDescent="0.25">
      <c r="A282" s="34" t="s">
        <v>434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550000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26953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8244365</v>
      </c>
      <c r="D285" s="16"/>
      <c r="E285" s="16"/>
    </row>
    <row r="286" spans="1:5" x14ac:dyDescent="0.25">
      <c r="A286" s="16" t="s">
        <v>435</v>
      </c>
      <c r="B286" s="35" t="s">
        <v>299</v>
      </c>
      <c r="C286" s="292">
        <v>0</v>
      </c>
      <c r="D286" s="16"/>
      <c r="E286" s="16"/>
    </row>
    <row r="287" spans="1:5" x14ac:dyDescent="0.25">
      <c r="A287" s="16" t="s">
        <v>436</v>
      </c>
      <c r="B287" s="35" t="s">
        <v>299</v>
      </c>
      <c r="C287" s="292">
        <v>0</v>
      </c>
      <c r="D287" s="16"/>
      <c r="E287" s="16"/>
    </row>
    <row r="288" spans="1:5" x14ac:dyDescent="0.25">
      <c r="A288" s="16" t="s">
        <v>437</v>
      </c>
      <c r="B288" s="35" t="s">
        <v>299</v>
      </c>
      <c r="C288" s="292">
        <v>6476814</v>
      </c>
      <c r="D288" s="16"/>
      <c r="E288" s="16"/>
    </row>
    <row r="289" spans="1:5" x14ac:dyDescent="0.25">
      <c r="A289" s="16" t="s">
        <v>396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397</v>
      </c>
      <c r="B290" s="35" t="s">
        <v>299</v>
      </c>
      <c r="C290" s="292">
        <v>822335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v>16120467</v>
      </c>
      <c r="E291" s="16"/>
    </row>
    <row r="292" spans="1:5" x14ac:dyDescent="0.25">
      <c r="A292" s="16" t="s">
        <v>439</v>
      </c>
      <c r="B292" s="35" t="s">
        <v>299</v>
      </c>
      <c r="C292" s="292">
        <v>4929338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v>11191129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443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444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432</v>
      </c>
      <c r="B298" s="35" t="s">
        <v>299</v>
      </c>
      <c r="C298" s="292">
        <v>0</v>
      </c>
      <c r="D298" s="16"/>
      <c r="E298" s="16"/>
    </row>
    <row r="299" spans="1:5" x14ac:dyDescent="0.25">
      <c r="A299" s="16" t="s">
        <v>445</v>
      </c>
      <c r="B299" s="16"/>
      <c r="C299" s="22"/>
      <c r="D299" s="25">
        <v>0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448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449</v>
      </c>
      <c r="B304" s="35" t="s">
        <v>299</v>
      </c>
      <c r="C304" s="292">
        <v>0</v>
      </c>
      <c r="D304" s="16"/>
      <c r="E304" s="16"/>
    </row>
    <row r="305" spans="1:8" x14ac:dyDescent="0.25">
      <c r="A305" s="16" t="s">
        <v>450</v>
      </c>
      <c r="B305" s="35" t="s">
        <v>299</v>
      </c>
      <c r="C305" s="292">
        <v>0</v>
      </c>
      <c r="D305" s="16"/>
      <c r="E305" s="16"/>
    </row>
    <row r="306" spans="1:8" x14ac:dyDescent="0.25">
      <c r="A306" s="16" t="s">
        <v>451</v>
      </c>
      <c r="B306" s="16"/>
      <c r="C306" s="22"/>
      <c r="D306" s="25">
        <v>0</v>
      </c>
      <c r="E306" s="16"/>
    </row>
    <row r="307" spans="1:8" x14ac:dyDescent="0.25">
      <c r="A307" s="16"/>
      <c r="B307" s="16"/>
      <c r="C307" s="22"/>
      <c r="D307" s="16"/>
      <c r="E307" s="16"/>
    </row>
    <row r="308" spans="1:8" x14ac:dyDescent="0.25">
      <c r="A308" s="16" t="s">
        <v>452</v>
      </c>
      <c r="B308" s="16"/>
      <c r="C308" s="22"/>
      <c r="D308" s="25">
        <v>-7165220</v>
      </c>
      <c r="E308" s="16"/>
      <c r="H308" s="11">
        <v>-32336812</v>
      </c>
    </row>
    <row r="309" spans="1:8" x14ac:dyDescent="0.25">
      <c r="A309" s="16"/>
      <c r="B309" s="16"/>
      <c r="C309" s="22"/>
      <c r="D309" s="16"/>
      <c r="E309" s="16"/>
      <c r="F309" s="11">
        <v>-7165220</v>
      </c>
    </row>
    <row r="310" spans="1:8" x14ac:dyDescent="0.25">
      <c r="A310" s="16"/>
      <c r="B310" s="16"/>
      <c r="C310" s="22"/>
      <c r="D310" s="16"/>
      <c r="E310" s="16"/>
    </row>
    <row r="311" spans="1:8" x14ac:dyDescent="0.25">
      <c r="A311" s="16"/>
      <c r="B311" s="16"/>
      <c r="C311" s="22"/>
      <c r="D311" s="16"/>
      <c r="E311" s="16"/>
    </row>
    <row r="312" spans="1:8" x14ac:dyDescent="0.25">
      <c r="A312" s="30" t="s">
        <v>453</v>
      </c>
      <c r="B312" s="30"/>
      <c r="C312" s="30"/>
      <c r="D312" s="30"/>
      <c r="E312" s="30"/>
    </row>
    <row r="313" spans="1:8" x14ac:dyDescent="0.25">
      <c r="A313" s="34" t="s">
        <v>454</v>
      </c>
      <c r="B313" s="34"/>
      <c r="C313" s="34"/>
      <c r="D313" s="34"/>
      <c r="E313" s="34"/>
    </row>
    <row r="314" spans="1:8" x14ac:dyDescent="0.25">
      <c r="A314" s="16" t="s">
        <v>455</v>
      </c>
      <c r="B314" s="35" t="s">
        <v>299</v>
      </c>
      <c r="C314" s="292">
        <v>0</v>
      </c>
      <c r="D314" s="16"/>
      <c r="E314" s="16"/>
    </row>
    <row r="315" spans="1:8" x14ac:dyDescent="0.25">
      <c r="A315" s="16" t="s">
        <v>456</v>
      </c>
      <c r="B315" s="35" t="s">
        <v>299</v>
      </c>
      <c r="C315" s="292">
        <v>2853912</v>
      </c>
      <c r="D315" s="16"/>
      <c r="E315" s="16"/>
    </row>
    <row r="316" spans="1:8" x14ac:dyDescent="0.25">
      <c r="A316" s="16" t="s">
        <v>457</v>
      </c>
      <c r="B316" s="35" t="s">
        <v>299</v>
      </c>
      <c r="C316" s="292">
        <v>695689</v>
      </c>
      <c r="D316" s="16"/>
      <c r="E316" s="16"/>
    </row>
    <row r="317" spans="1:8" x14ac:dyDescent="0.25">
      <c r="A317" s="16" t="s">
        <v>458</v>
      </c>
      <c r="B317" s="35" t="s">
        <v>299</v>
      </c>
      <c r="C317" s="292">
        <v>1199515</v>
      </c>
      <c r="D317" s="16"/>
      <c r="E317" s="16"/>
    </row>
    <row r="318" spans="1:8" x14ac:dyDescent="0.25">
      <c r="A318" s="16" t="s">
        <v>459</v>
      </c>
      <c r="B318" s="35" t="s">
        <v>299</v>
      </c>
      <c r="C318" s="292">
        <v>0</v>
      </c>
      <c r="D318" s="16"/>
      <c r="E318" s="16"/>
    </row>
    <row r="319" spans="1:8" x14ac:dyDescent="0.25">
      <c r="A319" s="16" t="s">
        <v>460</v>
      </c>
      <c r="B319" s="35" t="s">
        <v>299</v>
      </c>
      <c r="C319" s="292">
        <v>-424448</v>
      </c>
      <c r="D319" s="16"/>
      <c r="E319" s="16"/>
    </row>
    <row r="320" spans="1:8" x14ac:dyDescent="0.25">
      <c r="A320" s="16" t="s">
        <v>461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462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463</v>
      </c>
      <c r="B322" s="35" t="s">
        <v>299</v>
      </c>
      <c r="C322" s="292">
        <v>523979</v>
      </c>
      <c r="D322" s="16"/>
      <c r="E322" s="16"/>
    </row>
    <row r="323" spans="1:5" x14ac:dyDescent="0.25">
      <c r="A323" s="16" t="s">
        <v>464</v>
      </c>
      <c r="B323" s="35" t="s">
        <v>299</v>
      </c>
      <c r="C323" s="292">
        <v>564256</v>
      </c>
      <c r="D323" s="16"/>
      <c r="E323" s="16"/>
    </row>
    <row r="324" spans="1:5" x14ac:dyDescent="0.25">
      <c r="A324" s="16" t="s">
        <v>465</v>
      </c>
      <c r="B324" s="16"/>
      <c r="C324" s="22"/>
      <c r="D324" s="25">
        <v>5412903</v>
      </c>
      <c r="E324" s="16"/>
    </row>
    <row r="325" spans="1:5" x14ac:dyDescent="0.25">
      <c r="A325" s="34" t="s">
        <v>466</v>
      </c>
      <c r="B325" s="34"/>
      <c r="C325" s="34"/>
      <c r="D325" s="34"/>
      <c r="E325" s="34"/>
    </row>
    <row r="326" spans="1:5" x14ac:dyDescent="0.25">
      <c r="A326" s="16" t="s">
        <v>467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468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469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470</v>
      </c>
      <c r="B329" s="16"/>
      <c r="C329" s="22"/>
      <c r="D329" s="25">
        <v>0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292">
        <v>147761</v>
      </c>
      <c r="D331" s="16"/>
      <c r="E331" s="16"/>
    </row>
    <row r="332" spans="1:5" x14ac:dyDescent="0.25">
      <c r="A332" s="16" t="s">
        <v>473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474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475</v>
      </c>
      <c r="B334" s="35" t="s">
        <v>299</v>
      </c>
      <c r="C334" s="292">
        <v>3409803</v>
      </c>
      <c r="D334" s="16"/>
      <c r="E334" s="16"/>
    </row>
    <row r="335" spans="1:5" x14ac:dyDescent="0.25">
      <c r="A335" s="16" t="s">
        <v>476</v>
      </c>
      <c r="B335" s="35" t="s">
        <v>299</v>
      </c>
      <c r="C335" s="292">
        <v>0</v>
      </c>
      <c r="D335" s="16"/>
      <c r="E335" s="16"/>
    </row>
    <row r="336" spans="1:5" x14ac:dyDescent="0.25">
      <c r="A336" s="21" t="s">
        <v>477</v>
      </c>
      <c r="B336" s="35" t="s">
        <v>299</v>
      </c>
      <c r="C336" s="292">
        <v>0</v>
      </c>
      <c r="D336" s="16"/>
      <c r="E336" s="16"/>
    </row>
    <row r="337" spans="1:8" x14ac:dyDescent="0.25">
      <c r="A337" s="21" t="s">
        <v>478</v>
      </c>
      <c r="B337" s="35" t="s">
        <v>299</v>
      </c>
      <c r="C337" s="298">
        <v>0</v>
      </c>
      <c r="D337" s="16"/>
      <c r="E337" s="16"/>
    </row>
    <row r="338" spans="1:8" x14ac:dyDescent="0.25">
      <c r="A338" s="16" t="s">
        <v>479</v>
      </c>
      <c r="B338" s="35" t="s">
        <v>299</v>
      </c>
      <c r="C338" s="292">
        <v>0</v>
      </c>
      <c r="D338" s="16"/>
      <c r="E338" s="16"/>
    </row>
    <row r="339" spans="1:8" x14ac:dyDescent="0.25">
      <c r="A339" s="16" t="s">
        <v>229</v>
      </c>
      <c r="B339" s="16"/>
      <c r="C339" s="22"/>
      <c r="D339" s="25">
        <v>3557564</v>
      </c>
      <c r="E339" s="16"/>
    </row>
    <row r="340" spans="1:8" x14ac:dyDescent="0.25">
      <c r="A340" s="16" t="s">
        <v>480</v>
      </c>
      <c r="B340" s="16"/>
      <c r="C340" s="22"/>
      <c r="D340" s="25">
        <v>564256</v>
      </c>
      <c r="E340" s="16"/>
    </row>
    <row r="341" spans="1:8" x14ac:dyDescent="0.25">
      <c r="A341" s="16" t="s">
        <v>481</v>
      </c>
      <c r="B341" s="16"/>
      <c r="C341" s="22"/>
      <c r="D341" s="25">
        <v>2993308</v>
      </c>
      <c r="E341" s="16"/>
    </row>
    <row r="342" spans="1:8" x14ac:dyDescent="0.25">
      <c r="A342" s="16"/>
      <c r="B342" s="16"/>
      <c r="C342" s="22"/>
      <c r="D342" s="16"/>
      <c r="E342" s="16"/>
    </row>
    <row r="343" spans="1:8" x14ac:dyDescent="0.25">
      <c r="A343" s="16" t="s">
        <v>482</v>
      </c>
      <c r="B343" s="35" t="s">
        <v>299</v>
      </c>
      <c r="C343" s="297">
        <v>-15571431</v>
      </c>
      <c r="D343" s="16"/>
      <c r="E343" s="16"/>
    </row>
    <row r="344" spans="1:8" x14ac:dyDescent="0.25">
      <c r="A344" s="16"/>
      <c r="B344" s="35"/>
      <c r="C344" s="44"/>
      <c r="D344" s="16"/>
      <c r="E344" s="16"/>
    </row>
    <row r="345" spans="1:8" x14ac:dyDescent="0.25">
      <c r="A345" s="16" t="s">
        <v>483</v>
      </c>
      <c r="B345" s="35" t="s">
        <v>299</v>
      </c>
      <c r="C345" s="293">
        <v>0</v>
      </c>
      <c r="D345" s="16"/>
      <c r="E345" s="16"/>
    </row>
    <row r="346" spans="1:8" x14ac:dyDescent="0.25">
      <c r="A346" s="16" t="s">
        <v>484</v>
      </c>
      <c r="B346" s="35" t="s">
        <v>299</v>
      </c>
      <c r="C346" s="293">
        <v>0</v>
      </c>
      <c r="D346" s="16"/>
      <c r="E346" s="16"/>
    </row>
    <row r="347" spans="1:8" x14ac:dyDescent="0.25">
      <c r="A347" s="16" t="s">
        <v>485</v>
      </c>
      <c r="B347" s="35" t="s">
        <v>299</v>
      </c>
      <c r="C347" s="293">
        <v>0</v>
      </c>
      <c r="D347" s="16"/>
      <c r="E347" s="16"/>
    </row>
    <row r="348" spans="1:8" x14ac:dyDescent="0.25">
      <c r="A348" s="16" t="s">
        <v>486</v>
      </c>
      <c r="B348" s="35" t="s">
        <v>299</v>
      </c>
      <c r="C348" s="293">
        <v>0</v>
      </c>
      <c r="D348" s="16"/>
      <c r="E348" s="16"/>
    </row>
    <row r="349" spans="1:8" x14ac:dyDescent="0.25">
      <c r="A349" s="16" t="s">
        <v>487</v>
      </c>
      <c r="B349" s="35" t="s">
        <v>299</v>
      </c>
      <c r="C349" s="293">
        <v>0</v>
      </c>
      <c r="D349" s="16"/>
      <c r="E349" s="16"/>
    </row>
    <row r="350" spans="1:8" x14ac:dyDescent="0.25">
      <c r="A350" s="16" t="s">
        <v>488</v>
      </c>
      <c r="B350" s="16"/>
      <c r="C350" s="22"/>
      <c r="D350" s="25">
        <v>-7165220</v>
      </c>
      <c r="E350" s="16"/>
      <c r="H350" s="11">
        <v>-32336812</v>
      </c>
    </row>
    <row r="351" spans="1:8" x14ac:dyDescent="0.25">
      <c r="A351" s="16"/>
      <c r="B351" s="16"/>
      <c r="C351" s="22"/>
      <c r="D351" s="16"/>
      <c r="E351" s="16"/>
    </row>
    <row r="352" spans="1:8" x14ac:dyDescent="0.25">
      <c r="A352" s="16" t="s">
        <v>489</v>
      </c>
      <c r="B352" s="16"/>
      <c r="C352" s="22"/>
      <c r="D352" s="25">
        <v>-7165220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293">
        <v>44045695</v>
      </c>
      <c r="D358" s="16"/>
      <c r="E358" s="16"/>
    </row>
    <row r="359" spans="1:5" x14ac:dyDescent="0.25">
      <c r="A359" s="16" t="s">
        <v>493</v>
      </c>
      <c r="B359" s="35" t="s">
        <v>299</v>
      </c>
      <c r="C359" s="293">
        <v>169972361</v>
      </c>
      <c r="D359" s="16"/>
      <c r="E359" s="16"/>
    </row>
    <row r="360" spans="1:5" x14ac:dyDescent="0.25">
      <c r="A360" s="16" t="s">
        <v>494</v>
      </c>
      <c r="B360" s="16"/>
      <c r="C360" s="22"/>
      <c r="D360" s="25">
        <v>214018056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292">
        <v>-1756052</v>
      </c>
      <c r="D362" s="16"/>
      <c r="E362" s="34"/>
    </row>
    <row r="363" spans="1:5" x14ac:dyDescent="0.25">
      <c r="A363" s="16" t="s">
        <v>496</v>
      </c>
      <c r="B363" s="35" t="s">
        <v>299</v>
      </c>
      <c r="C363" s="292">
        <v>160866371</v>
      </c>
      <c r="D363" s="16"/>
      <c r="E363" s="16"/>
    </row>
    <row r="364" spans="1:5" x14ac:dyDescent="0.25">
      <c r="A364" s="16" t="s">
        <v>497</v>
      </c>
      <c r="B364" s="35" t="s">
        <v>299</v>
      </c>
      <c r="C364" s="292">
        <v>1956494</v>
      </c>
      <c r="D364" s="16"/>
      <c r="E364" s="16"/>
    </row>
    <row r="365" spans="1:5" x14ac:dyDescent="0.25">
      <c r="A365" s="16" t="s">
        <v>498</v>
      </c>
      <c r="B365" s="35" t="s">
        <v>299</v>
      </c>
      <c r="C365" s="292">
        <v>0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v>161066813</v>
      </c>
      <c r="E366" s="16"/>
    </row>
    <row r="367" spans="1:5" x14ac:dyDescent="0.25">
      <c r="A367" s="16" t="s">
        <v>499</v>
      </c>
      <c r="B367" s="16"/>
      <c r="C367" s="22"/>
      <c r="D367" s="25">
        <v>52951243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6" x14ac:dyDescent="0.25">
      <c r="A369" s="25" t="s">
        <v>501</v>
      </c>
      <c r="B369" s="16"/>
      <c r="C369" s="16"/>
      <c r="D369" s="16"/>
      <c r="E369" s="16"/>
    </row>
    <row r="370" spans="1:6" x14ac:dyDescent="0.25">
      <c r="A370" s="46" t="s">
        <v>502</v>
      </c>
      <c r="B370" s="32" t="s">
        <v>299</v>
      </c>
      <c r="C370" s="292">
        <v>0</v>
      </c>
      <c r="D370" s="25">
        <v>0</v>
      </c>
      <c r="E370" s="25"/>
    </row>
    <row r="371" spans="1:6" x14ac:dyDescent="0.25">
      <c r="A371" s="46" t="s">
        <v>503</v>
      </c>
      <c r="B371" s="32" t="s">
        <v>299</v>
      </c>
      <c r="C371" s="292">
        <v>4653268</v>
      </c>
      <c r="D371" s="25">
        <v>0</v>
      </c>
      <c r="E371" s="25"/>
    </row>
    <row r="372" spans="1:6" x14ac:dyDescent="0.25">
      <c r="A372" s="46" t="s">
        <v>504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505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506</v>
      </c>
      <c r="B374" s="32" t="s">
        <v>299</v>
      </c>
      <c r="C374" s="292">
        <v>256</v>
      </c>
      <c r="D374" s="25">
        <v>0</v>
      </c>
      <c r="E374" s="25"/>
    </row>
    <row r="375" spans="1:6" x14ac:dyDescent="0.25">
      <c r="A375" s="46" t="s">
        <v>507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508</v>
      </c>
      <c r="B376" s="32" t="s">
        <v>299</v>
      </c>
      <c r="C376" s="292">
        <v>19465</v>
      </c>
      <c r="D376" s="25">
        <v>0</v>
      </c>
      <c r="E376" s="25"/>
    </row>
    <row r="377" spans="1:6" x14ac:dyDescent="0.25">
      <c r="A377" s="46" t="s">
        <v>509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510</v>
      </c>
      <c r="B378" s="32" t="s">
        <v>299</v>
      </c>
      <c r="C378" s="292">
        <v>157610</v>
      </c>
      <c r="D378" s="25">
        <v>0</v>
      </c>
      <c r="E378" s="25"/>
    </row>
    <row r="379" spans="1:6" x14ac:dyDescent="0.25">
      <c r="A379" s="46" t="s">
        <v>511</v>
      </c>
      <c r="B379" s="32" t="s">
        <v>299</v>
      </c>
      <c r="C379" s="292">
        <v>106188</v>
      </c>
      <c r="D379" s="25">
        <v>0</v>
      </c>
      <c r="E379" s="25"/>
    </row>
    <row r="380" spans="1:6" x14ac:dyDescent="0.25">
      <c r="A380" s="46" t="s">
        <v>512</v>
      </c>
      <c r="B380" s="32" t="s">
        <v>299</v>
      </c>
      <c r="C380" s="294">
        <v>9353</v>
      </c>
      <c r="D380" s="25">
        <v>0</v>
      </c>
      <c r="E380" s="204"/>
      <c r="F380" s="47"/>
    </row>
    <row r="381" spans="1:6" x14ac:dyDescent="0.25">
      <c r="A381" s="48" t="s">
        <v>513</v>
      </c>
      <c r="B381" s="35"/>
      <c r="C381" s="35"/>
      <c r="D381" s="25">
        <v>4946140</v>
      </c>
      <c r="E381" s="25"/>
      <c r="F381" s="47"/>
    </row>
    <row r="382" spans="1:6" x14ac:dyDescent="0.25">
      <c r="A382" s="43" t="s">
        <v>514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515</v>
      </c>
      <c r="B383" s="16"/>
      <c r="C383" s="22"/>
      <c r="D383" s="25">
        <v>4946140</v>
      </c>
      <c r="E383" s="16"/>
    </row>
    <row r="384" spans="1:6" x14ac:dyDescent="0.25">
      <c r="A384" s="16" t="s">
        <v>516</v>
      </c>
      <c r="B384" s="16"/>
      <c r="C384" s="22"/>
      <c r="D384" s="25">
        <v>57897383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517</v>
      </c>
      <c r="B388" s="34"/>
      <c r="C388" s="34"/>
      <c r="D388" s="34"/>
      <c r="E388" s="34"/>
    </row>
    <row r="389" spans="1:5" x14ac:dyDescent="0.25">
      <c r="A389" s="16" t="s">
        <v>518</v>
      </c>
      <c r="B389" s="35" t="s">
        <v>299</v>
      </c>
      <c r="C389" s="292">
        <v>23073547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4466963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744897</v>
      </c>
      <c r="D391" s="16"/>
      <c r="E391" s="16"/>
    </row>
    <row r="392" spans="1:5" x14ac:dyDescent="0.25">
      <c r="A392" s="16" t="s">
        <v>519</v>
      </c>
      <c r="B392" s="35" t="s">
        <v>299</v>
      </c>
      <c r="C392" s="292">
        <v>6625476</v>
      </c>
      <c r="D392" s="16"/>
      <c r="E392" s="16"/>
    </row>
    <row r="393" spans="1:5" x14ac:dyDescent="0.25">
      <c r="A393" s="16" t="s">
        <v>520</v>
      </c>
      <c r="B393" s="35" t="s">
        <v>299</v>
      </c>
      <c r="C393" s="292">
        <v>0</v>
      </c>
      <c r="D393" s="16"/>
      <c r="E393" s="16"/>
    </row>
    <row r="394" spans="1:5" x14ac:dyDescent="0.25">
      <c r="A394" s="16" t="s">
        <v>521</v>
      </c>
      <c r="B394" s="35" t="s">
        <v>299</v>
      </c>
      <c r="C394" s="292">
        <v>7354558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781425</v>
      </c>
      <c r="D395" s="16"/>
      <c r="E395" s="16"/>
    </row>
    <row r="396" spans="1:5" x14ac:dyDescent="0.25">
      <c r="A396" s="16" t="s">
        <v>522</v>
      </c>
      <c r="B396" s="35" t="s">
        <v>299</v>
      </c>
      <c r="C396" s="292">
        <v>1286590</v>
      </c>
      <c r="D396" s="16"/>
      <c r="E396" s="16"/>
    </row>
    <row r="397" spans="1:5" x14ac:dyDescent="0.25">
      <c r="A397" s="16" t="s">
        <v>523</v>
      </c>
      <c r="B397" s="35" t="s">
        <v>299</v>
      </c>
      <c r="C397" s="292">
        <v>567092</v>
      </c>
      <c r="D397" s="16"/>
      <c r="E397" s="16"/>
    </row>
    <row r="398" spans="1:5" x14ac:dyDescent="0.25">
      <c r="A398" s="16" t="s">
        <v>524</v>
      </c>
      <c r="B398" s="35" t="s">
        <v>299</v>
      </c>
      <c r="C398" s="292">
        <v>2526236</v>
      </c>
      <c r="D398" s="16"/>
      <c r="E398" s="16"/>
    </row>
    <row r="399" spans="1:5" x14ac:dyDescent="0.25">
      <c r="A399" s="16" t="s">
        <v>525</v>
      </c>
      <c r="B399" s="35" t="s">
        <v>299</v>
      </c>
      <c r="C399" s="292">
        <v>2663933</v>
      </c>
      <c r="D399" s="16"/>
      <c r="E399" s="16"/>
    </row>
    <row r="400" spans="1:5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3174719</v>
      </c>
      <c r="D402" s="25">
        <v>0</v>
      </c>
      <c r="E402" s="25"/>
    </row>
    <row r="403" spans="1:9" x14ac:dyDescent="0.25">
      <c r="A403" s="26" t="s">
        <v>527</v>
      </c>
      <c r="B403" s="32" t="s">
        <v>299</v>
      </c>
      <c r="C403" s="292">
        <v>0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0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344729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9178810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0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0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0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657471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520159</v>
      </c>
      <c r="D414" s="25">
        <v>0</v>
      </c>
      <c r="E414" s="204"/>
      <c r="F414" s="47"/>
      <c r="G414" s="47"/>
      <c r="H414" s="47"/>
      <c r="I414" s="47"/>
    </row>
    <row r="415" spans="1:9" x14ac:dyDescent="0.25">
      <c r="A415" s="49" t="s">
        <v>528</v>
      </c>
      <c r="B415" s="35"/>
      <c r="C415" s="35"/>
      <c r="D415" s="25">
        <v>13875888</v>
      </c>
      <c r="E415" s="25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v>63966605</v>
      </c>
      <c r="E416" s="25"/>
    </row>
    <row r="417" spans="1:13" x14ac:dyDescent="0.25">
      <c r="A417" s="25" t="s">
        <v>530</v>
      </c>
      <c r="B417" s="16"/>
      <c r="C417" s="22"/>
      <c r="D417" s="25">
        <v>-6069222</v>
      </c>
      <c r="E417" s="25"/>
    </row>
    <row r="418" spans="1:13" x14ac:dyDescent="0.25">
      <c r="A418" s="25" t="s">
        <v>531</v>
      </c>
      <c r="B418" s="16"/>
      <c r="C418" s="294">
        <v>0</v>
      </c>
      <c r="D418" s="25">
        <v>0</v>
      </c>
      <c r="E418" s="25"/>
    </row>
    <row r="419" spans="1:13" x14ac:dyDescent="0.25">
      <c r="A419" s="46" t="s">
        <v>532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533</v>
      </c>
      <c r="B420" s="16"/>
      <c r="C420" s="16"/>
      <c r="D420" s="25">
        <v>0</v>
      </c>
      <c r="E420" s="25"/>
      <c r="F420" s="11">
        <v>-2663933</v>
      </c>
    </row>
    <row r="421" spans="1:13" x14ac:dyDescent="0.25">
      <c r="A421" s="25" t="s">
        <v>534</v>
      </c>
      <c r="B421" s="16"/>
      <c r="C421" s="22"/>
      <c r="D421" s="25">
        <v>-6069222</v>
      </c>
      <c r="E421" s="25"/>
      <c r="F421" s="50"/>
    </row>
    <row r="422" spans="1:13" x14ac:dyDescent="0.25">
      <c r="A422" s="25" t="s">
        <v>535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537</v>
      </c>
      <c r="B424" s="16"/>
      <c r="C424" s="22"/>
      <c r="D424" s="25">
        <v>-6069222</v>
      </c>
      <c r="E424" s="16"/>
    </row>
    <row r="426" spans="1:13" ht="29.1" customHeight="1" x14ac:dyDescent="0.25">
      <c r="A426" s="343" t="s">
        <v>538</v>
      </c>
      <c r="B426" s="343"/>
      <c r="C426" s="343"/>
      <c r="D426" s="343"/>
      <c r="E426" s="343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539</v>
      </c>
      <c r="D612" s="217">
        <f>CE90-(BE90+CD90)</f>
        <v>68790</v>
      </c>
      <c r="E612" s="219">
        <f>SUM(C624:D647)+SUM(C668:D713)</f>
        <v>48010917.421948984</v>
      </c>
      <c r="F612" s="219">
        <f>CE64-(AX64+BD64+BE64+BG64+BJ64+BN64+BP64+BQ64+CB64+CC64+CD64)</f>
        <v>6578503.5200000014</v>
      </c>
      <c r="G612" s="217">
        <f>CE91-(AX91+AY91+BD91+BE91+BG91+BJ91+BN91+BP91+BQ91+CB91+CC91+CD91)</f>
        <v>26313</v>
      </c>
      <c r="H612" s="222">
        <f>CE60-(AX60+AY60+AZ60+BD60+BE60+BG60+BJ60+BN60+BO60+BP60+BQ60+BR60+CB60+CC60+CD60)</f>
        <v>216.20000000000002</v>
      </c>
      <c r="I612" s="217">
        <f>CE92-(AX92+AY92+AZ92+BD92+BE92+BF92+BG92+BJ92+BN92+BO92+BP92+BQ92+BR92+CB92+CC92+CD92)</f>
        <v>0</v>
      </c>
      <c r="J612" s="217">
        <f>CE93-(AX93+AY93+AZ93+BA93+BD93+BE93+BF93+BG93+BJ93+BN93+BO93+BP93+BQ93+BR93+CB93+CC93+CD93)</f>
        <v>303244</v>
      </c>
      <c r="K612" s="217">
        <f>CE89-(AW89+AX89+AY89+AZ89+BA89+BB89+BC89+BD89+BE89+BF89+BG89+BH89+BI89+BJ89+BK89+BL89+BM89+BN89+BO89+BP89+BQ89+BR89+BS89+BT89+BU89+BV89+BW89+BX89+CB89+CC89+CD89)</f>
        <v>-214018055.31999996</v>
      </c>
      <c r="L612" s="223">
        <f>CE94-(AW94+AX94+AY94+AZ94+BA94+BB94+BC94+BD94+BE94+BF94+BG94+BH94+BI94+BJ94+BK94+BL94+BM94+BN94+BO94+BP94+BQ94+BR94+BS94+BT94+BU94+BV94+BW94+BX94+BY94+BZ94+CA94+CB94+CC94+CD94)</f>
        <v>43.82</v>
      </c>
    </row>
    <row r="613" spans="1:14" s="202" customFormat="1" ht="12.6" customHeight="1" x14ac:dyDescent="0.2">
      <c r="A613" s="212"/>
      <c r="C613" s="210" t="s">
        <v>540</v>
      </c>
      <c r="D613" s="218" t="s">
        <v>541</v>
      </c>
      <c r="E613" s="220" t="s">
        <v>542</v>
      </c>
      <c r="F613" s="221" t="s">
        <v>543</v>
      </c>
      <c r="G613" s="218" t="s">
        <v>544</v>
      </c>
      <c r="H613" s="221" t="s">
        <v>545</v>
      </c>
      <c r="I613" s="218" t="s">
        <v>546</v>
      </c>
      <c r="J613" s="218" t="s">
        <v>547</v>
      </c>
      <c r="K613" s="210" t="s">
        <v>548</v>
      </c>
      <c r="L613" s="211" t="s">
        <v>549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1061764.29</v>
      </c>
      <c r="D614" s="217"/>
      <c r="E614" s="219"/>
      <c r="F614" s="219"/>
      <c r="G614" s="217"/>
      <c r="H614" s="219"/>
      <c r="I614" s="217"/>
      <c r="J614" s="217"/>
      <c r="N614" s="213" t="s">
        <v>550</v>
      </c>
    </row>
    <row r="615" spans="1:14" s="202" customFormat="1" ht="12.6" customHeight="1" x14ac:dyDescent="0.2">
      <c r="A615" s="212"/>
      <c r="B615" s="211" t="s">
        <v>551</v>
      </c>
      <c r="C615" s="217">
        <f>CD69-CD84</f>
        <v>0</v>
      </c>
      <c r="D615" s="217">
        <f>SUM(C614:C615)</f>
        <v>1061764.29</v>
      </c>
      <c r="E615" s="219"/>
      <c r="F615" s="219"/>
      <c r="G615" s="217"/>
      <c r="H615" s="219"/>
      <c r="I615" s="217"/>
      <c r="J615" s="217"/>
      <c r="N615" s="213" t="s">
        <v>552</v>
      </c>
    </row>
    <row r="616" spans="1:14" s="202" customFormat="1" ht="12.6" customHeight="1" x14ac:dyDescent="0.2">
      <c r="A616" s="212">
        <v>8310</v>
      </c>
      <c r="B616" s="216" t="s">
        <v>553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554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147691.84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555</v>
      </c>
    </row>
    <row r="618" spans="1:14" s="202" customFormat="1" ht="12.6" customHeight="1" x14ac:dyDescent="0.2">
      <c r="A618" s="212">
        <v>8470</v>
      </c>
      <c r="B618" s="216" t="s">
        <v>556</v>
      </c>
      <c r="C618" s="217">
        <f>BG85</f>
        <v>39485.910000000003</v>
      </c>
      <c r="D618" s="217">
        <f>(D615/D612)*BG90</f>
        <v>1913.9231277802005</v>
      </c>
      <c r="E618" s="219"/>
      <c r="F618" s="219"/>
      <c r="G618" s="217"/>
      <c r="H618" s="219"/>
      <c r="I618" s="217"/>
      <c r="J618" s="217"/>
      <c r="N618" s="213" t="s">
        <v>557</v>
      </c>
    </row>
    <row r="619" spans="1:14" s="202" customFormat="1" ht="12.6" customHeight="1" x14ac:dyDescent="0.2">
      <c r="A619" s="212">
        <v>8610</v>
      </c>
      <c r="B619" s="216" t="s">
        <v>558</v>
      </c>
      <c r="C619" s="217">
        <f>BN85</f>
        <v>11712126.59</v>
      </c>
      <c r="D619" s="217">
        <f>(D615/D612)*BN90</f>
        <v>79906.290584823379</v>
      </c>
      <c r="E619" s="219"/>
      <c r="F619" s="219"/>
      <c r="G619" s="217"/>
      <c r="H619" s="219"/>
      <c r="I619" s="217"/>
      <c r="J619" s="217"/>
      <c r="N619" s="213" t="s">
        <v>559</v>
      </c>
    </row>
    <row r="620" spans="1:14" s="202" customFormat="1" ht="12.6" customHeight="1" x14ac:dyDescent="0.2">
      <c r="A620" s="212">
        <v>8790</v>
      </c>
      <c r="B620" s="216" t="s">
        <v>560</v>
      </c>
      <c r="C620" s="217">
        <f>CC85</f>
        <v>3775569.9099999997</v>
      </c>
      <c r="D620" s="217">
        <f>(D615/D612)*CC90</f>
        <v>196887.12433842127</v>
      </c>
      <c r="E620" s="219"/>
      <c r="F620" s="219"/>
      <c r="G620" s="217"/>
      <c r="H620" s="219"/>
      <c r="I620" s="217"/>
      <c r="J620" s="217"/>
      <c r="N620" s="213" t="s">
        <v>561</v>
      </c>
    </row>
    <row r="621" spans="1:14" s="202" customFormat="1" ht="12.6" customHeight="1" x14ac:dyDescent="0.2">
      <c r="A621" s="212">
        <v>8630</v>
      </c>
      <c r="B621" s="216" t="s">
        <v>562</v>
      </c>
      <c r="C621" s="217">
        <f>BP85</f>
        <v>2105.84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563</v>
      </c>
    </row>
    <row r="622" spans="1:14" s="202" customFormat="1" ht="12.6" customHeight="1" x14ac:dyDescent="0.2">
      <c r="A622" s="212">
        <v>8770</v>
      </c>
      <c r="B622" s="211" t="s">
        <v>564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565</v>
      </c>
    </row>
    <row r="623" spans="1:14" s="202" customFormat="1" ht="12.6" customHeight="1" x14ac:dyDescent="0.2">
      <c r="A623" s="212">
        <v>8640</v>
      </c>
      <c r="B623" s="216" t="s">
        <v>566</v>
      </c>
      <c r="C623" s="217">
        <f>BQ85</f>
        <v>0</v>
      </c>
      <c r="D623" s="217">
        <f>(D615/D612)*BQ90</f>
        <v>0</v>
      </c>
      <c r="E623" s="219">
        <f>SUM(C616:D623)</f>
        <v>15955687.428051025</v>
      </c>
      <c r="F623" s="219"/>
      <c r="G623" s="217"/>
      <c r="H623" s="219"/>
      <c r="I623" s="217"/>
      <c r="J623" s="217"/>
      <c r="N623" s="213" t="s">
        <v>567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155943.53000000003</v>
      </c>
      <c r="D624" s="217">
        <f>(D615/D612)*BD90</f>
        <v>50580.049110771914</v>
      </c>
      <c r="E624" s="219">
        <f>(E623/E612)*SUM(C624:D624)</f>
        <v>68634.924133055174</v>
      </c>
      <c r="F624" s="219">
        <f>SUM(C624:E624)</f>
        <v>275158.50324382714</v>
      </c>
      <c r="G624" s="217"/>
      <c r="H624" s="219"/>
      <c r="I624" s="217"/>
      <c r="J624" s="217"/>
      <c r="N624" s="213" t="s">
        <v>568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815083.53</v>
      </c>
      <c r="D625" s="217">
        <f>(D615/D612)*AY90</f>
        <v>34604.964939380727</v>
      </c>
      <c r="E625" s="219">
        <f>(E623/E612)*SUM(C625:D625)</f>
        <v>282380.8576143955</v>
      </c>
      <c r="F625" s="219">
        <f>(F624/F612)*AY64</f>
        <v>13514.116245786874</v>
      </c>
      <c r="G625" s="217">
        <f>SUM(C625:F625)</f>
        <v>1145583.4687995631</v>
      </c>
      <c r="H625" s="219"/>
      <c r="I625" s="217"/>
      <c r="J625" s="217"/>
      <c r="N625" s="213" t="s">
        <v>569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41137.58</v>
      </c>
      <c r="D626" s="217">
        <f>(D615/D612)*BR90</f>
        <v>0</v>
      </c>
      <c r="E626" s="219">
        <f>(E623/E612)*SUM(C626:D626)</f>
        <v>13671.439815610962</v>
      </c>
      <c r="F626" s="219">
        <f>(F624/F612)*BR64</f>
        <v>12.598266600462459</v>
      </c>
      <c r="G626" s="217">
        <f>(G625/G612)*BR91</f>
        <v>0</v>
      </c>
      <c r="H626" s="219"/>
      <c r="I626" s="217"/>
      <c r="J626" s="217"/>
      <c r="N626" s="213" t="s">
        <v>570</v>
      </c>
    </row>
    <row r="627" spans="1:14" s="202" customFormat="1" ht="12.6" customHeight="1" x14ac:dyDescent="0.2">
      <c r="A627" s="212">
        <v>8620</v>
      </c>
      <c r="B627" s="211" t="s">
        <v>571</v>
      </c>
      <c r="C627" s="217">
        <f>BO85</f>
        <v>290.77999999999997</v>
      </c>
      <c r="D627" s="217">
        <f>(D615/D612)*BO90</f>
        <v>0</v>
      </c>
      <c r="E627" s="219">
        <f>(E623/E612)*SUM(C627:D627)</f>
        <v>96.636245242995699</v>
      </c>
      <c r="F627" s="219">
        <f>(F624/F612)*BO64</f>
        <v>12.16243015299626</v>
      </c>
      <c r="G627" s="217">
        <f>(G625/G612)*BO91</f>
        <v>0</v>
      </c>
      <c r="H627" s="219"/>
      <c r="I627" s="217"/>
      <c r="J627" s="217"/>
      <c r="N627" s="213" t="s">
        <v>572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55221.196757607417</v>
      </c>
      <c r="I628" s="217"/>
      <c r="J628" s="217"/>
      <c r="N628" s="213" t="s">
        <v>573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753450.2</v>
      </c>
      <c r="D629" s="217">
        <f>(D615/D612)*BF90</f>
        <v>7346.9952324465767</v>
      </c>
      <c r="E629" s="219">
        <f>(E623/E612)*SUM(C629:D629)</f>
        <v>252839.20606185429</v>
      </c>
      <c r="F629" s="219">
        <f>(F624/F612)*BF64</f>
        <v>3987.2049848461638</v>
      </c>
      <c r="G629" s="217">
        <f>(G625/G612)*BF91</f>
        <v>0</v>
      </c>
      <c r="H629" s="219">
        <f>(H628/H612)*BF60</f>
        <v>2025.4583269557206</v>
      </c>
      <c r="I629" s="217">
        <f>SUM(C629:H629)</f>
        <v>1019649.0646061026</v>
      </c>
      <c r="J629" s="217"/>
      <c r="N629" s="213" t="s">
        <v>574</v>
      </c>
    </row>
    <row r="630" spans="1:14" s="202" customFormat="1" ht="12.6" customHeight="1" x14ac:dyDescent="0.2">
      <c r="A630" s="212">
        <v>8350</v>
      </c>
      <c r="B630" s="216" t="s">
        <v>575</v>
      </c>
      <c r="C630" s="217">
        <f>BA85</f>
        <v>0</v>
      </c>
      <c r="D630" s="217">
        <f>(D615/D612)*BA90</f>
        <v>0</v>
      </c>
      <c r="E630" s="219">
        <f>(E623/E612)*SUM(C630:D630)</f>
        <v>0</v>
      </c>
      <c r="F630" s="219">
        <f>(F624/F612)*BA64</f>
        <v>0</v>
      </c>
      <c r="G630" s="217">
        <f>(G625/G612)*BA91</f>
        <v>0</v>
      </c>
      <c r="H630" s="219">
        <f>(H628/H612)*BA60</f>
        <v>0</v>
      </c>
      <c r="I630" s="217" t="e">
        <f>(I629/I612)*BA92</f>
        <v>#DIV/0!</v>
      </c>
      <c r="J630" s="217" t="e">
        <f>SUM(C630:I630)</f>
        <v>#DIV/0!</v>
      </c>
      <c r="N630" s="213" t="s">
        <v>576</v>
      </c>
    </row>
    <row r="631" spans="1:14" s="202" customFormat="1" ht="12.6" customHeight="1" x14ac:dyDescent="0.2">
      <c r="A631" s="212">
        <v>8200</v>
      </c>
      <c r="B631" s="216" t="s">
        <v>577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 t="e">
        <f>(I629/I612)*AW92</f>
        <v>#DIV/0!</v>
      </c>
      <c r="J631" s="217" t="e">
        <f>(J630/J612)*AW93</f>
        <v>#DIV/0!</v>
      </c>
      <c r="N631" s="213" t="s">
        <v>578</v>
      </c>
    </row>
    <row r="632" spans="1:14" s="202" customFormat="1" ht="12.6" customHeight="1" x14ac:dyDescent="0.2">
      <c r="A632" s="212">
        <v>8360</v>
      </c>
      <c r="B632" s="216" t="s">
        <v>579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 t="e">
        <f>(I629/I612)*BB92</f>
        <v>#DIV/0!</v>
      </c>
      <c r="J632" s="217" t="e">
        <f>(J630/J612)*BB93</f>
        <v>#DIV/0!</v>
      </c>
      <c r="N632" s="213" t="s">
        <v>580</v>
      </c>
    </row>
    <row r="633" spans="1:14" s="202" customFormat="1" ht="12.6" customHeight="1" x14ac:dyDescent="0.2">
      <c r="A633" s="212">
        <v>8370</v>
      </c>
      <c r="B633" s="216" t="s">
        <v>581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 t="e">
        <f>(I629/I612)*BC92</f>
        <v>#DIV/0!</v>
      </c>
      <c r="J633" s="217" t="e">
        <f>(J630/J612)*BC93</f>
        <v>#DIV/0!</v>
      </c>
      <c r="N633" s="213" t="s">
        <v>582</v>
      </c>
    </row>
    <row r="634" spans="1:14" s="202" customFormat="1" ht="12.6" customHeight="1" x14ac:dyDescent="0.2">
      <c r="A634" s="212">
        <v>8490</v>
      </c>
      <c r="B634" s="216" t="s">
        <v>583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 t="e">
        <f>(I629/I612)*BI92</f>
        <v>#DIV/0!</v>
      </c>
      <c r="J634" s="217" t="e">
        <f>(J630/J612)*BI93</f>
        <v>#DIV/0!</v>
      </c>
      <c r="N634" s="213" t="s">
        <v>584</v>
      </c>
    </row>
    <row r="635" spans="1:14" s="202" customFormat="1" ht="12.6" customHeight="1" x14ac:dyDescent="0.2">
      <c r="A635" s="212">
        <v>8530</v>
      </c>
      <c r="B635" s="216" t="s">
        <v>585</v>
      </c>
      <c r="C635" s="217">
        <f>BK85</f>
        <v>0</v>
      </c>
      <c r="D635" s="217">
        <f>(D615/D612)*BK90</f>
        <v>0</v>
      </c>
      <c r="E635" s="219">
        <f>(E623/E612)*SUM(C635:D635)</f>
        <v>0</v>
      </c>
      <c r="F635" s="219">
        <f>(F624/F612)*BK64</f>
        <v>0</v>
      </c>
      <c r="G635" s="217">
        <f>(G625/G612)*BK91</f>
        <v>0</v>
      </c>
      <c r="H635" s="219">
        <f>(H628/H612)*BK60</f>
        <v>0</v>
      </c>
      <c r="I635" s="217" t="e">
        <f>(I629/I612)*BK92</f>
        <v>#DIV/0!</v>
      </c>
      <c r="J635" s="217" t="e">
        <f>(J630/J612)*BK93</f>
        <v>#DIV/0!</v>
      </c>
      <c r="N635" s="213" t="s">
        <v>586</v>
      </c>
    </row>
    <row r="636" spans="1:14" s="202" customFormat="1" ht="12.6" customHeight="1" x14ac:dyDescent="0.2">
      <c r="A636" s="212">
        <v>8480</v>
      </c>
      <c r="B636" s="216" t="s">
        <v>587</v>
      </c>
      <c r="C636" s="217">
        <f>BH85</f>
        <v>581343.12</v>
      </c>
      <c r="D636" s="217">
        <f>(D615/D612)*BH90</f>
        <v>0</v>
      </c>
      <c r="E636" s="219">
        <f>(E623/E612)*SUM(C636:D636)</f>
        <v>193200.41376521176</v>
      </c>
      <c r="F636" s="219">
        <f>(F624/F612)*BH64</f>
        <v>5278.0801816792264</v>
      </c>
      <c r="G636" s="217">
        <f>(G625/G612)*BH91</f>
        <v>0</v>
      </c>
      <c r="H636" s="219">
        <f>(H628/H612)*BH60</f>
        <v>0</v>
      </c>
      <c r="I636" s="217" t="e">
        <f>(I629/I612)*BH92</f>
        <v>#DIV/0!</v>
      </c>
      <c r="J636" s="217" t="e">
        <f>(J630/J612)*BH93</f>
        <v>#DIV/0!</v>
      </c>
      <c r="N636" s="213" t="s">
        <v>588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730038.21</v>
      </c>
      <c r="D637" s="217">
        <f>(D615/D612)*BL90</f>
        <v>0</v>
      </c>
      <c r="E637" s="219">
        <f>(E623/E612)*SUM(C637:D637)</f>
        <v>242616.93203905906</v>
      </c>
      <c r="F637" s="219">
        <f>(F624/F612)*BL64</f>
        <v>383.83304486209778</v>
      </c>
      <c r="G637" s="217">
        <f>(G625/G612)*BL91</f>
        <v>0</v>
      </c>
      <c r="H637" s="219">
        <f>(H628/H612)*BL60</f>
        <v>3274.4483923798662</v>
      </c>
      <c r="I637" s="217" t="e">
        <f>(I629/I612)*BL92</f>
        <v>#DIV/0!</v>
      </c>
      <c r="J637" s="217" t="e">
        <f>(J630/J612)*BL93</f>
        <v>#DIV/0!</v>
      </c>
      <c r="N637" s="213" t="s">
        <v>589</v>
      </c>
    </row>
    <row r="638" spans="1:14" s="202" customFormat="1" ht="12.6" customHeight="1" x14ac:dyDescent="0.2">
      <c r="A638" s="212">
        <v>8590</v>
      </c>
      <c r="B638" s="216" t="s">
        <v>590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 t="e">
        <f>(I629/I612)*BM92</f>
        <v>#DIV/0!</v>
      </c>
      <c r="J638" s="217" t="e">
        <f>(J630/J612)*BM93</f>
        <v>#DIV/0!</v>
      </c>
      <c r="N638" s="213" t="s">
        <v>591</v>
      </c>
    </row>
    <row r="639" spans="1:14" s="202" customFormat="1" ht="12.6" customHeight="1" x14ac:dyDescent="0.2">
      <c r="A639" s="212">
        <v>8660</v>
      </c>
      <c r="B639" s="216" t="s">
        <v>592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 t="e">
        <f>(I629/I612)*BS92</f>
        <v>#DIV/0!</v>
      </c>
      <c r="J639" s="217" t="e">
        <f>(J630/J612)*BS93</f>
        <v>#DIV/0!</v>
      </c>
      <c r="N639" s="213" t="s">
        <v>593</v>
      </c>
    </row>
    <row r="640" spans="1:14" s="202" customFormat="1" ht="12.6" customHeight="1" x14ac:dyDescent="0.2">
      <c r="A640" s="212">
        <v>8670</v>
      </c>
      <c r="B640" s="216" t="s">
        <v>594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 t="e">
        <f>(I629/I612)*BT92</f>
        <v>#DIV/0!</v>
      </c>
      <c r="J640" s="217" t="e">
        <f>(J630/J612)*BT93</f>
        <v>#DIV/0!</v>
      </c>
      <c r="N640" s="213" t="s">
        <v>595</v>
      </c>
    </row>
    <row r="641" spans="1:14" s="202" customFormat="1" ht="12.6" customHeight="1" x14ac:dyDescent="0.2">
      <c r="A641" s="212">
        <v>8680</v>
      </c>
      <c r="B641" s="216" t="s">
        <v>596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 t="e">
        <f>(I629/I612)*BU92</f>
        <v>#DIV/0!</v>
      </c>
      <c r="J641" s="217" t="e">
        <f>(J630/J612)*BU93</f>
        <v>#DIV/0!</v>
      </c>
      <c r="N641" s="213" t="s">
        <v>597</v>
      </c>
    </row>
    <row r="642" spans="1:14" s="202" customFormat="1" ht="12.6" customHeight="1" x14ac:dyDescent="0.2">
      <c r="A642" s="212">
        <v>8690</v>
      </c>
      <c r="B642" s="216" t="s">
        <v>598</v>
      </c>
      <c r="C642" s="217">
        <f>BV85</f>
        <v>365805.9</v>
      </c>
      <c r="D642" s="217">
        <f>(D615/D612)*BV90</f>
        <v>0</v>
      </c>
      <c r="E642" s="219">
        <f>(E623/E612)*SUM(C642:D642)</f>
        <v>121569.94519476843</v>
      </c>
      <c r="F642" s="219">
        <f>(F624/F612)*BV64</f>
        <v>1379.749442700688</v>
      </c>
      <c r="G642" s="217">
        <f>(G625/G612)*BV91</f>
        <v>0</v>
      </c>
      <c r="H642" s="219">
        <f>(H628/H612)*BV60</f>
        <v>850.53924700662674</v>
      </c>
      <c r="I642" s="217" t="e">
        <f>(I629/I612)*BV92</f>
        <v>#DIV/0!</v>
      </c>
      <c r="J642" s="217" t="e">
        <f>(J630/J612)*BV93</f>
        <v>#DIV/0!</v>
      </c>
      <c r="N642" s="213" t="s">
        <v>599</v>
      </c>
    </row>
    <row r="643" spans="1:14" s="202" customFormat="1" ht="12.6" customHeight="1" x14ac:dyDescent="0.2">
      <c r="A643" s="212">
        <v>8700</v>
      </c>
      <c r="B643" s="216" t="s">
        <v>600</v>
      </c>
      <c r="C643" s="217">
        <f>BW85</f>
        <v>344543.95</v>
      </c>
      <c r="D643" s="217">
        <f>(D615/D612)*BW90</f>
        <v>0</v>
      </c>
      <c r="E643" s="219">
        <f>(E623/E612)*SUM(C643:D643)</f>
        <v>114503.86425885704</v>
      </c>
      <c r="F643" s="219">
        <f>(F624/F612)*BW64</f>
        <v>0</v>
      </c>
      <c r="G643" s="217">
        <f>(G625/G612)*BW91</f>
        <v>0</v>
      </c>
      <c r="H643" s="219">
        <f>(H628/H612)*BW60</f>
        <v>0</v>
      </c>
      <c r="I643" s="217" t="e">
        <f>(I629/I612)*BW92</f>
        <v>#DIV/0!</v>
      </c>
      <c r="J643" s="217" t="e">
        <f>(J630/J612)*BW93</f>
        <v>#DIV/0!</v>
      </c>
      <c r="N643" s="213" t="s">
        <v>601</v>
      </c>
    </row>
    <row r="644" spans="1:14" s="202" customFormat="1" ht="12.6" customHeight="1" x14ac:dyDescent="0.2">
      <c r="A644" s="212">
        <v>8710</v>
      </c>
      <c r="B644" s="216" t="s">
        <v>602</v>
      </c>
      <c r="C644" s="217">
        <f>BX85</f>
        <v>423282.99</v>
      </c>
      <c r="D644" s="217">
        <f>(D615/D612)*BX90</f>
        <v>6390.0336685564762</v>
      </c>
      <c r="E644" s="219">
        <f>(E623/E612)*SUM(C644:D644)</f>
        <v>142795.19805190907</v>
      </c>
      <c r="F644" s="219">
        <f>(F624/F612)*BX64</f>
        <v>54.822536630896899</v>
      </c>
      <c r="G644" s="217">
        <f>(G625/G612)*BX91</f>
        <v>0</v>
      </c>
      <c r="H644" s="219">
        <f>(H628/H612)*BX60</f>
        <v>648.75966588493452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603</v>
      </c>
    </row>
    <row r="645" spans="1:14" s="202" customFormat="1" ht="12.6" customHeight="1" x14ac:dyDescent="0.2">
      <c r="A645" s="212">
        <v>8720</v>
      </c>
      <c r="B645" s="216" t="s">
        <v>604</v>
      </c>
      <c r="C645" s="217">
        <f>BY85</f>
        <v>1210717.9400000002</v>
      </c>
      <c r="D645" s="217">
        <f>(D615/D612)*BY90</f>
        <v>8072.4338373310075</v>
      </c>
      <c r="E645" s="219">
        <f>(E623/E612)*SUM(C645:D645)</f>
        <v>405046.17052736343</v>
      </c>
      <c r="F645" s="219">
        <f>(F624/F612)*BY64</f>
        <v>310.50209863390791</v>
      </c>
      <c r="G645" s="217">
        <f>(G625/G612)*BY91</f>
        <v>0</v>
      </c>
      <c r="H645" s="219">
        <f>(H628/H612)*BY60</f>
        <v>1254.0984092500112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605</v>
      </c>
    </row>
    <row r="646" spans="1:14" s="202" customFormat="1" ht="12.6" customHeight="1" x14ac:dyDescent="0.2">
      <c r="A646" s="212">
        <v>8730</v>
      </c>
      <c r="B646" s="216" t="s">
        <v>606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607</v>
      </c>
    </row>
    <row r="647" spans="1:14" s="202" customFormat="1" ht="12.6" customHeight="1" x14ac:dyDescent="0.2">
      <c r="A647" s="212">
        <v>8740</v>
      </c>
      <c r="B647" s="216" t="s">
        <v>608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609</v>
      </c>
    </row>
    <row r="648" spans="1:14" s="202" customFormat="1" ht="12.6" customHeight="1" x14ac:dyDescent="0.2">
      <c r="A648" s="212"/>
      <c r="B648" s="212"/>
      <c r="C648" s="202">
        <f>SUM(C614:C647)</f>
        <v>22160382.109999999</v>
      </c>
      <c r="L648" s="215"/>
    </row>
    <row r="666" spans="1:14" s="202" customFormat="1" ht="12.6" customHeight="1" x14ac:dyDescent="0.2">
      <c r="C666" s="210" t="s">
        <v>610</v>
      </c>
      <c r="M666" s="210" t="s">
        <v>611</v>
      </c>
    </row>
    <row r="667" spans="1:14" s="202" customFormat="1" ht="12.6" customHeight="1" x14ac:dyDescent="0.2">
      <c r="C667" s="210" t="s">
        <v>540</v>
      </c>
      <c r="D667" s="210" t="s">
        <v>541</v>
      </c>
      <c r="E667" s="211" t="s">
        <v>542</v>
      </c>
      <c r="F667" s="210" t="s">
        <v>543</v>
      </c>
      <c r="G667" s="210" t="s">
        <v>544</v>
      </c>
      <c r="H667" s="210" t="s">
        <v>545</v>
      </c>
      <c r="I667" s="210" t="s">
        <v>546</v>
      </c>
      <c r="J667" s="210" t="s">
        <v>547</v>
      </c>
      <c r="K667" s="210" t="s">
        <v>548</v>
      </c>
      <c r="L667" s="211" t="s">
        <v>549</v>
      </c>
      <c r="M667" s="210" t="s">
        <v>612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476950.54</v>
      </c>
      <c r="D668" s="217">
        <f>(D615/D612)*C90</f>
        <v>36966.49912123855</v>
      </c>
      <c r="E668" s="219">
        <f>(E623/E612)*SUM(C668:D668)</f>
        <v>170792.39640647301</v>
      </c>
      <c r="F668" s="219">
        <f>(F624/F612)*C64</f>
        <v>6840.6165862170619</v>
      </c>
      <c r="G668" s="217">
        <f>(G625/G612)*C91</f>
        <v>223996.76764237267</v>
      </c>
      <c r="H668" s="219">
        <f>(H628/H612)*C60</f>
        <v>546.592789367622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0">ROUND(SUM(D668:L668),0)</f>
        <v>#DIV/0!</v>
      </c>
      <c r="N668" s="211" t="s">
        <v>613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0"/>
        <v>#DIV/0!</v>
      </c>
      <c r="N669" s="211" t="s">
        <v>614</v>
      </c>
    </row>
    <row r="670" spans="1:14" s="202" customFormat="1" ht="12.6" customHeight="1" x14ac:dyDescent="0.2">
      <c r="A670" s="212">
        <v>6070</v>
      </c>
      <c r="B670" s="211" t="s">
        <v>615</v>
      </c>
      <c r="C670" s="217">
        <f>E85</f>
        <v>4248586.66</v>
      </c>
      <c r="D670" s="217">
        <f>(D615/D612)*E90</f>
        <v>43665.230068469253</v>
      </c>
      <c r="E670" s="219">
        <f>(E623/E612)*SUM(C670:D670)</f>
        <v>1426463.6711375213</v>
      </c>
      <c r="F670" s="219">
        <f>(F624/F612)*E64</f>
        <v>2674.4041195138893</v>
      </c>
      <c r="G670" s="217">
        <f>(G625/G612)*E91</f>
        <v>0</v>
      </c>
      <c r="H670" s="219">
        <f>(H628/H612)*E60</f>
        <v>3667.7908669715193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0"/>
        <v>#DIV/0!</v>
      </c>
      <c r="N670" s="211" t="s">
        <v>616</v>
      </c>
    </row>
    <row r="671" spans="1:14" s="202" customFormat="1" ht="12.6" customHeight="1" x14ac:dyDescent="0.2">
      <c r="A671" s="212">
        <v>6100</v>
      </c>
      <c r="B671" s="211" t="s">
        <v>617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0"/>
        <v>#DIV/0!</v>
      </c>
      <c r="N671" s="211" t="s">
        <v>618</v>
      </c>
    </row>
    <row r="672" spans="1:14" s="202" customFormat="1" ht="12.6" customHeight="1" x14ac:dyDescent="0.2">
      <c r="A672" s="212">
        <v>6120</v>
      </c>
      <c r="B672" s="211" t="s">
        <v>619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0"/>
        <v>#DIV/0!</v>
      </c>
      <c r="N672" s="211" t="s">
        <v>620</v>
      </c>
    </row>
    <row r="673" spans="1:14" s="202" customFormat="1" ht="12.6" customHeight="1" x14ac:dyDescent="0.2">
      <c r="A673" s="212">
        <v>6140</v>
      </c>
      <c r="B673" s="211" t="s">
        <v>621</v>
      </c>
      <c r="C673" s="217">
        <f>H85</f>
        <v>3938699.3299999996</v>
      </c>
      <c r="D673" s="217">
        <f>(D615/D612)*H90</f>
        <v>69503.192293501968</v>
      </c>
      <c r="E673" s="219">
        <f>(E623/E612)*SUM(C673:D673)</f>
        <v>1332064.247637213</v>
      </c>
      <c r="F673" s="219">
        <f>(F624/F612)*H64</f>
        <v>969.13169670001719</v>
      </c>
      <c r="G673" s="217">
        <f>(G625/G612)*H91</f>
        <v>732375.82609912404</v>
      </c>
      <c r="H673" s="219">
        <f>(H628/H612)*H60</f>
        <v>6878.3849615280651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0"/>
        <v>#DIV/0!</v>
      </c>
      <c r="N673" s="211" t="s">
        <v>622</v>
      </c>
    </row>
    <row r="674" spans="1:14" s="202" customFormat="1" ht="12.6" customHeight="1" x14ac:dyDescent="0.2">
      <c r="A674" s="212">
        <v>6150</v>
      </c>
      <c r="B674" s="211" t="s">
        <v>623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0"/>
        <v>#DIV/0!</v>
      </c>
      <c r="N674" s="211" t="s">
        <v>624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0"/>
        <v>#DIV/0!</v>
      </c>
      <c r="N675" s="211" t="s">
        <v>625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0"/>
        <v>#DIV/0!</v>
      </c>
      <c r="N676" s="211" t="s">
        <v>626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0"/>
        <v>#DIV/0!</v>
      </c>
      <c r="N677" s="211" t="s">
        <v>627</v>
      </c>
    </row>
    <row r="678" spans="1:14" s="202" customFormat="1" ht="12.6" customHeight="1" x14ac:dyDescent="0.2">
      <c r="A678" s="212">
        <v>6330</v>
      </c>
      <c r="B678" s="211" t="s">
        <v>628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0"/>
        <v>#DIV/0!</v>
      </c>
      <c r="N678" s="211" t="s">
        <v>629</v>
      </c>
    </row>
    <row r="679" spans="1:14" s="202" customFormat="1" ht="12.6" customHeight="1" x14ac:dyDescent="0.2">
      <c r="A679" s="212">
        <v>6400</v>
      </c>
      <c r="B679" s="211" t="s">
        <v>630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0"/>
        <v>#DIV/0!</v>
      </c>
      <c r="N679" s="211" t="s">
        <v>631</v>
      </c>
    </row>
    <row r="680" spans="1:14" s="202" customFormat="1" ht="12.6" customHeight="1" x14ac:dyDescent="0.2">
      <c r="A680" s="212">
        <v>7010</v>
      </c>
      <c r="B680" s="211" t="s">
        <v>632</v>
      </c>
      <c r="C680" s="217">
        <f>O85</f>
        <v>120877.92000000001</v>
      </c>
      <c r="D680" s="217">
        <f>(D615/D612)*O90</f>
        <v>108059.48239991277</v>
      </c>
      <c r="E680" s="219">
        <f>(E623/E612)*SUM(C680:D680)</f>
        <v>76083.81237916075</v>
      </c>
      <c r="F680" s="219">
        <f>(F624/F612)*O64</f>
        <v>-255.45286012726564</v>
      </c>
      <c r="G680" s="217">
        <f>(G625/G612)*O91</f>
        <v>175235.5665229446</v>
      </c>
      <c r="H680" s="219">
        <f>(H628/H612)*O60</f>
        <v>283.51308233554226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0"/>
        <v>#DIV/0!</v>
      </c>
      <c r="N680" s="211" t="s">
        <v>633</v>
      </c>
    </row>
    <row r="681" spans="1:14" s="202" customFormat="1" ht="12.6" customHeight="1" x14ac:dyDescent="0.2">
      <c r="A681" s="212">
        <v>7020</v>
      </c>
      <c r="B681" s="211" t="s">
        <v>634</v>
      </c>
      <c r="C681" s="217">
        <f>P85</f>
        <v>7701121.0199999996</v>
      </c>
      <c r="D681" s="217">
        <f>(D615/D612)*P90</f>
        <v>194170.58828608808</v>
      </c>
      <c r="E681" s="219">
        <f>(E623/E612)*SUM(C681:D681)</f>
        <v>2623878.3139256495</v>
      </c>
      <c r="F681" s="219">
        <f>(F624/F612)*P64</f>
        <v>130519.4691151085</v>
      </c>
      <c r="G681" s="217">
        <f>(G625/G612)*P91</f>
        <v>0</v>
      </c>
      <c r="H681" s="219">
        <f>(H628/H612)*P60</f>
        <v>6965.2268065677808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0"/>
        <v>#DIV/0!</v>
      </c>
      <c r="N681" s="211" t="s">
        <v>635</v>
      </c>
    </row>
    <row r="682" spans="1:14" s="202" customFormat="1" ht="12.6" customHeight="1" x14ac:dyDescent="0.2">
      <c r="A682" s="212">
        <v>7030</v>
      </c>
      <c r="B682" s="211" t="s">
        <v>636</v>
      </c>
      <c r="C682" s="217">
        <f>Q85</f>
        <v>689841.49999999988</v>
      </c>
      <c r="D682" s="217">
        <f>(D615/D612)*Q90</f>
        <v>0</v>
      </c>
      <c r="E682" s="219">
        <f>(E623/E612)*SUM(C682:D682)</f>
        <v>229258.1758470184</v>
      </c>
      <c r="F682" s="219">
        <f>(F624/F612)*Q64</f>
        <v>1890.9195090538742</v>
      </c>
      <c r="G682" s="217">
        <f>(G625/G612)*Q91</f>
        <v>0</v>
      </c>
      <c r="H682" s="219">
        <f>(H628/H612)*Q60</f>
        <v>1067.6438596059156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0"/>
        <v>#DIV/0!</v>
      </c>
      <c r="N682" s="211" t="s">
        <v>637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1221112.68</v>
      </c>
      <c r="D683" s="217">
        <f>(D615/D612)*R90</f>
        <v>0</v>
      </c>
      <c r="E683" s="219">
        <f>(E623/E612)*SUM(C683:D683)</f>
        <v>405817.95313918334</v>
      </c>
      <c r="F683" s="219">
        <f>(F624/F612)*R64</f>
        <v>-148.31154595811356</v>
      </c>
      <c r="G683" s="217">
        <f>(G625/G612)*R91</f>
        <v>0</v>
      </c>
      <c r="H683" s="219">
        <f>(H628/H612)*R60</f>
        <v>0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0"/>
        <v>#DIV/0!</v>
      </c>
      <c r="N683" s="211" t="s">
        <v>638</v>
      </c>
    </row>
    <row r="684" spans="1:14" s="202" customFormat="1" ht="12.6" customHeight="1" x14ac:dyDescent="0.2">
      <c r="A684" s="212">
        <v>7050</v>
      </c>
      <c r="B684" s="211" t="s">
        <v>639</v>
      </c>
      <c r="C684" s="217">
        <f>S85</f>
        <v>46412.259999999995</v>
      </c>
      <c r="D684" s="217">
        <f>(D615/D612)*S90</f>
        <v>0</v>
      </c>
      <c r="E684" s="219">
        <f>(E623/E612)*SUM(C684:D684)</f>
        <v>15424.3983067669</v>
      </c>
      <c r="F684" s="219">
        <f>(F624/F612)*S64</f>
        <v>1498.415744848231</v>
      </c>
      <c r="G684" s="217">
        <f>(G625/G612)*S91</f>
        <v>0</v>
      </c>
      <c r="H684" s="219">
        <f>(H628/H612)*S60</f>
        <v>0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0"/>
        <v>#DIV/0!</v>
      </c>
      <c r="N684" s="211" t="s">
        <v>640</v>
      </c>
    </row>
    <row r="685" spans="1:14" s="202" customFormat="1" ht="12.6" customHeight="1" x14ac:dyDescent="0.2">
      <c r="A685" s="212">
        <v>7060</v>
      </c>
      <c r="B685" s="211" t="s">
        <v>641</v>
      </c>
      <c r="C685" s="217">
        <f>T85</f>
        <v>54.35</v>
      </c>
      <c r="D685" s="217">
        <f>(D615/D612)*T90</f>
        <v>0</v>
      </c>
      <c r="E685" s="219">
        <f>(E623/E612)*SUM(C685:D685)</f>
        <v>18.062383688550852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0"/>
        <v>#DIV/0!</v>
      </c>
      <c r="N685" s="211" t="s">
        <v>642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2674856.27</v>
      </c>
      <c r="D686" s="217">
        <f>(D615/D612)*U90</f>
        <v>43541.751156999562</v>
      </c>
      <c r="E686" s="219">
        <f>(E623/E612)*SUM(C686:D686)</f>
        <v>903417.6278994499</v>
      </c>
      <c r="F686" s="219">
        <f>(F624/F612)*U64</f>
        <v>36447.123236605796</v>
      </c>
      <c r="G686" s="217">
        <f>(G625/G612)*U91</f>
        <v>0</v>
      </c>
      <c r="H686" s="219">
        <f>(H628/H612)*U60</f>
        <v>2939.8518717856678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0"/>
        <v>#DIV/0!</v>
      </c>
      <c r="N686" s="211" t="s">
        <v>643</v>
      </c>
    </row>
    <row r="687" spans="1:14" s="202" customFormat="1" ht="12.6" customHeight="1" x14ac:dyDescent="0.2">
      <c r="A687" s="212">
        <v>7110</v>
      </c>
      <c r="B687" s="211" t="s">
        <v>644</v>
      </c>
      <c r="C687" s="217">
        <f>V85</f>
        <v>88010.51</v>
      </c>
      <c r="D687" s="217">
        <f>(D615/D612)*V90</f>
        <v>0</v>
      </c>
      <c r="E687" s="219">
        <f>(E623/E612)*SUM(C687:D687)</f>
        <v>29248.93468712128</v>
      </c>
      <c r="F687" s="219">
        <f>(F624/F612)*V64</f>
        <v>65.462885370908992</v>
      </c>
      <c r="G687" s="217">
        <f>(G625/G612)*V91</f>
        <v>0</v>
      </c>
      <c r="H687" s="219">
        <f>(H628/H612)*V60</f>
        <v>168.57534625356567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0"/>
        <v>#DIV/0!</v>
      </c>
      <c r="N687" s="211" t="s">
        <v>645</v>
      </c>
    </row>
    <row r="688" spans="1:14" s="202" customFormat="1" ht="12.6" customHeight="1" x14ac:dyDescent="0.2">
      <c r="A688" s="212">
        <v>7120</v>
      </c>
      <c r="B688" s="211" t="s">
        <v>646</v>
      </c>
      <c r="C688" s="217">
        <f>W85</f>
        <v>546617.09</v>
      </c>
      <c r="D688" s="217">
        <f>(D615/D612)*W90</f>
        <v>0</v>
      </c>
      <c r="E688" s="219">
        <f>(E623/E612)*SUM(C688:D688)</f>
        <v>181659.75363935845</v>
      </c>
      <c r="F688" s="219">
        <f>(F624/F612)*W64</f>
        <v>11.852074448562558</v>
      </c>
      <c r="G688" s="217">
        <f>(G625/G612)*W91</f>
        <v>0</v>
      </c>
      <c r="H688" s="219">
        <f>(H628/H612)*W60</f>
        <v>229.87547216395316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0"/>
        <v>#DIV/0!</v>
      </c>
      <c r="N688" s="211" t="s">
        <v>647</v>
      </c>
    </row>
    <row r="689" spans="1:14" s="202" customFormat="1" ht="12.6" customHeight="1" x14ac:dyDescent="0.2">
      <c r="A689" s="212">
        <v>7130</v>
      </c>
      <c r="B689" s="211" t="s">
        <v>648</v>
      </c>
      <c r="C689" s="217">
        <f>X85</f>
        <v>168202.69</v>
      </c>
      <c r="D689" s="217">
        <f>(D615/D612)*X90</f>
        <v>0</v>
      </c>
      <c r="E689" s="219">
        <f>(E623/E612)*SUM(C689:D689)</f>
        <v>55899.568063042789</v>
      </c>
      <c r="F689" s="219">
        <f>(F624/F612)*X64</f>
        <v>1905.8057078689626</v>
      </c>
      <c r="G689" s="217">
        <f>(G625/G612)*X91</f>
        <v>0</v>
      </c>
      <c r="H689" s="219">
        <f>(H628/H612)*X60</f>
        <v>260.52553511914692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0"/>
        <v>#DIV/0!</v>
      </c>
      <c r="N689" s="211" t="s">
        <v>649</v>
      </c>
    </row>
    <row r="690" spans="1:14" s="202" customFormat="1" ht="12.6" customHeight="1" x14ac:dyDescent="0.2">
      <c r="A690" s="212">
        <v>7140</v>
      </c>
      <c r="B690" s="211" t="s">
        <v>650</v>
      </c>
      <c r="C690" s="217">
        <f>Y85</f>
        <v>1563317.5000000002</v>
      </c>
      <c r="D690" s="217">
        <f>(D615/D612)*Y90</f>
        <v>52046.361184474488</v>
      </c>
      <c r="E690" s="219">
        <f>(E623/E612)*SUM(C690:D690)</f>
        <v>536841.24852498586</v>
      </c>
      <c r="F690" s="219">
        <f>(F624/F612)*Y64</f>
        <v>794.12705054574451</v>
      </c>
      <c r="G690" s="217">
        <f>(G625/G612)*Y91</f>
        <v>0</v>
      </c>
      <c r="H690" s="219">
        <f>(H628/H612)*Y60</f>
        <v>3195.2690630789489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0"/>
        <v>#DIV/0!</v>
      </c>
      <c r="N690" s="211" t="s">
        <v>651</v>
      </c>
    </row>
    <row r="691" spans="1:14" s="202" customFormat="1" ht="12.6" customHeight="1" x14ac:dyDescent="0.2">
      <c r="A691" s="212">
        <v>7150</v>
      </c>
      <c r="B691" s="211" t="s">
        <v>652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0"/>
        <v>#DIV/0!</v>
      </c>
      <c r="N691" s="211" t="s">
        <v>653</v>
      </c>
    </row>
    <row r="692" spans="1:14" s="202" customFormat="1" ht="12.6" customHeight="1" x14ac:dyDescent="0.2">
      <c r="A692" s="212">
        <v>7160</v>
      </c>
      <c r="B692" s="211" t="s">
        <v>654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>
        <f>(G625/G612)*AA91</f>
        <v>0</v>
      </c>
      <c r="H692" s="219">
        <f>(H628/H612)*AA60</f>
        <v>0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0"/>
        <v>#DIV/0!</v>
      </c>
      <c r="N692" s="211" t="s">
        <v>655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1911743.94</v>
      </c>
      <c r="D693" s="217">
        <f>(D615/D612)*AB90</f>
        <v>21006.849813781071</v>
      </c>
      <c r="E693" s="219">
        <f>(E623/E612)*SUM(C693:D693)</f>
        <v>642319.89585954393</v>
      </c>
      <c r="F693" s="219">
        <f>(F624/F612)*AB64</f>
        <v>40504.269514541695</v>
      </c>
      <c r="G693" s="217">
        <f>(G625/G612)*AB91</f>
        <v>0</v>
      </c>
      <c r="H693" s="219">
        <f>(H628/H612)*AB60</f>
        <v>1215.7858305560189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0"/>
        <v>#DIV/0!</v>
      </c>
      <c r="N693" s="211" t="s">
        <v>656</v>
      </c>
    </row>
    <row r="694" spans="1:14" s="202" customFormat="1" ht="12.6" customHeight="1" x14ac:dyDescent="0.2">
      <c r="A694" s="212">
        <v>7180</v>
      </c>
      <c r="B694" s="211" t="s">
        <v>657</v>
      </c>
      <c r="C694" s="217">
        <f>AC85</f>
        <v>815310.99</v>
      </c>
      <c r="D694" s="217">
        <f>(D615/D612)*AC90</f>
        <v>16932.045735281292</v>
      </c>
      <c r="E694" s="219">
        <f>(E623/E612)*SUM(C694:D694)</f>
        <v>276583.1284926401</v>
      </c>
      <c r="F694" s="219">
        <f>(F624/F612)*AC64</f>
        <v>2435.5456693835281</v>
      </c>
      <c r="G694" s="217">
        <f>(G625/G612)*AC91</f>
        <v>0</v>
      </c>
      <c r="H694" s="219">
        <f>(H628/H612)*AC60</f>
        <v>0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0"/>
        <v>#DIV/0!</v>
      </c>
      <c r="N694" s="211" t="s">
        <v>658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0"/>
        <v>#DIV/0!</v>
      </c>
      <c r="N695" s="211" t="s">
        <v>659</v>
      </c>
    </row>
    <row r="696" spans="1:14" s="202" customFormat="1" ht="12.6" customHeight="1" x14ac:dyDescent="0.2">
      <c r="A696" s="212">
        <v>7200</v>
      </c>
      <c r="B696" s="211" t="s">
        <v>660</v>
      </c>
      <c r="C696" s="217">
        <f>AE85</f>
        <v>352441.52</v>
      </c>
      <c r="D696" s="217">
        <f>(D615/D612)*AE90</f>
        <v>18691.620223724378</v>
      </c>
      <c r="E696" s="219">
        <f>(E623/E612)*SUM(C696:D696)</f>
        <v>123340.37126509026</v>
      </c>
      <c r="F696" s="219">
        <f>(F624/F612)*AE64</f>
        <v>1683.3680860409768</v>
      </c>
      <c r="G696" s="217">
        <f>(G625/G612)*AE91</f>
        <v>0</v>
      </c>
      <c r="H696" s="219">
        <f>(H628/H612)*AE60</f>
        <v>597.67622762627821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0"/>
        <v>#DIV/0!</v>
      </c>
      <c r="N696" s="211" t="s">
        <v>661</v>
      </c>
    </row>
    <row r="697" spans="1:14" s="202" customFormat="1" ht="12.6" customHeight="1" x14ac:dyDescent="0.2">
      <c r="A697" s="212">
        <v>7220</v>
      </c>
      <c r="B697" s="211" t="s">
        <v>662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0"/>
        <v>#DIV/0!</v>
      </c>
      <c r="N697" s="211" t="s">
        <v>663</v>
      </c>
    </row>
    <row r="698" spans="1:14" s="202" customFormat="1" ht="12.6" customHeight="1" x14ac:dyDescent="0.2">
      <c r="A698" s="212">
        <v>7230</v>
      </c>
      <c r="B698" s="211" t="s">
        <v>664</v>
      </c>
      <c r="C698" s="217">
        <f>AG85</f>
        <v>5059483.5699999994</v>
      </c>
      <c r="D698" s="217">
        <f>(D615/D612)*AG90</f>
        <v>71478.854877017002</v>
      </c>
      <c r="E698" s="219">
        <f>(E623/E612)*SUM(C698:D698)</f>
        <v>1705196.1731309283</v>
      </c>
      <c r="F698" s="219">
        <f>(F624/F612)*AG64</f>
        <v>11138.521511001984</v>
      </c>
      <c r="G698" s="217">
        <f>(G625/G612)*AG91</f>
        <v>13975.308535121794</v>
      </c>
      <c r="H698" s="219">
        <f>(H628/H612)*AG60</f>
        <v>5522.1196757607422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0"/>
        <v>#DIV/0!</v>
      </c>
      <c r="N698" s="211" t="s">
        <v>665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0"/>
        <v>#DIV/0!</v>
      </c>
      <c r="N699" s="211" t="s">
        <v>666</v>
      </c>
    </row>
    <row r="700" spans="1:14" s="202" customFormat="1" ht="12.6" customHeight="1" x14ac:dyDescent="0.2">
      <c r="A700" s="212">
        <v>7250</v>
      </c>
      <c r="B700" s="211" t="s">
        <v>667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0"/>
        <v>#DIV/0!</v>
      </c>
      <c r="N700" s="211" t="s">
        <v>668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10146130.09</v>
      </c>
      <c r="D701" s="217">
        <f>(D615/D612)*AJ90</f>
        <v>0</v>
      </c>
      <c r="E701" s="219">
        <f>(E623/E612)*SUM(C701:D701)</f>
        <v>3371909.7449775711</v>
      </c>
      <c r="F701" s="219">
        <f>(F624/F612)*AJ64</f>
        <v>11245.129113744102</v>
      </c>
      <c r="G701" s="217">
        <f>(G625/G612)*AJ91</f>
        <v>0</v>
      </c>
      <c r="H701" s="219">
        <f>(H628/H612)*AJ60</f>
        <v>13565.207029586169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0"/>
        <v>#DIV/0!</v>
      </c>
      <c r="N701" s="211" t="s">
        <v>669</v>
      </c>
    </row>
    <row r="702" spans="1:14" s="202" customFormat="1" ht="12.6" customHeight="1" x14ac:dyDescent="0.2">
      <c r="A702" s="212">
        <v>7310</v>
      </c>
      <c r="B702" s="211" t="s">
        <v>670</v>
      </c>
      <c r="C702" s="217">
        <f>AK85</f>
        <v>482.71</v>
      </c>
      <c r="D702" s="217">
        <f>(D615/D612)*AK90</f>
        <v>0</v>
      </c>
      <c r="E702" s="219">
        <f>(E623/E612)*SUM(C702:D702)</f>
        <v>160.42121858878346</v>
      </c>
      <c r="F702" s="219">
        <f>(F624/F612)*AK64</f>
        <v>0</v>
      </c>
      <c r="G702" s="217">
        <f>(G625/G612)*AK91</f>
        <v>0</v>
      </c>
      <c r="H702" s="219">
        <f>(H628/H612)*AK60</f>
        <v>0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0"/>
        <v>#DIV/0!</v>
      </c>
      <c r="N702" s="211" t="s">
        <v>671</v>
      </c>
    </row>
    <row r="703" spans="1:14" s="202" customFormat="1" ht="12.6" customHeight="1" x14ac:dyDescent="0.2">
      <c r="A703" s="212">
        <v>7320</v>
      </c>
      <c r="B703" s="211" t="s">
        <v>672</v>
      </c>
      <c r="C703" s="217">
        <f>AL85</f>
        <v>35969.599999999999</v>
      </c>
      <c r="D703" s="217">
        <f>(D615/D612)*AL90</f>
        <v>0</v>
      </c>
      <c r="E703" s="219">
        <f>(E623/E612)*SUM(C703:D703)</f>
        <v>11953.941422699148</v>
      </c>
      <c r="F703" s="219">
        <f>(F624/F612)*AL64</f>
        <v>5.0367970253243337</v>
      </c>
      <c r="G703" s="217">
        <f>(G625/G612)*AL91</f>
        <v>0</v>
      </c>
      <c r="H703" s="219">
        <f>(H628/H612)*AL60</f>
        <v>63.854297823320323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0"/>
        <v>#DIV/0!</v>
      </c>
      <c r="N703" s="211" t="s">
        <v>673</v>
      </c>
    </row>
    <row r="704" spans="1:14" s="202" customFormat="1" ht="12.6" customHeight="1" x14ac:dyDescent="0.2">
      <c r="A704" s="212">
        <v>7330</v>
      </c>
      <c r="B704" s="211" t="s">
        <v>674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0"/>
        <v>#DIV/0!</v>
      </c>
      <c r="N704" s="211" t="s">
        <v>675</v>
      </c>
    </row>
    <row r="705" spans="1:14" s="202" customFormat="1" ht="12.6" customHeight="1" x14ac:dyDescent="0.2">
      <c r="A705" s="212">
        <v>7340</v>
      </c>
      <c r="B705" s="211" t="s">
        <v>676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0"/>
        <v>#DIV/0!</v>
      </c>
      <c r="N705" s="211" t="s">
        <v>677</v>
      </c>
    </row>
    <row r="706" spans="1:14" s="202" customFormat="1" ht="12.6" customHeight="1" x14ac:dyDescent="0.2">
      <c r="A706" s="212">
        <v>7350</v>
      </c>
      <c r="B706" s="211" t="s">
        <v>678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>
        <f>(G625/G612)*AO91</f>
        <v>0</v>
      </c>
      <c r="H706" s="219">
        <f>(H628/H612)*AO60</f>
        <v>0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0"/>
        <v>#DIV/0!</v>
      </c>
      <c r="N706" s="211" t="s">
        <v>679</v>
      </c>
    </row>
    <row r="707" spans="1:14" s="202" customFormat="1" ht="12.6" customHeight="1" x14ac:dyDescent="0.2">
      <c r="A707" s="212">
        <v>7380</v>
      </c>
      <c r="B707" s="211" t="s">
        <v>680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0"/>
        <v>#DIV/0!</v>
      </c>
      <c r="N707" s="211" t="s">
        <v>681</v>
      </c>
    </row>
    <row r="708" spans="1:14" s="202" customFormat="1" ht="12.6" customHeight="1" x14ac:dyDescent="0.2">
      <c r="A708" s="212">
        <v>7390</v>
      </c>
      <c r="B708" s="211" t="s">
        <v>682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0"/>
        <v>#DIV/0!</v>
      </c>
      <c r="N708" s="211" t="s">
        <v>683</v>
      </c>
    </row>
    <row r="709" spans="1:14" s="202" customFormat="1" ht="12.6" customHeight="1" x14ac:dyDescent="0.2">
      <c r="A709" s="212">
        <v>7400</v>
      </c>
      <c r="B709" s="211" t="s">
        <v>684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0"/>
        <v>#DIV/0!</v>
      </c>
      <c r="N709" s="211" t="s">
        <v>685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0"/>
        <v>#DIV/0!</v>
      </c>
      <c r="N710" s="211" t="s">
        <v>686</v>
      </c>
    </row>
    <row r="711" spans="1:14" s="202" customFormat="1" ht="12.6" customHeight="1" x14ac:dyDescent="0.2">
      <c r="A711" s="212">
        <v>7420</v>
      </c>
      <c r="B711" s="211" t="s">
        <v>687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0"/>
        <v>#DIV/0!</v>
      </c>
      <c r="N711" s="211" t="s">
        <v>688</v>
      </c>
    </row>
    <row r="712" spans="1:14" s="202" customFormat="1" ht="12.6" customHeight="1" x14ac:dyDescent="0.2">
      <c r="A712" s="212">
        <v>7430</v>
      </c>
      <c r="B712" s="211" t="s">
        <v>689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0"/>
        <v>#DIV/0!</v>
      </c>
      <c r="N712" s="211" t="s">
        <v>690</v>
      </c>
    </row>
    <row r="713" spans="1:14" s="202" customFormat="1" ht="12.6" customHeight="1" x14ac:dyDescent="0.2">
      <c r="A713" s="212">
        <v>7490</v>
      </c>
      <c r="B713" s="211" t="s">
        <v>691</v>
      </c>
      <c r="C713" s="217">
        <f>AV85</f>
        <v>0</v>
      </c>
      <c r="D713" s="217">
        <f>(D615/D612)*AV90</f>
        <v>0</v>
      </c>
      <c r="E713" s="219">
        <f>(E623/E612)*SUM(C713:D713)</f>
        <v>0</v>
      </c>
      <c r="F713" s="219">
        <f>(F624/F612)*AV64</f>
        <v>0</v>
      </c>
      <c r="G713" s="217">
        <f>(G625/G612)*AV91</f>
        <v>0</v>
      </c>
      <c r="H713" s="219">
        <f>(H628/H612)*AV60</f>
        <v>0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0"/>
        <v>#DIV/0!</v>
      </c>
      <c r="N713" s="213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63966604.850000009</v>
      </c>
      <c r="D715" s="202">
        <f>SUM(D616:D647)+SUM(D668:D713)</f>
        <v>1061764.29</v>
      </c>
      <c r="E715" s="202">
        <f>SUM(E624:E647)+SUM(E668:E713)</f>
        <v>15955687.428051023</v>
      </c>
      <c r="F715" s="202">
        <f>SUM(F625:F648)+SUM(F668:F713)</f>
        <v>275158.50324382709</v>
      </c>
      <c r="G715" s="202">
        <f>SUM(G626:G647)+SUM(G668:G713)</f>
        <v>1145583.4687995631</v>
      </c>
      <c r="H715" s="202">
        <f>SUM(H629:H647)+SUM(H668:H713)</f>
        <v>55221.196757607417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693</v>
      </c>
    </row>
    <row r="716" spans="1:14" s="202" customFormat="1" ht="12.6" customHeight="1" x14ac:dyDescent="0.2">
      <c r="C716" s="214">
        <f>CE85</f>
        <v>63966604.850000009</v>
      </c>
      <c r="D716" s="202">
        <f>D615</f>
        <v>1061764.29</v>
      </c>
      <c r="E716" s="202">
        <f>E623</f>
        <v>15955687.428051025</v>
      </c>
      <c r="F716" s="202">
        <f>F624</f>
        <v>275158.50324382714</v>
      </c>
      <c r="G716" s="202">
        <f>G625</f>
        <v>1145583.4687995631</v>
      </c>
      <c r="H716" s="202">
        <f>H628</f>
        <v>55221.196757607417</v>
      </c>
      <c r="I716" s="202">
        <f>I629</f>
        <v>1019649.0646061026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22160382.109999999</v>
      </c>
      <c r="N716" s="211" t="s">
        <v>694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  <hyperlink ref="A426" r:id="rId5" xr:uid="{00000000-0004-0000-0B00-000004000000}"/>
    <hyperlink ref="B426" r:id="rId6" display="mailto:doh.information@doh.wa.gov" xr:uid="{00000000-0004-0000-0B00-000005000000}"/>
    <hyperlink ref="C426" r:id="rId7" display="mailto:doh.information@doh.wa.gov" xr:uid="{00000000-0004-0000-0B00-000006000000}"/>
    <hyperlink ref="D426" r:id="rId8" display="mailto:doh.information@doh.wa.gov" xr:uid="{00000000-0004-0000-0B00-000007000000}"/>
    <hyperlink ref="E426" r:id="rId9" display="mailto:doh.information@doh.wa.gov" xr:uid="{00000000-0004-0000-0B00-000008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1065</v>
      </c>
      <c r="B1" s="11" t="s">
        <v>1066</v>
      </c>
      <c r="C1" s="11" t="s">
        <v>1067</v>
      </c>
      <c r="D1" s="11" t="s">
        <v>1068</v>
      </c>
      <c r="E1" s="11" t="s">
        <v>1069</v>
      </c>
      <c r="F1" s="11" t="s">
        <v>1070</v>
      </c>
      <c r="G1" s="11" t="s">
        <v>1071</v>
      </c>
      <c r="H1" s="11" t="s">
        <v>1072</v>
      </c>
      <c r="I1" s="11" t="s">
        <v>1073</v>
      </c>
      <c r="J1" s="11" t="s">
        <v>1074</v>
      </c>
      <c r="K1" s="11" t="s">
        <v>1075</v>
      </c>
      <c r="L1" s="11" t="s">
        <v>1076</v>
      </c>
      <c r="M1" s="11" t="s">
        <v>1077</v>
      </c>
      <c r="N1" s="11" t="s">
        <v>1078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199</v>
      </c>
      <c r="C2" s="11" t="str">
        <f>SUBSTITUTE(LEFT(data!C98,49),",","")</f>
        <v>ASTRIA TOPPENISH HOSPITAL</v>
      </c>
      <c r="D2" s="11" t="str">
        <f>LEFT(data!C99, 49)</f>
        <v>502 W 4th Ave</v>
      </c>
      <c r="E2" s="11" t="str">
        <f>LEFT(data!C100, 100)</f>
        <v>Toppenish</v>
      </c>
      <c r="F2" s="11" t="str">
        <f>LEFT(data!C101, 2)</f>
        <v>Wa</v>
      </c>
      <c r="G2" s="11" t="str">
        <f>LEFT(data!C102, 100)</f>
        <v>98948</v>
      </c>
      <c r="H2" s="11" t="str">
        <f>LEFT(data!C103, 100)</f>
        <v>Yakima</v>
      </c>
      <c r="I2" s="11" t="str">
        <f>LEFT(data!C104, 49)</f>
        <v>Cathy Bambrick</v>
      </c>
      <c r="J2" s="11" t="str">
        <f>LEFT(data!C105, 49)</f>
        <v>Matthew Matthiessen</v>
      </c>
      <c r="K2" s="11" t="str">
        <f>LEFT(data!C107, 49)</f>
        <v>509-865-3105</v>
      </c>
      <c r="L2" s="11" t="str">
        <f>LEFT(data!C108, 49)</f>
        <v>509-865-1519</v>
      </c>
      <c r="M2" s="11" t="str">
        <f>LEFT(data!C109, 49)</f>
        <v>Sandra Cortez</v>
      </c>
      <c r="N2" s="11" t="str">
        <f>LEFT(data!C110, 49)</f>
        <v>Sandra.Cortez@astria.health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1079</v>
      </c>
      <c r="B1" s="12" t="s">
        <v>1080</v>
      </c>
      <c r="C1" s="12" t="s">
        <v>1081</v>
      </c>
      <c r="D1" s="12" t="s">
        <v>1082</v>
      </c>
      <c r="E1" s="12" t="s">
        <v>1083</v>
      </c>
      <c r="F1" s="12" t="s">
        <v>1084</v>
      </c>
      <c r="G1" s="12" t="s">
        <v>1085</v>
      </c>
      <c r="H1" s="12" t="s">
        <v>1086</v>
      </c>
      <c r="I1" s="12" t="s">
        <v>1087</v>
      </c>
      <c r="J1" s="12" t="s">
        <v>1088</v>
      </c>
      <c r="K1" s="12" t="s">
        <v>1089</v>
      </c>
      <c r="L1" s="12" t="s">
        <v>1090</v>
      </c>
      <c r="M1" s="12" t="s">
        <v>1091</v>
      </c>
      <c r="N1" s="12" t="s">
        <v>1092</v>
      </c>
      <c r="O1" s="12" t="s">
        <v>1093</v>
      </c>
      <c r="P1" s="12" t="s">
        <v>1094</v>
      </c>
      <c r="Q1" s="12" t="s">
        <v>1095</v>
      </c>
      <c r="R1" s="12" t="s">
        <v>1096</v>
      </c>
      <c r="S1" s="12" t="s">
        <v>1097</v>
      </c>
      <c r="T1" s="12" t="s">
        <v>1098</v>
      </c>
      <c r="U1" s="12" t="s">
        <v>1099</v>
      </c>
      <c r="V1" s="12" t="s">
        <v>1100</v>
      </c>
      <c r="W1" s="12" t="s">
        <v>1101</v>
      </c>
      <c r="X1" s="12" t="s">
        <v>1102</v>
      </c>
      <c r="Y1" s="12" t="s">
        <v>1103</v>
      </c>
      <c r="Z1" s="12" t="s">
        <v>1104</v>
      </c>
      <c r="AA1" s="12" t="s">
        <v>1105</v>
      </c>
      <c r="AB1" s="12" t="s">
        <v>1106</v>
      </c>
      <c r="AC1" s="12" t="s">
        <v>1107</v>
      </c>
      <c r="AD1" s="12" t="s">
        <v>1108</v>
      </c>
      <c r="AE1" s="12" t="s">
        <v>1109</v>
      </c>
      <c r="AF1" s="12" t="s">
        <v>1110</v>
      </c>
      <c r="AG1" s="12" t="s">
        <v>1111</v>
      </c>
      <c r="AH1" s="12" t="s">
        <v>1112</v>
      </c>
      <c r="AI1" s="12" t="s">
        <v>1113</v>
      </c>
      <c r="AJ1" s="12" t="s">
        <v>1114</v>
      </c>
      <c r="AK1" s="12" t="s">
        <v>1115</v>
      </c>
      <c r="AL1" s="12" t="s">
        <v>1116</v>
      </c>
      <c r="AM1" s="12" t="s">
        <v>1117</v>
      </c>
      <c r="AN1" s="12" t="s">
        <v>1118</v>
      </c>
      <c r="AO1" s="12" t="s">
        <v>1119</v>
      </c>
      <c r="AP1" s="12" t="s">
        <v>1120</v>
      </c>
      <c r="AQ1" s="12" t="s">
        <v>1121</v>
      </c>
      <c r="AR1" s="12" t="s">
        <v>1122</v>
      </c>
      <c r="AS1" s="12" t="s">
        <v>1123</v>
      </c>
      <c r="AT1" s="12" t="s">
        <v>1124</v>
      </c>
      <c r="AU1" s="12" t="s">
        <v>1125</v>
      </c>
      <c r="AV1" s="12" t="s">
        <v>1126</v>
      </c>
      <c r="AW1" s="12" t="s">
        <v>1127</v>
      </c>
      <c r="AX1" s="12" t="s">
        <v>1128</v>
      </c>
      <c r="AY1" s="12" t="s">
        <v>1129</v>
      </c>
      <c r="AZ1" s="12" t="s">
        <v>1130</v>
      </c>
      <c r="BA1" s="12" t="s">
        <v>1131</v>
      </c>
      <c r="BB1" s="12" t="s">
        <v>1132</v>
      </c>
      <c r="BC1" s="12" t="s">
        <v>1133</v>
      </c>
      <c r="BD1" s="12" t="s">
        <v>1134</v>
      </c>
      <c r="BE1" s="12" t="s">
        <v>1135</v>
      </c>
      <c r="BF1" s="12" t="s">
        <v>1136</v>
      </c>
      <c r="BG1" s="12" t="s">
        <v>1137</v>
      </c>
      <c r="BH1" s="12" t="s">
        <v>1138</v>
      </c>
      <c r="BI1" s="12" t="s">
        <v>1139</v>
      </c>
      <c r="BJ1" s="12" t="s">
        <v>1140</v>
      </c>
      <c r="BK1" s="12" t="s">
        <v>1141</v>
      </c>
      <c r="BL1" s="12" t="s">
        <v>1142</v>
      </c>
      <c r="BM1" s="12" t="s">
        <v>1143</v>
      </c>
      <c r="BN1" s="12" t="s">
        <v>1144</v>
      </c>
      <c r="BO1" s="12" t="s">
        <v>1145</v>
      </c>
      <c r="BP1" s="12" t="s">
        <v>1146</v>
      </c>
      <c r="BQ1" s="12" t="s">
        <v>1147</v>
      </c>
      <c r="BR1" s="12" t="s">
        <v>1148</v>
      </c>
      <c r="BS1" s="12" t="s">
        <v>1149</v>
      </c>
      <c r="BT1" s="12" t="s">
        <v>1150</v>
      </c>
      <c r="BU1" s="12" t="s">
        <v>1151</v>
      </c>
      <c r="BV1" s="12" t="s">
        <v>1152</v>
      </c>
      <c r="BW1" s="12" t="s">
        <v>1153</v>
      </c>
      <c r="BX1" s="12" t="s">
        <v>1154</v>
      </c>
      <c r="BY1" s="12" t="s">
        <v>1155</v>
      </c>
      <c r="BZ1" s="12" t="s">
        <v>1156</v>
      </c>
      <c r="CA1" s="12" t="s">
        <v>1157</v>
      </c>
      <c r="CB1" s="12" t="s">
        <v>1158</v>
      </c>
      <c r="CC1" s="12" t="s">
        <v>1159</v>
      </c>
      <c r="CD1" s="12" t="s">
        <v>1160</v>
      </c>
      <c r="CE1" s="12" t="s">
        <v>1161</v>
      </c>
      <c r="CF1" s="12" t="s">
        <v>1162</v>
      </c>
    </row>
    <row r="2" spans="1:84" s="169" customFormat="1" ht="12.6" customHeight="1" x14ac:dyDescent="0.25">
      <c r="A2" s="12" t="str">
        <f>RIGHT(data!C97,3)</f>
        <v>199</v>
      </c>
      <c r="B2" s="200" t="str">
        <f>RIGHT(data!C96,4)</f>
        <v>2024</v>
      </c>
      <c r="C2" s="12" t="s">
        <v>1163</v>
      </c>
      <c r="D2" s="199">
        <f>ROUND(N(data!C181),0)</f>
        <v>1539481</v>
      </c>
      <c r="E2" s="199">
        <f>ROUND(N(data!C182),0)</f>
        <v>169713</v>
      </c>
      <c r="F2" s="199">
        <f>ROUND(N(data!C183),0)</f>
        <v>228196</v>
      </c>
      <c r="G2" s="199">
        <f>ROUND(N(data!C184),0)</f>
        <v>2351523</v>
      </c>
      <c r="H2" s="199">
        <f>ROUND(N(data!C185),0)</f>
        <v>0</v>
      </c>
      <c r="I2" s="199">
        <f>ROUND(N(data!C186),0)</f>
        <v>691670</v>
      </c>
      <c r="J2" s="199">
        <f>ROUND(N(data!C187)+N(data!C188),0)</f>
        <v>588</v>
      </c>
      <c r="K2" s="199">
        <f>ROUND(N(data!C191),0)</f>
        <v>653876</v>
      </c>
      <c r="L2" s="199">
        <f>ROUND(N(data!C192),0)</f>
        <v>73718</v>
      </c>
      <c r="M2" s="199">
        <f>ROUND(N(data!C195),0)</f>
        <v>603930</v>
      </c>
      <c r="N2" s="199">
        <f>ROUND(N(data!C196),0)</f>
        <v>0</v>
      </c>
      <c r="O2" s="199">
        <f>ROUND(N(data!C199),0)</f>
        <v>18825</v>
      </c>
      <c r="P2" s="199">
        <f>ROUND(N(data!C200),0)</f>
        <v>2221542</v>
      </c>
      <c r="Q2" s="199">
        <f>ROUND(N(data!C201),0)</f>
        <v>0</v>
      </c>
      <c r="R2" s="199">
        <f>ROUND(N(data!C204),0)</f>
        <v>0</v>
      </c>
      <c r="S2" s="199">
        <f>ROUND(N(data!C205),0)</f>
        <v>2456469</v>
      </c>
      <c r="T2" s="199">
        <f>ROUND(N(data!B211),0)</f>
        <v>550000</v>
      </c>
      <c r="U2" s="199">
        <f>ROUND(N(data!C211),0)</f>
        <v>0</v>
      </c>
      <c r="V2" s="199">
        <f>ROUND(N(data!D211),0)</f>
        <v>0</v>
      </c>
      <c r="W2" s="199">
        <f>ROUND(N(data!B212),0)</f>
        <v>26953</v>
      </c>
      <c r="X2" s="199">
        <f>ROUND(N(data!C212),0)</f>
        <v>0</v>
      </c>
      <c r="Y2" s="199">
        <f>ROUND(N(data!D212),0)</f>
        <v>0</v>
      </c>
      <c r="Z2" s="199">
        <f>ROUND(N(data!B213),0)</f>
        <v>8244365</v>
      </c>
      <c r="AA2" s="199">
        <f>ROUND(N(data!C213),0)</f>
        <v>443879</v>
      </c>
      <c r="AB2" s="199">
        <f>ROUND(N(data!D213),0)</f>
        <v>0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0</v>
      </c>
      <c r="AG2" s="199">
        <f>ROUND(N(data!C215),0)</f>
        <v>0</v>
      </c>
      <c r="AH2" s="199">
        <f>ROUND(N(data!D215),0)</f>
        <v>0</v>
      </c>
      <c r="AI2" s="199">
        <f>ROUND(N(data!B216),0)</f>
        <v>6073927</v>
      </c>
      <c r="AJ2" s="199">
        <f>ROUND(N(data!C216),0)</f>
        <v>266057</v>
      </c>
      <c r="AK2" s="199">
        <f>ROUND(N(data!D216),0)</f>
        <v>1000967</v>
      </c>
      <c r="AL2" s="199">
        <f>ROUND(N(data!B217),0)</f>
        <v>402887</v>
      </c>
      <c r="AM2" s="199">
        <f>ROUND(N(data!C217),0)</f>
        <v>12311</v>
      </c>
      <c r="AN2" s="199">
        <f>ROUND(N(data!D217),0)</f>
        <v>0</v>
      </c>
      <c r="AO2" s="199">
        <f>ROUND(N(data!B218),0)</f>
        <v>0</v>
      </c>
      <c r="AP2" s="199">
        <f>ROUND(N(data!C218),0)</f>
        <v>0</v>
      </c>
      <c r="AQ2" s="199">
        <f>ROUND(N(data!D218),0)</f>
        <v>0</v>
      </c>
      <c r="AR2" s="199">
        <f>ROUND(N(data!B219),0)</f>
        <v>822336</v>
      </c>
      <c r="AS2" s="199">
        <f>ROUND(N(data!C219),0)</f>
        <v>1422132</v>
      </c>
      <c r="AT2" s="199">
        <f>ROUND(N(data!D219),0)</f>
        <v>0</v>
      </c>
      <c r="AU2" s="199">
        <v>0</v>
      </c>
      <c r="AV2" s="199">
        <v>0</v>
      </c>
      <c r="AW2" s="199">
        <v>0</v>
      </c>
      <c r="AX2" s="199">
        <f>ROUND(N(data!B225),0)</f>
        <v>8051</v>
      </c>
      <c r="AY2" s="199">
        <f>ROUND(N(data!C225),0)</f>
        <v>1797</v>
      </c>
      <c r="AZ2" s="199">
        <f>ROUND(N(data!D225),0)</f>
        <v>0</v>
      </c>
      <c r="BA2" s="199">
        <f>ROUND(N(data!B226),0)</f>
        <v>3031797</v>
      </c>
      <c r="BB2" s="199">
        <f>ROUND(N(data!C226),0)</f>
        <v>504249</v>
      </c>
      <c r="BC2" s="199">
        <f>ROUND(N(data!D226),0)</f>
        <v>0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0</v>
      </c>
      <c r="BH2" s="199">
        <f>ROUND(N(data!C228),0)</f>
        <v>0</v>
      </c>
      <c r="BI2" s="199">
        <f>ROUND(N(data!D228),0)</f>
        <v>0</v>
      </c>
      <c r="BJ2" s="199">
        <f>ROUND(N(data!B229),0)</f>
        <v>1592801</v>
      </c>
      <c r="BK2" s="199">
        <f>ROUND(N(data!C229),0)</f>
        <v>199162</v>
      </c>
      <c r="BL2" s="199">
        <f>ROUND(N(data!D229),0)</f>
        <v>156</v>
      </c>
      <c r="BM2" s="199">
        <f>ROUND(N(data!B230),0)</f>
        <v>296689</v>
      </c>
      <c r="BN2" s="199">
        <f>ROUND(N(data!C230),0)</f>
        <v>25422</v>
      </c>
      <c r="BO2" s="199">
        <f>ROUND(N(data!D230),0)</f>
        <v>0</v>
      </c>
      <c r="BP2" s="199">
        <f>ROUND(N(data!B231),0)</f>
        <v>0</v>
      </c>
      <c r="BQ2" s="199">
        <f>ROUND(N(data!C231),0)</f>
        <v>0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62409669</v>
      </c>
      <c r="BW2" s="199">
        <f>ROUND(N(data!C240),0)</f>
        <v>40097046</v>
      </c>
      <c r="BX2" s="199">
        <f>ROUND(N(data!C241),0)</f>
        <v>3799994</v>
      </c>
      <c r="BY2" s="199">
        <f>ROUND(N(data!C242),0)</f>
        <v>2639673</v>
      </c>
      <c r="BZ2" s="199">
        <f>ROUND(N(data!C243),0)</f>
        <v>29331282</v>
      </c>
      <c r="CA2" s="199">
        <f>ROUND(N(data!C244),0)</f>
        <v>4629114</v>
      </c>
      <c r="CB2" s="199">
        <f>ROUND(N(data!C247),0)</f>
        <v>209</v>
      </c>
      <c r="CC2" s="199">
        <f>ROUND(N(data!C249),0)</f>
        <v>96827</v>
      </c>
      <c r="CD2" s="199">
        <f>ROUND(N(data!C250),0)</f>
        <v>2351657</v>
      </c>
      <c r="CE2" s="199">
        <f>ROUND(N(data!C254)+N(data!C255),0)</f>
        <v>0</v>
      </c>
      <c r="CF2" s="199">
        <f>ROUND(N(data!D237),0)</f>
        <v>3712442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1164</v>
      </c>
      <c r="B1" s="12" t="s">
        <v>1165</v>
      </c>
      <c r="C1" s="12" t="s">
        <v>1166</v>
      </c>
      <c r="D1" s="10" t="s">
        <v>1167</v>
      </c>
      <c r="E1" s="10" t="s">
        <v>1168</v>
      </c>
      <c r="F1" s="10" t="s">
        <v>1169</v>
      </c>
      <c r="G1" s="10" t="s">
        <v>1170</v>
      </c>
      <c r="H1" s="10" t="s">
        <v>1171</v>
      </c>
      <c r="I1" s="10" t="s">
        <v>1172</v>
      </c>
      <c r="J1" s="10" t="s">
        <v>1173</v>
      </c>
      <c r="K1" s="10" t="s">
        <v>1174</v>
      </c>
      <c r="L1" s="10" t="s">
        <v>1175</v>
      </c>
      <c r="M1" s="10" t="s">
        <v>1176</v>
      </c>
      <c r="N1" s="10" t="s">
        <v>1177</v>
      </c>
      <c r="O1" s="10" t="s">
        <v>1178</v>
      </c>
      <c r="P1" s="10" t="s">
        <v>1179</v>
      </c>
      <c r="Q1" s="10" t="s">
        <v>1180</v>
      </c>
      <c r="R1" s="10" t="s">
        <v>1181</v>
      </c>
      <c r="S1" s="10" t="s">
        <v>1182</v>
      </c>
      <c r="T1" s="10" t="s">
        <v>1183</v>
      </c>
      <c r="U1" s="10" t="s">
        <v>1184</v>
      </c>
      <c r="V1" s="10" t="s">
        <v>1185</v>
      </c>
      <c r="W1" s="10" t="s">
        <v>1186</v>
      </c>
      <c r="X1" s="10" t="s">
        <v>1187</v>
      </c>
      <c r="Y1" s="10" t="s">
        <v>1188</v>
      </c>
      <c r="Z1" s="10" t="s">
        <v>1189</v>
      </c>
      <c r="AA1" s="10" t="s">
        <v>1190</v>
      </c>
      <c r="AB1" s="10" t="s">
        <v>1191</v>
      </c>
      <c r="AC1" s="10" t="s">
        <v>1192</v>
      </c>
      <c r="AD1" s="10" t="s">
        <v>1193</v>
      </c>
      <c r="AE1" s="10" t="s">
        <v>1194</v>
      </c>
      <c r="AF1" s="10" t="s">
        <v>1195</v>
      </c>
      <c r="AG1" s="10" t="s">
        <v>1196</v>
      </c>
      <c r="AH1" s="10" t="s">
        <v>1197</v>
      </c>
      <c r="AI1" s="10" t="s">
        <v>1198</v>
      </c>
      <c r="AJ1" s="10" t="s">
        <v>1199</v>
      </c>
      <c r="AK1" s="10" t="s">
        <v>1200</v>
      </c>
      <c r="AL1" s="10" t="s">
        <v>1201</v>
      </c>
      <c r="AM1" s="10" t="s">
        <v>1202</v>
      </c>
      <c r="AN1" s="10" t="s">
        <v>1203</v>
      </c>
      <c r="AO1" s="10" t="s">
        <v>1204</v>
      </c>
      <c r="AP1" s="10" t="s">
        <v>1205</v>
      </c>
      <c r="AQ1" s="10" t="s">
        <v>1206</v>
      </c>
      <c r="AR1" s="10" t="s">
        <v>1207</v>
      </c>
      <c r="AS1" s="10" t="s">
        <v>1208</v>
      </c>
      <c r="AT1" s="10" t="s">
        <v>1209</v>
      </c>
      <c r="AU1" s="10" t="s">
        <v>1210</v>
      </c>
      <c r="AV1" s="10" t="s">
        <v>1211</v>
      </c>
      <c r="AW1" s="10" t="s">
        <v>1212</v>
      </c>
      <c r="AX1" s="10" t="s">
        <v>1213</v>
      </c>
      <c r="AY1" s="10" t="s">
        <v>1214</v>
      </c>
      <c r="AZ1" s="10" t="s">
        <v>1215</v>
      </c>
      <c r="BA1" s="10" t="s">
        <v>1216</v>
      </c>
      <c r="BB1" s="10" t="s">
        <v>1217</v>
      </c>
      <c r="BC1" s="10" t="s">
        <v>1218</v>
      </c>
      <c r="BD1" s="10" t="s">
        <v>1219</v>
      </c>
      <c r="BE1" s="10" t="s">
        <v>1220</v>
      </c>
      <c r="BF1" s="10" t="s">
        <v>1221</v>
      </c>
      <c r="BG1" s="10" t="s">
        <v>1222</v>
      </c>
      <c r="BH1" s="10" t="s">
        <v>1223</v>
      </c>
      <c r="BI1" s="10" t="s">
        <v>1224</v>
      </c>
      <c r="BJ1" s="10" t="s">
        <v>1225</v>
      </c>
      <c r="BK1" s="10" t="s">
        <v>1226</v>
      </c>
      <c r="BL1" s="10" t="s">
        <v>1227</v>
      </c>
      <c r="BM1" s="10" t="s">
        <v>1228</v>
      </c>
      <c r="BN1" s="10" t="s">
        <v>1229</v>
      </c>
      <c r="BO1" s="10" t="s">
        <v>1230</v>
      </c>
      <c r="BP1" s="10" t="s">
        <v>1231</v>
      </c>
      <c r="BQ1" s="10" t="s">
        <v>1232</v>
      </c>
      <c r="BR1" s="10" t="s">
        <v>1233</v>
      </c>
      <c r="BS1" s="10" t="s">
        <v>1234</v>
      </c>
    </row>
    <row r="2" spans="1:87" s="169" customFormat="1" ht="12.6" customHeight="1" x14ac:dyDescent="0.25">
      <c r="A2" s="12" t="str">
        <f>RIGHT(data!C97,3)</f>
        <v>199</v>
      </c>
      <c r="B2" s="12" t="str">
        <f>RIGHT(data!C96,4)</f>
        <v>2024</v>
      </c>
      <c r="C2" s="12" t="s">
        <v>1163</v>
      </c>
      <c r="D2" s="198">
        <f>ROUND(N(data!C127),0)</f>
        <v>552</v>
      </c>
      <c r="E2" s="198">
        <f>ROUND(N(data!C128),0)</f>
        <v>0</v>
      </c>
      <c r="F2" s="198">
        <f>ROUND(N(data!C129),0)</f>
        <v>0</v>
      </c>
      <c r="G2" s="198">
        <f>ROUND(N(data!C130),0)</f>
        <v>0</v>
      </c>
      <c r="H2" s="198">
        <f>ROUND(N(data!D127),0)</f>
        <v>7073</v>
      </c>
      <c r="I2" s="198">
        <f>ROUND(N(data!D128),0)</f>
        <v>0</v>
      </c>
      <c r="J2" s="198">
        <f>ROUND(N(data!D129),0)</f>
        <v>0</v>
      </c>
      <c r="K2" s="198">
        <f>ROUND(N(data!D130),0)</f>
        <v>0</v>
      </c>
      <c r="L2" s="198">
        <f>ROUND(N(data!C132),0)</f>
        <v>0</v>
      </c>
      <c r="M2" s="198">
        <f>ROUND(N(data!C133),0)</f>
        <v>0</v>
      </c>
      <c r="N2" s="198">
        <f>ROUND(N(data!C134),0)</f>
        <v>18</v>
      </c>
      <c r="O2" s="198">
        <f>ROUND(N(data!C135),0)</f>
        <v>0</v>
      </c>
      <c r="P2" s="198">
        <f>ROUND(N(data!C136),0)</f>
        <v>12</v>
      </c>
      <c r="Q2" s="198">
        <f>ROUND(N(data!C137),0)</f>
        <v>0</v>
      </c>
      <c r="R2" s="198">
        <f>ROUND(N(data!C138),0)</f>
        <v>15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10</v>
      </c>
      <c r="W2" s="198">
        <f>ROUND(N(data!C144),0)</f>
        <v>78</v>
      </c>
      <c r="X2" s="198">
        <f>ROUND(N(data!C145),0)</f>
        <v>0</v>
      </c>
      <c r="Y2" s="198">
        <f>ROUND(N(data!B154),0)</f>
        <v>216</v>
      </c>
      <c r="Z2" s="198">
        <f>ROUND(N(data!B155),0)</f>
        <v>3189</v>
      </c>
      <c r="AA2" s="198">
        <f>ROUND(N(data!B156),0)</f>
        <v>44833</v>
      </c>
      <c r="AB2" s="198">
        <f>ROUND(N(data!B157),0)</f>
        <v>16847846</v>
      </c>
      <c r="AC2" s="198">
        <f>ROUND(N(data!B158),0)</f>
        <v>41689774</v>
      </c>
      <c r="AD2" s="198">
        <f>ROUND(N(data!C154),0)</f>
        <v>239</v>
      </c>
      <c r="AE2" s="198">
        <f>ROUND(N(data!C155),0)</f>
        <v>3540</v>
      </c>
      <c r="AF2" s="198">
        <f>ROUND(N(data!C156),0)</f>
        <v>44201</v>
      </c>
      <c r="AG2" s="198">
        <f>ROUND(N(data!C157),0)</f>
        <v>16610543</v>
      </c>
      <c r="AH2" s="198">
        <f>ROUND(N(data!C158),0)</f>
        <v>54973195</v>
      </c>
      <c r="AI2" s="198">
        <f>ROUND(N(data!D154),0)</f>
        <v>97</v>
      </c>
      <c r="AJ2" s="198">
        <f>ROUND(N(data!D155),0)</f>
        <v>344</v>
      </c>
      <c r="AK2" s="198">
        <f>ROUND(N(data!D156),0)</f>
        <v>18361</v>
      </c>
      <c r="AL2" s="198">
        <f>ROUND(N(data!D157),0)</f>
        <v>6899878</v>
      </c>
      <c r="AM2" s="198">
        <f>ROUND(N(data!D158),0)</f>
        <v>64299873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A2" sqref="A2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1235</v>
      </c>
      <c r="B1" s="12" t="s">
        <v>1236</v>
      </c>
      <c r="C1" s="12" t="s">
        <v>1237</v>
      </c>
      <c r="D1" s="10" t="s">
        <v>1238</v>
      </c>
      <c r="E1" s="10" t="s">
        <v>1239</v>
      </c>
      <c r="F1" s="10" t="s">
        <v>1240</v>
      </c>
      <c r="G1" s="10" t="s">
        <v>1241</v>
      </c>
      <c r="H1" s="10" t="s">
        <v>1242</v>
      </c>
      <c r="I1" s="10" t="s">
        <v>1243</v>
      </c>
      <c r="J1" s="10" t="s">
        <v>1244</v>
      </c>
      <c r="K1" s="10" t="s">
        <v>1245</v>
      </c>
      <c r="L1" s="10" t="s">
        <v>1246</v>
      </c>
      <c r="M1" s="10" t="s">
        <v>1247</v>
      </c>
      <c r="N1" s="10" t="s">
        <v>1248</v>
      </c>
      <c r="O1" s="10" t="s">
        <v>1249</v>
      </c>
      <c r="P1" s="10" t="s">
        <v>1250</v>
      </c>
      <c r="Q1" s="10" t="s">
        <v>1251</v>
      </c>
      <c r="R1" s="10" t="s">
        <v>1252</v>
      </c>
      <c r="S1" s="10" t="s">
        <v>1253</v>
      </c>
      <c r="T1" s="10" t="s">
        <v>1254</v>
      </c>
      <c r="U1" s="10" t="s">
        <v>1255</v>
      </c>
      <c r="V1" s="10" t="s">
        <v>1256</v>
      </c>
      <c r="W1" s="10" t="s">
        <v>1257</v>
      </c>
      <c r="X1" s="10" t="s">
        <v>1258</v>
      </c>
      <c r="Y1" s="10" t="s">
        <v>1259</v>
      </c>
      <c r="Z1" s="10" t="s">
        <v>1260</v>
      </c>
      <c r="AA1" s="10" t="s">
        <v>1261</v>
      </c>
      <c r="AB1" s="10" t="s">
        <v>1262</v>
      </c>
      <c r="AC1" s="10" t="s">
        <v>1263</v>
      </c>
      <c r="AD1" s="10" t="s">
        <v>1264</v>
      </c>
      <c r="AE1" s="10" t="s">
        <v>1265</v>
      </c>
      <c r="AF1" s="10" t="s">
        <v>1266</v>
      </c>
      <c r="AG1" s="10" t="s">
        <v>1267</v>
      </c>
      <c r="AH1" s="10" t="s">
        <v>1268</v>
      </c>
      <c r="AI1" s="10" t="s">
        <v>1269</v>
      </c>
      <c r="AJ1" s="10" t="s">
        <v>1270</v>
      </c>
      <c r="AK1" s="10" t="s">
        <v>1271</v>
      </c>
      <c r="AL1" s="10" t="s">
        <v>1272</v>
      </c>
      <c r="AM1" s="10" t="s">
        <v>1273</v>
      </c>
      <c r="AN1" s="10" t="s">
        <v>1274</v>
      </c>
      <c r="AO1" s="10" t="s">
        <v>1275</v>
      </c>
      <c r="AP1" s="10" t="s">
        <v>1276</v>
      </c>
      <c r="AQ1" s="10" t="s">
        <v>1277</v>
      </c>
      <c r="AR1" s="10" t="s">
        <v>1278</v>
      </c>
      <c r="AS1" s="10" t="s">
        <v>1279</v>
      </c>
      <c r="AT1" s="10" t="s">
        <v>1280</v>
      </c>
      <c r="AU1" s="10" t="s">
        <v>1281</v>
      </c>
      <c r="AV1" s="10" t="s">
        <v>1282</v>
      </c>
      <c r="AW1" s="10" t="s">
        <v>1283</v>
      </c>
      <c r="AX1" s="10" t="s">
        <v>1284</v>
      </c>
      <c r="AY1" s="10" t="s">
        <v>1285</v>
      </c>
      <c r="AZ1" s="10" t="s">
        <v>1286</v>
      </c>
      <c r="BA1" s="10" t="s">
        <v>1287</v>
      </c>
      <c r="BB1" s="10" t="s">
        <v>1288</v>
      </c>
      <c r="BC1" s="10" t="s">
        <v>1289</v>
      </c>
      <c r="BD1" s="10" t="s">
        <v>1290</v>
      </c>
      <c r="BE1" s="10" t="s">
        <v>1291</v>
      </c>
      <c r="BF1" s="10" t="s">
        <v>1292</v>
      </c>
      <c r="BG1" s="10" t="s">
        <v>1293</v>
      </c>
      <c r="BH1" s="10" t="s">
        <v>1294</v>
      </c>
      <c r="BI1" s="10" t="s">
        <v>1295</v>
      </c>
      <c r="BJ1" s="10" t="s">
        <v>1296</v>
      </c>
      <c r="BK1" s="10" t="s">
        <v>1297</v>
      </c>
      <c r="BL1" s="10" t="s">
        <v>1298</v>
      </c>
      <c r="BM1" s="10" t="s">
        <v>1299</v>
      </c>
      <c r="BN1" s="10" t="s">
        <v>1300</v>
      </c>
      <c r="BO1" s="10" t="s">
        <v>1301</v>
      </c>
      <c r="BP1" s="10" t="s">
        <v>1302</v>
      </c>
      <c r="BQ1" s="10" t="s">
        <v>1303</v>
      </c>
      <c r="BR1" s="10" t="s">
        <v>1304</v>
      </c>
      <c r="BS1" s="10" t="s">
        <v>1305</v>
      </c>
      <c r="BT1" s="10" t="s">
        <v>1306</v>
      </c>
      <c r="BU1" s="10" t="s">
        <v>1307</v>
      </c>
      <c r="BV1" s="10" t="s">
        <v>1308</v>
      </c>
      <c r="BW1" s="10" t="s">
        <v>1309</v>
      </c>
      <c r="BX1" s="10" t="s">
        <v>1310</v>
      </c>
      <c r="BY1" s="10" t="s">
        <v>1311</v>
      </c>
      <c r="BZ1" s="10" t="s">
        <v>1312</v>
      </c>
      <c r="CA1" s="10" t="s">
        <v>1313</v>
      </c>
      <c r="CB1" s="10" t="s">
        <v>1314</v>
      </c>
      <c r="CC1" s="10" t="s">
        <v>1315</v>
      </c>
      <c r="CD1" s="10" t="s">
        <v>1316</v>
      </c>
      <c r="CE1" s="10" t="s">
        <v>1317</v>
      </c>
      <c r="CF1" s="10" t="s">
        <v>1318</v>
      </c>
      <c r="CG1" s="10" t="s">
        <v>1319</v>
      </c>
      <c r="CH1" s="10" t="s">
        <v>1320</v>
      </c>
      <c r="CI1" s="10" t="s">
        <v>1321</v>
      </c>
      <c r="CJ1" s="10" t="s">
        <v>1322</v>
      </c>
      <c r="CK1" s="10" t="s">
        <v>1323</v>
      </c>
      <c r="CL1" s="10" t="s">
        <v>1324</v>
      </c>
      <c r="CM1" s="10" t="s">
        <v>1325</v>
      </c>
      <c r="CN1" s="10" t="s">
        <v>1326</v>
      </c>
      <c r="CO1" s="10" t="s">
        <v>1327</v>
      </c>
      <c r="CP1" s="10" t="s">
        <v>1328</v>
      </c>
      <c r="CQ1" s="197" t="s">
        <v>1329</v>
      </c>
      <c r="CR1" s="197" t="s">
        <v>1330</v>
      </c>
      <c r="CS1" s="197" t="s">
        <v>1331</v>
      </c>
      <c r="CT1" s="197" t="s">
        <v>1332</v>
      </c>
      <c r="CU1" s="197" t="s">
        <v>1333</v>
      </c>
      <c r="CV1" s="197" t="s">
        <v>1334</v>
      </c>
      <c r="CW1" s="197" t="s">
        <v>1335</v>
      </c>
      <c r="CX1" s="197" t="s">
        <v>1336</v>
      </c>
      <c r="CY1" s="197" t="s">
        <v>1337</v>
      </c>
      <c r="CZ1" s="197" t="s">
        <v>1338</v>
      </c>
      <c r="DA1" s="197" t="s">
        <v>1339</v>
      </c>
      <c r="DB1" s="197" t="s">
        <v>1340</v>
      </c>
      <c r="DC1" s="197" t="s">
        <v>1341</v>
      </c>
      <c r="DD1" s="197" t="s">
        <v>1342</v>
      </c>
      <c r="DE1" s="10" t="s">
        <v>1343</v>
      </c>
      <c r="DF1" s="10" t="s">
        <v>1344</v>
      </c>
      <c r="DG1" s="10" t="s">
        <v>1345</v>
      </c>
      <c r="DH1" s="10" t="s">
        <v>1346</v>
      </c>
    </row>
    <row r="2" spans="1:112" s="169" customFormat="1" ht="12.6" customHeight="1" x14ac:dyDescent="0.25">
      <c r="A2" s="199" t="str">
        <f>RIGHT(data!C97,3)</f>
        <v>199</v>
      </c>
      <c r="B2" s="200" t="str">
        <f>RIGHT(data!C96,4)</f>
        <v>2024</v>
      </c>
      <c r="C2" s="12" t="s">
        <v>1163</v>
      </c>
      <c r="D2" s="198">
        <f>ROUND(N(data!C266),0)</f>
        <v>145752</v>
      </c>
      <c r="E2" s="198">
        <f>ROUND(N(data!C267),0)</f>
        <v>0</v>
      </c>
      <c r="F2" s="198">
        <f>ROUND(N(data!C268),0)</f>
        <v>47637676</v>
      </c>
      <c r="G2" s="198">
        <f>ROUND(N(data!C269),0)</f>
        <v>39130000</v>
      </c>
      <c r="H2" s="198">
        <f>ROUND(N(data!C270),0)</f>
        <v>-36492656</v>
      </c>
      <c r="I2" s="198">
        <f>ROUND(N(data!C271),0)</f>
        <v>5233</v>
      </c>
      <c r="J2" s="198">
        <f>ROUND(N(data!C272),0)</f>
        <v>0</v>
      </c>
      <c r="K2" s="198">
        <f>ROUND(N(data!C273),0)</f>
        <v>3046163</v>
      </c>
      <c r="L2" s="198">
        <f>ROUND(N(data!C274),0)</f>
        <v>319825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0</v>
      </c>
      <c r="Q2" s="198">
        <f>ROUND(N(data!C283),0)</f>
        <v>550000</v>
      </c>
      <c r="R2" s="198">
        <f>ROUND(N(data!C284),0)</f>
        <v>26953</v>
      </c>
      <c r="S2" s="198">
        <f>ROUND(N(data!C285),0)</f>
        <v>8688244</v>
      </c>
      <c r="T2" s="198">
        <f>ROUND(N(data!C286),0)</f>
        <v>0</v>
      </c>
      <c r="U2" s="198">
        <f>ROUND(N(data!C287),0)</f>
        <v>0</v>
      </c>
      <c r="V2" s="198">
        <f>ROUND(N(data!C288),0)</f>
        <v>5754216</v>
      </c>
      <c r="W2" s="198">
        <f>ROUND(N(data!C289),0)</f>
        <v>0</v>
      </c>
      <c r="X2" s="198">
        <f>ROUND(N(data!C290),0)</f>
        <v>2244468</v>
      </c>
      <c r="Y2" s="198">
        <f>ROUND(N(data!C291),0)</f>
        <v>0</v>
      </c>
      <c r="Z2" s="198">
        <f>ROUND(N(data!C292),0)</f>
        <v>5659812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0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2371897</v>
      </c>
      <c r="AK2" s="198">
        <f>ROUND(N(data!C316),0)</f>
        <v>1863783</v>
      </c>
      <c r="AL2" s="198">
        <f>ROUND(N(data!C317),0)</f>
        <v>1269000</v>
      </c>
      <c r="AM2" s="198">
        <f>ROUND(N(data!C318),0)</f>
        <v>1030000</v>
      </c>
      <c r="AN2" s="198">
        <f>ROUND(N(data!C319),0)</f>
        <v>300000</v>
      </c>
      <c r="AO2" s="198">
        <f>ROUND(N(data!C320),0)</f>
        <v>0</v>
      </c>
      <c r="AP2" s="198">
        <f>ROUND(N(data!C321),0)</f>
        <v>0</v>
      </c>
      <c r="AQ2" s="198">
        <f>ROUND(N(data!C322),0)</f>
        <v>1194055</v>
      </c>
      <c r="AR2" s="198">
        <f>ROUND(N(data!C323),0)</f>
        <v>623456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135820</v>
      </c>
      <c r="AW2" s="198">
        <f>ROUND(N(data!C332),0)</f>
        <v>0</v>
      </c>
      <c r="AX2" s="198">
        <f>ROUND(N(data!C333),0)</f>
        <v>0</v>
      </c>
      <c r="AY2" s="198">
        <f>ROUND(N(data!C334),0)</f>
        <v>3067979</v>
      </c>
      <c r="AZ2" s="198">
        <f>ROUND(N(data!C335),0)</f>
        <v>0</v>
      </c>
      <c r="BA2" s="198">
        <f>ROUND(N(data!C336),0)</f>
        <v>0</v>
      </c>
      <c r="BB2" s="198">
        <f>ROUND(N(data!C337),0)</f>
        <v>0</v>
      </c>
      <c r="BC2" s="198">
        <f>ROUND(N(data!C338),0)</f>
        <v>0</v>
      </c>
      <c r="BD2" s="198">
        <f>ROUND(N(data!C339),0)</f>
        <v>0</v>
      </c>
      <c r="BE2" s="198">
        <f>ROUND(N(data!C343),0)</f>
        <v>-24096470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228.82</v>
      </c>
      <c r="BL2" s="198">
        <f>ROUND(N(data!C358),0)</f>
        <v>40358267</v>
      </c>
      <c r="BM2" s="198">
        <f>ROUND(N(data!C359),0)</f>
        <v>160962843</v>
      </c>
      <c r="BN2" s="198">
        <f>ROUND(N(data!C363),0)</f>
        <v>142906779</v>
      </c>
      <c r="BO2" s="198">
        <f>ROUND(N(data!C364),0)</f>
        <v>2448483</v>
      </c>
      <c r="BP2" s="198">
        <f>ROUND(N(data!C365),0)</f>
        <v>0</v>
      </c>
      <c r="BQ2" s="198">
        <f>ROUND(N(data!D381),0)</f>
        <v>2903859</v>
      </c>
      <c r="BR2" s="198">
        <f>ROUND(N(data!C370),0)</f>
        <v>0</v>
      </c>
      <c r="BS2" s="198">
        <f>ROUND(N(data!C371),0)</f>
        <v>1527066</v>
      </c>
      <c r="BT2" s="198">
        <f>ROUND(N(data!C372),0)</f>
        <v>0</v>
      </c>
      <c r="BU2" s="198">
        <f>ROUND(N(data!C373),0)</f>
        <v>0</v>
      </c>
      <c r="BV2" s="198">
        <f>ROUND(N(data!C374),0)</f>
        <v>122</v>
      </c>
      <c r="BW2" s="198">
        <f>ROUND(N(data!C375),0)</f>
        <v>0</v>
      </c>
      <c r="BX2" s="198">
        <f>ROUND(N(data!C376),0)</f>
        <v>57824</v>
      </c>
      <c r="BY2" s="198">
        <f>ROUND(N(data!C377),0)</f>
        <v>0</v>
      </c>
      <c r="BZ2" s="198">
        <f>ROUND(N(data!C378),0)</f>
        <v>158489</v>
      </c>
      <c r="CA2" s="198">
        <f>ROUND(N(data!C379),0)</f>
        <v>106181</v>
      </c>
      <c r="CB2" s="198">
        <f>ROUND(N(data!C380),0)</f>
        <v>1054178</v>
      </c>
      <c r="CC2" s="198">
        <f>ROUND(N(data!C382),0)</f>
        <v>0</v>
      </c>
      <c r="CD2" s="198">
        <f>ROUND(N(data!C389),0)</f>
        <v>24369077</v>
      </c>
      <c r="CE2" s="198">
        <f>ROUND(N(data!C390),0)</f>
        <v>4981170</v>
      </c>
      <c r="CF2" s="198">
        <f>ROUND(N(data!C391),0)</f>
        <v>405444</v>
      </c>
      <c r="CG2" s="198">
        <f>ROUND(N(data!C392),0)</f>
        <v>5389095</v>
      </c>
      <c r="CH2" s="198">
        <f>ROUND(N(data!C393),0)</f>
        <v>643791</v>
      </c>
      <c r="CI2" s="198">
        <f>ROUND(N(data!C394),0)</f>
        <v>7391446</v>
      </c>
      <c r="CJ2" s="198">
        <f>ROUND(N(data!C395),0)</f>
        <v>783648</v>
      </c>
      <c r="CK2" s="198">
        <f>ROUND(N(data!C396),0)</f>
        <v>998490</v>
      </c>
      <c r="CL2" s="198">
        <f>ROUND(N(data!C397),0)</f>
        <v>603930</v>
      </c>
      <c r="CM2" s="198">
        <f>ROUND(N(data!C398),0)</f>
        <v>2240367</v>
      </c>
      <c r="CN2" s="198">
        <f>ROUND(N(data!C399),0)</f>
        <v>2456469</v>
      </c>
      <c r="CO2" s="198">
        <f>ROUND(N(data!C362),0)</f>
        <v>3712442</v>
      </c>
      <c r="CP2" s="198">
        <f>ROUND(N(data!D415),0)</f>
        <v>12365379</v>
      </c>
      <c r="CQ2" s="52">
        <f>ROUND(N(data!C401),0)</f>
        <v>0</v>
      </c>
      <c r="CR2" s="52">
        <f>ROUND(N(data!C402),0)</f>
        <v>2380812</v>
      </c>
      <c r="CS2" s="52">
        <f>ROUND(N(data!C403),0)</f>
        <v>0</v>
      </c>
      <c r="CT2" s="52">
        <f>ROUND(N(data!C404),0)</f>
        <v>0</v>
      </c>
      <c r="CU2" s="52">
        <f>ROUND(N(data!C405),0)</f>
        <v>0</v>
      </c>
      <c r="CV2" s="52">
        <f>ROUND(N(data!C406),0)</f>
        <v>0</v>
      </c>
      <c r="CW2" s="52">
        <f>ROUND(N(data!C407),0)</f>
        <v>0</v>
      </c>
      <c r="CX2" s="52">
        <f>ROUND(N(data!C408),0)</f>
        <v>295757</v>
      </c>
      <c r="CY2" s="52">
        <f>ROUND(N(data!C409),0)</f>
        <v>9319897</v>
      </c>
      <c r="CZ2" s="52">
        <f>ROUND(N(data!C410),0)</f>
        <v>0</v>
      </c>
      <c r="DA2" s="52">
        <f>ROUND(N(data!C411),0)</f>
        <v>0</v>
      </c>
      <c r="DB2" s="52">
        <f>ROUND(N(data!C412),0)</f>
        <v>0</v>
      </c>
      <c r="DC2" s="52">
        <f>ROUND(N(data!C413),0)</f>
        <v>0</v>
      </c>
      <c r="DD2" s="52">
        <f>ROUND(N(data!C414),0)</f>
        <v>368913</v>
      </c>
      <c r="DE2" s="52">
        <f>ROUND(N(data!C419),0)</f>
        <v>0</v>
      </c>
      <c r="DF2" s="198">
        <f>ROUND(N(data!D420),0)</f>
        <v>0</v>
      </c>
      <c r="DG2" s="198">
        <f>ROUND(N(data!C422),0)</f>
        <v>0</v>
      </c>
      <c r="DH2" s="198">
        <f>ROUND(N(data!C423),0)</f>
        <v>0</v>
      </c>
    </row>
  </sheetData>
  <sheetProtection algorithmName="SHA-512" hashValue="4CqXYHo/AlSgsxoQO2MhmiHaQub1fpIhpuNBQ43iUMF6cIesRlJtNpEHnzzk1lgGqeev8p4ikBRoP7PGKH3t1g==" saltValue="38+rUmQCkQiQPkBVwUv/T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1347</v>
      </c>
      <c r="B1" s="12" t="s">
        <v>1348</v>
      </c>
      <c r="C1" s="10" t="s">
        <v>1349</v>
      </c>
      <c r="D1" s="12" t="s">
        <v>1350</v>
      </c>
      <c r="E1" s="10" t="s">
        <v>1351</v>
      </c>
      <c r="F1" s="10" t="s">
        <v>1352</v>
      </c>
      <c r="G1" s="10" t="s">
        <v>1353</v>
      </c>
      <c r="H1" s="10" t="s">
        <v>1354</v>
      </c>
      <c r="I1" s="10" t="s">
        <v>1355</v>
      </c>
      <c r="J1" s="10" t="s">
        <v>1356</v>
      </c>
      <c r="K1" s="10" t="s">
        <v>1357</v>
      </c>
      <c r="L1" s="10" t="s">
        <v>1358</v>
      </c>
      <c r="M1" s="10" t="s">
        <v>1359</v>
      </c>
      <c r="N1" s="10" t="s">
        <v>1360</v>
      </c>
      <c r="O1" s="10" t="s">
        <v>1361</v>
      </c>
      <c r="P1" s="10" t="s">
        <v>1329</v>
      </c>
      <c r="Q1" s="10" t="s">
        <v>1330</v>
      </c>
      <c r="R1" s="10" t="s">
        <v>1331</v>
      </c>
      <c r="S1" s="10" t="s">
        <v>1332</v>
      </c>
      <c r="T1" s="10" t="s">
        <v>1333</v>
      </c>
      <c r="U1" s="10" t="s">
        <v>1334</v>
      </c>
      <c r="V1" s="10" t="s">
        <v>1335</v>
      </c>
      <c r="W1" s="10" t="s">
        <v>1336</v>
      </c>
      <c r="X1" s="10" t="s">
        <v>1337</v>
      </c>
      <c r="Y1" s="10" t="s">
        <v>1338</v>
      </c>
      <c r="Z1" s="10" t="s">
        <v>1339</v>
      </c>
      <c r="AA1" s="10" t="s">
        <v>1340</v>
      </c>
      <c r="AB1" s="10" t="s">
        <v>1341</v>
      </c>
      <c r="AC1" s="10" t="s">
        <v>1342</v>
      </c>
      <c r="AD1" s="10" t="s">
        <v>1362</v>
      </c>
      <c r="AE1" s="10" t="s">
        <v>1363</v>
      </c>
      <c r="AF1" s="10" t="s">
        <v>1364</v>
      </c>
      <c r="AG1" s="10" t="s">
        <v>1365</v>
      </c>
      <c r="AH1" s="10" t="s">
        <v>1366</v>
      </c>
      <c r="AI1" s="10" t="s">
        <v>1367</v>
      </c>
      <c r="AJ1" s="10" t="s">
        <v>1368</v>
      </c>
      <c r="AK1" s="10" t="s">
        <v>1369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199</v>
      </c>
      <c r="B2" s="200" t="str">
        <f>RIGHT(data!$C$96,4)</f>
        <v>2024</v>
      </c>
      <c r="C2" s="12" t="str">
        <f>data!C$55</f>
        <v>6010</v>
      </c>
      <c r="D2" s="12" t="s">
        <v>1163</v>
      </c>
      <c r="E2" s="198">
        <f>ROUND(N(data!C59), 0)</f>
        <v>316</v>
      </c>
      <c r="F2" s="271">
        <f>ROUND(N(data!C60), 2)</f>
        <v>0.77</v>
      </c>
      <c r="G2" s="198">
        <f>ROUND(N(data!C61), 0)</f>
        <v>123972</v>
      </c>
      <c r="H2" s="198">
        <f>ROUND(N(data!C62), 0)</f>
        <v>26346</v>
      </c>
      <c r="I2" s="198">
        <f>ROUND(N(data!C63), 0)</f>
        <v>0</v>
      </c>
      <c r="J2" s="198">
        <f>ROUND(N(data!C64), 0)</f>
        <v>54409</v>
      </c>
      <c r="K2" s="198">
        <f>ROUND(N(data!C82), 0)</f>
        <v>0</v>
      </c>
      <c r="L2" s="198">
        <f>ROUND(N(data!C66), 0)</f>
        <v>435</v>
      </c>
      <c r="M2" s="198">
        <f>ROUND(N(data!C67), 0)</f>
        <v>26360</v>
      </c>
      <c r="N2" s="198">
        <f>ROUND(N(data!C68), 0)</f>
        <v>6801</v>
      </c>
      <c r="O2" s="198">
        <f>ROUND(N(data!C69), 0)</f>
        <v>6895</v>
      </c>
      <c r="P2" s="198">
        <f>ROUND(N(data!C70), 0)</f>
        <v>0</v>
      </c>
      <c r="Q2" s="198">
        <f>ROUND(N(data!C71), 0)</f>
        <v>0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3315</v>
      </c>
      <c r="X2" s="198">
        <f>ROUND(N(data!C78), 0)</f>
        <v>0</v>
      </c>
      <c r="Y2" s="198">
        <f>ROUND(N(data!C79), 0)</f>
        <v>0</v>
      </c>
      <c r="Z2" s="198">
        <f>ROUND(N(data!C80), 0)</f>
        <v>0</v>
      </c>
      <c r="AA2" s="198">
        <f>ROUND(N(data!C81), 0)</f>
        <v>0</v>
      </c>
      <c r="AB2" s="198" t="e">
        <f>ROUND(N(data!#REF!), 0)</f>
        <v>#REF!</v>
      </c>
      <c r="AC2" s="198">
        <f>ROUND(N(data!C83), 0)</f>
        <v>3580</v>
      </c>
      <c r="AD2" s="198">
        <f>ROUND(N(data!C84), 0)</f>
        <v>0</v>
      </c>
      <c r="AE2" s="198">
        <f>ROUND(N(data!C89), 0)</f>
        <v>40238</v>
      </c>
      <c r="AF2" s="198">
        <f>ROUND(N(data!C87), 0)</f>
        <v>40238</v>
      </c>
      <c r="AG2" s="198">
        <f>ROUND(N(data!C90), 0)</f>
        <v>2395</v>
      </c>
      <c r="AH2" s="198">
        <f>ROUND(N(data!C91), 0)</f>
        <v>4906</v>
      </c>
      <c r="AI2" s="198">
        <f>ROUND(N(data!C92), 0)</f>
        <v>0</v>
      </c>
      <c r="AJ2" s="198">
        <f>ROUND(N(data!C93), 0)</f>
        <v>63855</v>
      </c>
      <c r="AK2" s="271">
        <f>ROUND(N(data!C94), 2)</f>
        <v>0.73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199</v>
      </c>
      <c r="B3" s="200" t="str">
        <f>RIGHT(data!$C$96,4)</f>
        <v>2024</v>
      </c>
      <c r="C3" s="12" t="str">
        <f>data!D$55</f>
        <v>6030</v>
      </c>
      <c r="D3" s="12" t="s">
        <v>1163</v>
      </c>
      <c r="E3" s="198">
        <f>ROUND(N(data!D59), 0)</f>
        <v>0</v>
      </c>
      <c r="F3" s="271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ROUND(N(data!D82),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 t="e">
        <f>ROUND(N(data!#REF!), 0)</f>
        <v>#REF!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199</v>
      </c>
      <c r="B4" s="200" t="str">
        <f>RIGHT(data!$C$96,4)</f>
        <v>2024</v>
      </c>
      <c r="C4" s="12" t="str">
        <f>data!E$55</f>
        <v>6070</v>
      </c>
      <c r="D4" s="12" t="s">
        <v>1163</v>
      </c>
      <c r="E4" s="198">
        <f>ROUND(N(data!E59), 0)</f>
        <v>1613</v>
      </c>
      <c r="F4" s="271">
        <f>ROUND(N(data!E60), 2)</f>
        <v>12.89</v>
      </c>
      <c r="G4" s="198">
        <f>ROUND(N(data!E61), 0)</f>
        <v>1123908</v>
      </c>
      <c r="H4" s="198">
        <f>ROUND(N(data!E62), 0)</f>
        <v>248132</v>
      </c>
      <c r="I4" s="198">
        <f>ROUND(N(data!E63), 0)</f>
        <v>0</v>
      </c>
      <c r="J4" s="198">
        <f>ROUND(N(data!E64), 0)</f>
        <v>94605</v>
      </c>
      <c r="K4" s="198">
        <f>ROUND(N(data!E82), 0)</f>
        <v>780</v>
      </c>
      <c r="L4" s="198">
        <f>ROUND(N(data!E66), 0)</f>
        <v>100285</v>
      </c>
      <c r="M4" s="198">
        <f>ROUND(N(data!E67), 0)</f>
        <v>31136</v>
      </c>
      <c r="N4" s="198">
        <f>ROUND(N(data!E68), 0)</f>
        <v>692</v>
      </c>
      <c r="O4" s="198">
        <f>ROUND(N(data!E69), 0)</f>
        <v>1156442</v>
      </c>
      <c r="P4" s="198">
        <f>ROUND(N(data!E70), 0)</f>
        <v>0</v>
      </c>
      <c r="Q4" s="198">
        <f>ROUND(N(data!E71), 0)</f>
        <v>1152595</v>
      </c>
      <c r="R4" s="198">
        <f>ROUND(N(data!E72), 0)</f>
        <v>0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0</v>
      </c>
      <c r="X4" s="198">
        <f>ROUND(N(data!E78), 0)</f>
        <v>0</v>
      </c>
      <c r="Y4" s="198">
        <f>ROUND(N(data!E79), 0)</f>
        <v>0</v>
      </c>
      <c r="Z4" s="198">
        <f>ROUND(N(data!E80), 0)</f>
        <v>0</v>
      </c>
      <c r="AA4" s="198">
        <f>ROUND(N(data!E81), 0)</f>
        <v>0</v>
      </c>
      <c r="AB4" s="198" t="e">
        <f>ROUND(N(data!#REF!), 0)</f>
        <v>#REF!</v>
      </c>
      <c r="AC4" s="198">
        <f>ROUND(N(data!E83), 0)</f>
        <v>3067</v>
      </c>
      <c r="AD4" s="198">
        <f>ROUND(N(data!E84), 0)</f>
        <v>0</v>
      </c>
      <c r="AE4" s="198">
        <f>ROUND(N(data!E89), 0)</f>
        <v>-10696718</v>
      </c>
      <c r="AF4" s="198">
        <f>ROUND(N(data!E87), 0)</f>
        <v>-3837400</v>
      </c>
      <c r="AG4" s="198">
        <f>ROUND(N(data!E90), 0)</f>
        <v>2829</v>
      </c>
      <c r="AH4" s="198">
        <f>ROUND(N(data!E91), 0)</f>
        <v>0</v>
      </c>
      <c r="AI4" s="198">
        <f>ROUND(N(data!E92), 0)</f>
        <v>0</v>
      </c>
      <c r="AJ4" s="198">
        <f>ROUND(N(data!E93), 0)</f>
        <v>0</v>
      </c>
      <c r="AK4" s="271">
        <f>ROUND(N(data!E94), 2)</f>
        <v>5.79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199</v>
      </c>
      <c r="B5" s="200" t="str">
        <f>RIGHT(data!$C$96,4)</f>
        <v>2024</v>
      </c>
      <c r="C5" s="12" t="str">
        <f>data!F$55</f>
        <v>6100</v>
      </c>
      <c r="D5" s="12" t="s">
        <v>1163</v>
      </c>
      <c r="E5" s="198">
        <f>ROUND(N(data!F59), 0)</f>
        <v>0</v>
      </c>
      <c r="F5" s="271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ROUND(N(data!F82),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 t="e">
        <f>ROUND(N(data!#REF!), 0)</f>
        <v>#REF!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1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199</v>
      </c>
      <c r="B6" s="200" t="str">
        <f>RIGHT(data!$C$96,4)</f>
        <v>2024</v>
      </c>
      <c r="C6" s="12" t="str">
        <f>data!G$55</f>
        <v>6120</v>
      </c>
      <c r="D6" s="12" t="s">
        <v>1163</v>
      </c>
      <c r="E6" s="198">
        <f>ROUND(N(data!G59), 0)</f>
        <v>0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ROUND(N(data!G82),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 t="e">
        <f>ROUND(N(data!#REF!), 0)</f>
        <v>#REF!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199</v>
      </c>
      <c r="B7" s="200" t="str">
        <f>RIGHT(data!$C$96,4)</f>
        <v>2024</v>
      </c>
      <c r="C7" s="12" t="str">
        <f>data!H$55</f>
        <v>6140</v>
      </c>
      <c r="D7" s="12" t="s">
        <v>1163</v>
      </c>
      <c r="E7" s="198">
        <f>ROUND(N(data!H59), 0)</f>
        <v>5144</v>
      </c>
      <c r="F7" s="271">
        <f>ROUND(N(data!H60), 2)</f>
        <v>29.51</v>
      </c>
      <c r="G7" s="198">
        <f>ROUND(N(data!H61), 0)</f>
        <v>2650393</v>
      </c>
      <c r="H7" s="198">
        <f>ROUND(N(data!H62), 0)</f>
        <v>576595</v>
      </c>
      <c r="I7" s="198">
        <f>ROUND(N(data!H63), 0)</f>
        <v>74821</v>
      </c>
      <c r="J7" s="198">
        <f>ROUND(N(data!H64), 0)</f>
        <v>22768</v>
      </c>
      <c r="K7" s="198">
        <f>ROUND(N(data!H82), 0)</f>
        <v>350</v>
      </c>
      <c r="L7" s="198">
        <f>ROUND(N(data!H66), 0)</f>
        <v>919</v>
      </c>
      <c r="M7" s="198">
        <f>ROUND(N(data!H67), 0)</f>
        <v>49561</v>
      </c>
      <c r="N7" s="198">
        <f>ROUND(N(data!H68), 0)</f>
        <v>0</v>
      </c>
      <c r="O7" s="198">
        <f>ROUND(N(data!H69), 0)</f>
        <v>303676</v>
      </c>
      <c r="P7" s="198">
        <f>ROUND(N(data!H70), 0)</f>
        <v>0</v>
      </c>
      <c r="Q7" s="198">
        <f>ROUND(N(data!H71), 0)</f>
        <v>290365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261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5467</v>
      </c>
      <c r="AB7" s="198" t="e">
        <f>ROUND(N(data!#REF!), 0)</f>
        <v>#REF!</v>
      </c>
      <c r="AC7" s="198">
        <f>ROUND(N(data!H83), 0)</f>
        <v>7234</v>
      </c>
      <c r="AD7" s="198">
        <f>ROUND(N(data!H84), 0)</f>
        <v>0</v>
      </c>
      <c r="AE7" s="198">
        <f>ROUND(N(data!H89), 0)</f>
        <v>-11543136</v>
      </c>
      <c r="AF7" s="198">
        <f>ROUND(N(data!H87), 0)</f>
        <v>-11543136</v>
      </c>
      <c r="AG7" s="198">
        <f>ROUND(N(data!H90), 0)</f>
        <v>4503</v>
      </c>
      <c r="AH7" s="198">
        <f>ROUND(N(data!H91), 0)</f>
        <v>15430</v>
      </c>
      <c r="AI7" s="198">
        <f>ROUND(N(data!H92), 0)</f>
        <v>0</v>
      </c>
      <c r="AJ7" s="198">
        <f>ROUND(N(data!H93), 0)</f>
        <v>45074</v>
      </c>
      <c r="AK7" s="271">
        <f>ROUND(N(data!H94), 2)</f>
        <v>8.82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199</v>
      </c>
      <c r="B8" s="200" t="str">
        <f>RIGHT(data!$C$96,4)</f>
        <v>2024</v>
      </c>
      <c r="C8" s="12" t="str">
        <f>data!I$55</f>
        <v>6150</v>
      </c>
      <c r="D8" s="12" t="s">
        <v>1163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ROUND(N(data!I82),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 t="e">
        <f>ROUND(N(data!#REF!), 0)</f>
        <v>#REF!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199</v>
      </c>
      <c r="B9" s="200" t="str">
        <f>RIGHT(data!$C$96,4)</f>
        <v>2024</v>
      </c>
      <c r="C9" s="12" t="str">
        <f>data!J$55</f>
        <v>6170</v>
      </c>
      <c r="D9" s="12" t="s">
        <v>1163</v>
      </c>
      <c r="E9" s="198">
        <f>ROUND(N(data!J59), 0)</f>
        <v>0</v>
      </c>
      <c r="F9" s="271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ROUND(N(data!J82),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 t="e">
        <f>ROUND(N(data!#REF!), 0)</f>
        <v>#REF!</v>
      </c>
      <c r="AC9" s="198">
        <f>ROUND(N(data!J83), 0)</f>
        <v>0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271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199</v>
      </c>
      <c r="B10" s="200" t="str">
        <f>RIGHT(data!$C$96,4)</f>
        <v>2024</v>
      </c>
      <c r="C10" s="12" t="str">
        <f>data!K$55</f>
        <v>6200</v>
      </c>
      <c r="D10" s="12" t="s">
        <v>1163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ROUND(N(data!K82),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 t="e">
        <f>ROUND(N(data!#REF!), 0)</f>
        <v>#REF!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199</v>
      </c>
      <c r="B11" s="200" t="str">
        <f>RIGHT(data!$C$96,4)</f>
        <v>2024</v>
      </c>
      <c r="C11" s="12" t="str">
        <f>data!L$55</f>
        <v>6210</v>
      </c>
      <c r="D11" s="12" t="s">
        <v>1163</v>
      </c>
      <c r="E11" s="198">
        <f>ROUND(N(data!L59), 0)</f>
        <v>0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ROUND(N(data!L82),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 t="e">
        <f>ROUND(N(data!#REF!), 0)</f>
        <v>#REF!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199</v>
      </c>
      <c r="B12" s="200" t="str">
        <f>RIGHT(data!$C$96,4)</f>
        <v>2024</v>
      </c>
      <c r="C12" s="12" t="str">
        <f>data!M$55</f>
        <v>6330</v>
      </c>
      <c r="D12" s="12" t="s">
        <v>1163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ROUND(N(data!M82),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 t="e">
        <f>ROUND(N(data!#REF!), 0)</f>
        <v>#REF!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199</v>
      </c>
      <c r="B13" s="200" t="str">
        <f>RIGHT(data!$C$96,4)</f>
        <v>2024</v>
      </c>
      <c r="C13" s="12" t="str">
        <f>data!N$55</f>
        <v>6400</v>
      </c>
      <c r="D13" s="12" t="s">
        <v>1163</v>
      </c>
      <c r="E13" s="198">
        <f>ROUND(N(data!N59), 0)</f>
        <v>0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ROUND(N(data!N82),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 t="e">
        <f>ROUND(N(data!#REF!), 0)</f>
        <v>#REF!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199</v>
      </c>
      <c r="B14" s="200" t="str">
        <f>RIGHT(data!$C$96,4)</f>
        <v>2024</v>
      </c>
      <c r="C14" s="12" t="str">
        <f>data!O$55</f>
        <v>7010</v>
      </c>
      <c r="D14" s="12" t="s">
        <v>1163</v>
      </c>
      <c r="E14" s="198">
        <f>ROUND(N(data!O59), 0)</f>
        <v>0</v>
      </c>
      <c r="F14" s="271">
        <f>ROUND(N(data!O60), 2)</f>
        <v>0</v>
      </c>
      <c r="G14" s="198">
        <f>ROUND(N(data!O61), 0)</f>
        <v>0</v>
      </c>
      <c r="H14" s="198">
        <f>ROUND(N(data!O62), 0)</f>
        <v>0</v>
      </c>
      <c r="I14" s="198">
        <f>ROUND(N(data!O63), 0)</f>
        <v>0</v>
      </c>
      <c r="J14" s="198">
        <f>ROUND(N(data!O64), 0)</f>
        <v>0</v>
      </c>
      <c r="K14" s="198">
        <f>ROUND(N(data!O82), 0)</f>
        <v>0</v>
      </c>
      <c r="L14" s="198">
        <f>ROUND(N(data!O66), 0)</f>
        <v>0</v>
      </c>
      <c r="M14" s="198">
        <f>ROUND(N(data!O67), 0)</f>
        <v>77054</v>
      </c>
      <c r="N14" s="198">
        <f>ROUND(N(data!O68), 0)</f>
        <v>0</v>
      </c>
      <c r="O14" s="198">
        <f>ROUND(N(data!O69), 0)</f>
        <v>0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 t="e">
        <f>ROUND(N(data!#REF!), 0)</f>
        <v>#REF!</v>
      </c>
      <c r="AC14" s="198">
        <f>ROUND(N(data!O83), 0)</f>
        <v>0</v>
      </c>
      <c r="AD14" s="198">
        <f>ROUND(N(data!O84), 0)</f>
        <v>0</v>
      </c>
      <c r="AE14" s="198">
        <f>ROUND(N(data!O89), 0)</f>
        <v>8790</v>
      </c>
      <c r="AF14" s="198">
        <f>ROUND(N(data!O87), 0)</f>
        <v>7464</v>
      </c>
      <c r="AG14" s="198">
        <f>ROUND(N(data!O90), 0)</f>
        <v>7001</v>
      </c>
      <c r="AH14" s="198">
        <f>ROUND(N(data!O91), 0)</f>
        <v>2755</v>
      </c>
      <c r="AI14" s="198">
        <f>ROUND(N(data!O92), 0)</f>
        <v>0</v>
      </c>
      <c r="AJ14" s="198">
        <f>ROUND(N(data!O93), 0)</f>
        <v>0</v>
      </c>
      <c r="AK14" s="271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199</v>
      </c>
      <c r="B15" s="200" t="str">
        <f>RIGHT(data!$C$96,4)</f>
        <v>2024</v>
      </c>
      <c r="C15" s="12" t="str">
        <f>data!P$55</f>
        <v>7020</v>
      </c>
      <c r="D15" s="12" t="s">
        <v>1163</v>
      </c>
      <c r="E15" s="198">
        <f>ROUND(N(data!P59), 0)</f>
        <v>0</v>
      </c>
      <c r="F15" s="271">
        <f>ROUND(N(data!P60), 2)</f>
        <v>22.12</v>
      </c>
      <c r="G15" s="198">
        <f>ROUND(N(data!P61), 0)</f>
        <v>2120540</v>
      </c>
      <c r="H15" s="198">
        <f>ROUND(N(data!P62), 0)</f>
        <v>486106</v>
      </c>
      <c r="I15" s="198">
        <f>ROUND(N(data!P63), 0)</f>
        <v>0</v>
      </c>
      <c r="J15" s="198">
        <f>ROUND(N(data!P64), 0)</f>
        <v>2455113</v>
      </c>
      <c r="K15" s="198">
        <f>ROUND(N(data!P82), 0)</f>
        <v>13658</v>
      </c>
      <c r="L15" s="198">
        <f>ROUND(N(data!P66), 0)</f>
        <v>127201</v>
      </c>
      <c r="M15" s="198">
        <f>ROUND(N(data!P67), 0)</f>
        <v>138457</v>
      </c>
      <c r="N15" s="198">
        <f>ROUND(N(data!P68), 0)</f>
        <v>274989</v>
      </c>
      <c r="O15" s="198">
        <f>ROUND(N(data!P69), 0)</f>
        <v>609451</v>
      </c>
      <c r="P15" s="198">
        <f>ROUND(N(data!P70), 0)</f>
        <v>0</v>
      </c>
      <c r="Q15" s="198">
        <f>ROUND(N(data!P71), 0)</f>
        <v>423819</v>
      </c>
      <c r="R15" s="198">
        <f>ROUND(N(data!P72), 0)</f>
        <v>0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118998</v>
      </c>
      <c r="X15" s="198">
        <f>ROUND(N(data!P78), 0)</f>
        <v>0</v>
      </c>
      <c r="Y15" s="198">
        <f>ROUND(N(data!P79), 0)</f>
        <v>0</v>
      </c>
      <c r="Z15" s="198">
        <f>ROUND(N(data!P80), 0)</f>
        <v>0</v>
      </c>
      <c r="AA15" s="198">
        <f>ROUND(N(data!P81), 0)</f>
        <v>2436</v>
      </c>
      <c r="AB15" s="198" t="e">
        <f>ROUND(N(data!#REF!), 0)</f>
        <v>#REF!</v>
      </c>
      <c r="AC15" s="198">
        <f>ROUND(N(data!P83), 0)</f>
        <v>50541</v>
      </c>
      <c r="AD15" s="198">
        <f>ROUND(N(data!P84), 0)</f>
        <v>0</v>
      </c>
      <c r="AE15" s="198">
        <f>ROUND(N(data!P89), 0)</f>
        <v>-44253437</v>
      </c>
      <c r="AF15" s="198">
        <f>ROUND(N(data!P87), 0)</f>
        <v>-2379609</v>
      </c>
      <c r="AG15" s="198">
        <f>ROUND(N(data!P90), 0)</f>
        <v>12580</v>
      </c>
      <c r="AH15" s="198">
        <f>ROUND(N(data!P91), 0)</f>
        <v>0</v>
      </c>
      <c r="AI15" s="198">
        <f>ROUND(N(data!P92), 0)</f>
        <v>0</v>
      </c>
      <c r="AJ15" s="198">
        <f>ROUND(N(data!P93), 0)</f>
        <v>75124</v>
      </c>
      <c r="AK15" s="271">
        <f>ROUND(N(data!P94), 2)</f>
        <v>10.06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199</v>
      </c>
      <c r="B16" s="200" t="str">
        <f>RIGHT(data!$C$96,4)</f>
        <v>2024</v>
      </c>
      <c r="C16" s="12" t="str">
        <f>data!Q$55</f>
        <v>7030</v>
      </c>
      <c r="D16" s="12" t="s">
        <v>1163</v>
      </c>
      <c r="E16" s="198">
        <f>ROUND(N(data!Q59), 0)</f>
        <v>0</v>
      </c>
      <c r="F16" s="271">
        <f>ROUND(N(data!Q60), 2)</f>
        <v>3.82</v>
      </c>
      <c r="G16" s="198">
        <f>ROUND(N(data!Q61), 0)</f>
        <v>534444</v>
      </c>
      <c r="H16" s="198">
        <f>ROUND(N(data!Q62), 0)</f>
        <v>116206</v>
      </c>
      <c r="I16" s="198">
        <f>ROUND(N(data!Q63), 0)</f>
        <v>0</v>
      </c>
      <c r="J16" s="198">
        <f>ROUND(N(data!Q64), 0)</f>
        <v>38176</v>
      </c>
      <c r="K16" s="198">
        <f>ROUND(N(data!Q82), 0)</f>
        <v>0</v>
      </c>
      <c r="L16" s="198">
        <f>ROUND(N(data!Q66), 0)</f>
        <v>0</v>
      </c>
      <c r="M16" s="198">
        <f>ROUND(N(data!Q67), 0)</f>
        <v>0</v>
      </c>
      <c r="N16" s="198">
        <f>ROUND(N(data!Q68), 0)</f>
        <v>0</v>
      </c>
      <c r="O16" s="198">
        <f>ROUND(N(data!Q69), 0)</f>
        <v>339</v>
      </c>
      <c r="P16" s="198">
        <f>ROUND(N(data!Q70), 0)</f>
        <v>0</v>
      </c>
      <c r="Q16" s="198">
        <f>ROUND(N(data!Q71), 0)</f>
        <v>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339</v>
      </c>
      <c r="X16" s="198">
        <f>ROUND(N(data!Q78), 0)</f>
        <v>0</v>
      </c>
      <c r="Y16" s="198">
        <f>ROUND(N(data!Q79), 0)</f>
        <v>0</v>
      </c>
      <c r="Z16" s="198">
        <f>ROUND(N(data!Q80), 0)</f>
        <v>0</v>
      </c>
      <c r="AA16" s="198">
        <f>ROUND(N(data!Q81), 0)</f>
        <v>0</v>
      </c>
      <c r="AB16" s="198" t="e">
        <f>ROUND(N(data!#REF!), 0)</f>
        <v>#REF!</v>
      </c>
      <c r="AC16" s="198">
        <f>ROUND(N(data!Q83), 0)</f>
        <v>0</v>
      </c>
      <c r="AD16" s="198">
        <f>ROUND(N(data!Q84), 0)</f>
        <v>0</v>
      </c>
      <c r="AE16" s="198">
        <f>ROUND(N(data!Q89), 0)</f>
        <v>-1716118</v>
      </c>
      <c r="AF16" s="198">
        <f>ROUND(N(data!Q87), 0)</f>
        <v>-112277</v>
      </c>
      <c r="AG16" s="198">
        <f>ROUND(N(data!Q90), 0)</f>
        <v>0</v>
      </c>
      <c r="AH16" s="198">
        <f>ROUND(N(data!Q91), 0)</f>
        <v>0</v>
      </c>
      <c r="AI16" s="198">
        <f>ROUND(N(data!Q92), 0)</f>
        <v>0</v>
      </c>
      <c r="AJ16" s="198">
        <f>ROUND(N(data!Q93), 0)</f>
        <v>0</v>
      </c>
      <c r="AK16" s="271">
        <f>ROUND(N(data!Q94), 2)</f>
        <v>3.81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199</v>
      </c>
      <c r="B17" s="200" t="str">
        <f>RIGHT(data!$C$96,4)</f>
        <v>2024</v>
      </c>
      <c r="C17" s="12" t="str">
        <f>data!R$55</f>
        <v>7040</v>
      </c>
      <c r="D17" s="12" t="s">
        <v>1163</v>
      </c>
      <c r="E17" s="198">
        <f>ROUND(N(data!R59), 0)</f>
        <v>0</v>
      </c>
      <c r="F17" s="271">
        <f>ROUND(N(data!R60), 2)</f>
        <v>0</v>
      </c>
      <c r="G17" s="198">
        <f>ROUND(N(data!R61), 0)</f>
        <v>0</v>
      </c>
      <c r="H17" s="198">
        <f>ROUND(N(data!R62), 0)</f>
        <v>0</v>
      </c>
      <c r="I17" s="198">
        <f>ROUND(N(data!R63), 0)</f>
        <v>0</v>
      </c>
      <c r="J17" s="198">
        <f>ROUND(N(data!R64), 0)</f>
        <v>15431</v>
      </c>
      <c r="K17" s="198">
        <f>ROUND(N(data!R82), 0)</f>
        <v>0</v>
      </c>
      <c r="L17" s="198">
        <f>ROUND(N(data!R66), 0)</f>
        <v>1115851</v>
      </c>
      <c r="M17" s="198">
        <f>ROUND(N(data!R67), 0)</f>
        <v>0</v>
      </c>
      <c r="N17" s="198">
        <f>ROUND(N(data!R68), 0)</f>
        <v>0</v>
      </c>
      <c r="O17" s="198">
        <f>ROUND(N(data!R69), 0)</f>
        <v>0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0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 t="e">
        <f>ROUND(N(data!#REF!), 0)</f>
        <v>#REF!</v>
      </c>
      <c r="AC17" s="198">
        <f>ROUND(N(data!R83), 0)</f>
        <v>0</v>
      </c>
      <c r="AD17" s="198">
        <f>ROUND(N(data!R84), 0)</f>
        <v>0</v>
      </c>
      <c r="AE17" s="198">
        <f>ROUND(N(data!R89), 0)</f>
        <v>-740346</v>
      </c>
      <c r="AF17" s="198">
        <f>ROUND(N(data!R87), 0)</f>
        <v>-155575</v>
      </c>
      <c r="AG17" s="198">
        <f>ROUND(N(data!R90), 0)</f>
        <v>0</v>
      </c>
      <c r="AH17" s="198">
        <f>ROUND(N(data!R91), 0)</f>
        <v>0</v>
      </c>
      <c r="AI17" s="198">
        <f>ROUND(N(data!R92), 0)</f>
        <v>0</v>
      </c>
      <c r="AJ17" s="198">
        <f>ROUND(N(data!R93), 0)</f>
        <v>0</v>
      </c>
      <c r="AK17" s="271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199</v>
      </c>
      <c r="B18" s="200" t="str">
        <f>RIGHT(data!$C$96,4)</f>
        <v>2024</v>
      </c>
      <c r="C18" s="12" t="str">
        <f>data!S$55</f>
        <v>7050</v>
      </c>
      <c r="D18" s="12" t="s">
        <v>1163</v>
      </c>
      <c r="E18" s="198">
        <f>ROUND(N(data!S59), 0)</f>
        <v>0</v>
      </c>
      <c r="F18" s="271">
        <f>ROUND(N(data!S60), 2)</f>
        <v>0.01</v>
      </c>
      <c r="G18" s="198">
        <f>ROUND(N(data!S61), 0)</f>
        <v>482</v>
      </c>
      <c r="H18" s="198">
        <f>ROUND(N(data!S62), 0)</f>
        <v>117</v>
      </c>
      <c r="I18" s="198">
        <f>ROUND(N(data!S63), 0)</f>
        <v>0</v>
      </c>
      <c r="J18" s="198">
        <f>ROUND(N(data!S64), 0)</f>
        <v>-246449</v>
      </c>
      <c r="K18" s="198">
        <f>ROUND(N(data!S82), 0)</f>
        <v>0</v>
      </c>
      <c r="L18" s="198">
        <f>ROUND(N(data!S66), 0)</f>
        <v>12355</v>
      </c>
      <c r="M18" s="198">
        <f>ROUND(N(data!S67), 0)</f>
        <v>0</v>
      </c>
      <c r="N18" s="198">
        <f>ROUND(N(data!S68), 0)</f>
        <v>0</v>
      </c>
      <c r="O18" s="198">
        <f>ROUND(N(data!S69), 0)</f>
        <v>0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0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 t="e">
        <f>ROUND(N(data!#REF!), 0)</f>
        <v>#REF!</v>
      </c>
      <c r="AC18" s="198">
        <f>ROUND(N(data!S83), 0)</f>
        <v>0</v>
      </c>
      <c r="AD18" s="198">
        <f>ROUND(N(data!S84), 0)</f>
        <v>0</v>
      </c>
      <c r="AE18" s="198">
        <f>ROUND(N(data!S89), 0)</f>
        <v>-5072423</v>
      </c>
      <c r="AF18" s="198">
        <f>ROUND(N(data!S87), 0)</f>
        <v>-744747</v>
      </c>
      <c r="AG18" s="198">
        <f>ROUND(N(data!S90), 0)</f>
        <v>0</v>
      </c>
      <c r="AH18" s="198">
        <f>ROUND(N(data!S91), 0)</f>
        <v>0</v>
      </c>
      <c r="AI18" s="198">
        <f>ROUND(N(data!S92), 0)</f>
        <v>0</v>
      </c>
      <c r="AJ18" s="198">
        <f>ROUND(N(data!S93), 0)</f>
        <v>0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199</v>
      </c>
      <c r="B19" s="200" t="str">
        <f>RIGHT(data!$C$96,4)</f>
        <v>2024</v>
      </c>
      <c r="C19" s="12" t="str">
        <f>data!T$55</f>
        <v>7060</v>
      </c>
      <c r="D19" s="12" t="s">
        <v>1163</v>
      </c>
      <c r="E19" s="198">
        <f>ROUND(N(data!T59), 0)</f>
        <v>0</v>
      </c>
      <c r="F19" s="271">
        <f>ROUND(N(data!T60), 2)</f>
        <v>0</v>
      </c>
      <c r="G19" s="198">
        <f>ROUND(N(data!T61), 0)</f>
        <v>0</v>
      </c>
      <c r="H19" s="198">
        <f>ROUND(N(data!T62), 0)</f>
        <v>0</v>
      </c>
      <c r="I19" s="198">
        <f>ROUND(N(data!T63), 0)</f>
        <v>0</v>
      </c>
      <c r="J19" s="198">
        <f>ROUND(N(data!T64), 0)</f>
        <v>0</v>
      </c>
      <c r="K19" s="198">
        <f>ROUND(N(data!T82),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 t="e">
        <f>ROUND(N(data!#REF!), 0)</f>
        <v>#REF!</v>
      </c>
      <c r="AC19" s="198">
        <f>ROUND(N(data!T83), 0)</f>
        <v>0</v>
      </c>
      <c r="AD19" s="198">
        <f>ROUND(N(data!T84), 0)</f>
        <v>0</v>
      </c>
      <c r="AE19" s="198">
        <f>ROUND(N(data!T89), 0)</f>
        <v>-127303</v>
      </c>
      <c r="AF19" s="198">
        <f>ROUND(N(data!T87), 0)</f>
        <v>0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271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199</v>
      </c>
      <c r="B20" s="200" t="str">
        <f>RIGHT(data!$C$96,4)</f>
        <v>2024</v>
      </c>
      <c r="C20" s="12" t="str">
        <f>data!U$55</f>
        <v>7070</v>
      </c>
      <c r="D20" s="12" t="s">
        <v>1163</v>
      </c>
      <c r="E20" s="198">
        <f>ROUND(N(data!U59), 0)</f>
        <v>0</v>
      </c>
      <c r="F20" s="271">
        <f>ROUND(N(data!U60), 2)</f>
        <v>11.69</v>
      </c>
      <c r="G20" s="198">
        <f>ROUND(N(data!U61), 0)</f>
        <v>888320</v>
      </c>
      <c r="H20" s="198">
        <f>ROUND(N(data!U62), 0)</f>
        <v>201058</v>
      </c>
      <c r="I20" s="198">
        <f>ROUND(N(data!U63), 0)</f>
        <v>60000</v>
      </c>
      <c r="J20" s="198">
        <f>ROUND(N(data!U64), 0)</f>
        <v>848711</v>
      </c>
      <c r="K20" s="198">
        <f>ROUND(N(data!U82), 0)</f>
        <v>75</v>
      </c>
      <c r="L20" s="198">
        <f>ROUND(N(data!U66), 0)</f>
        <v>444271</v>
      </c>
      <c r="M20" s="198">
        <f>ROUND(N(data!U67), 0)</f>
        <v>31048</v>
      </c>
      <c r="N20" s="198">
        <f>ROUND(N(data!U68), 0)</f>
        <v>64503</v>
      </c>
      <c r="O20" s="198">
        <f>ROUND(N(data!U69), 0)</f>
        <v>30878</v>
      </c>
      <c r="P20" s="198">
        <f>ROUND(N(data!U70), 0)</f>
        <v>0</v>
      </c>
      <c r="Q20" s="198">
        <f>ROUND(N(data!U71), 0)</f>
        <v>0</v>
      </c>
      <c r="R20" s="198">
        <f>ROUND(N(data!U72), 0)</f>
        <v>0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14787</v>
      </c>
      <c r="X20" s="198">
        <f>ROUND(N(data!U78), 0)</f>
        <v>0</v>
      </c>
      <c r="Y20" s="198">
        <f>ROUND(N(data!U79), 0)</f>
        <v>0</v>
      </c>
      <c r="Z20" s="198">
        <f>ROUND(N(data!U80), 0)</f>
        <v>0</v>
      </c>
      <c r="AA20" s="198">
        <f>ROUND(N(data!U81), 0)</f>
        <v>1070</v>
      </c>
      <c r="AB20" s="198" t="e">
        <f>ROUND(N(data!#REF!), 0)</f>
        <v>#REF!</v>
      </c>
      <c r="AC20" s="198">
        <f>ROUND(N(data!U83), 0)</f>
        <v>14946</v>
      </c>
      <c r="AD20" s="198">
        <f>ROUND(N(data!U84), 0)</f>
        <v>0</v>
      </c>
      <c r="AE20" s="198">
        <f>ROUND(N(data!U89), 0)</f>
        <v>-18417872</v>
      </c>
      <c r="AF20" s="198">
        <f>ROUND(N(data!U87), 0)</f>
        <v>-4161297</v>
      </c>
      <c r="AG20" s="198">
        <f>ROUND(N(data!U90), 0)</f>
        <v>2821</v>
      </c>
      <c r="AH20" s="198">
        <f>ROUND(N(data!U91), 0)</f>
        <v>0</v>
      </c>
      <c r="AI20" s="198">
        <f>ROUND(N(data!U92), 0)</f>
        <v>0</v>
      </c>
      <c r="AJ20" s="198">
        <f>ROUND(N(data!U93), 0)</f>
        <v>0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199</v>
      </c>
      <c r="B21" s="200" t="str">
        <f>RIGHT(data!$C$96,4)</f>
        <v>2024</v>
      </c>
      <c r="C21" s="12" t="str">
        <f>data!V$55</f>
        <v>7110</v>
      </c>
      <c r="D21" s="12" t="s">
        <v>1163</v>
      </c>
      <c r="E21" s="198">
        <f>ROUND(N(data!V59), 0)</f>
        <v>0</v>
      </c>
      <c r="F21" s="271">
        <f>ROUND(N(data!V60), 2)</f>
        <v>1.07</v>
      </c>
      <c r="G21" s="198">
        <f>ROUND(N(data!V61), 0)</f>
        <v>113195</v>
      </c>
      <c r="H21" s="198">
        <f>ROUND(N(data!V62), 0)</f>
        <v>21449</v>
      </c>
      <c r="I21" s="198">
        <f>ROUND(N(data!V63), 0)</f>
        <v>0</v>
      </c>
      <c r="J21" s="198">
        <f>ROUND(N(data!V64), 0)</f>
        <v>0</v>
      </c>
      <c r="K21" s="198">
        <f>ROUND(N(data!V82), 0)</f>
        <v>0</v>
      </c>
      <c r="L21" s="198">
        <f>ROUND(N(data!V66), 0)</f>
        <v>0</v>
      </c>
      <c r="M21" s="198">
        <f>ROUND(N(data!V67), 0)</f>
        <v>0</v>
      </c>
      <c r="N21" s="198">
        <f>ROUND(N(data!V68), 0)</f>
        <v>0</v>
      </c>
      <c r="O21" s="198">
        <f>ROUND(N(data!V69), 0)</f>
        <v>400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 t="e">
        <f>ROUND(N(data!#REF!), 0)</f>
        <v>#REF!</v>
      </c>
      <c r="AC21" s="198">
        <f>ROUND(N(data!V83), 0)</f>
        <v>400</v>
      </c>
      <c r="AD21" s="198">
        <f>ROUND(N(data!V84), 0)</f>
        <v>0</v>
      </c>
      <c r="AE21" s="198">
        <f>ROUND(N(data!V89), 0)</f>
        <v>-2724073</v>
      </c>
      <c r="AF21" s="198">
        <f>ROUND(N(data!V87), 0)</f>
        <v>-645915</v>
      </c>
      <c r="AG21" s="198">
        <f>ROUND(N(data!V90), 0)</f>
        <v>0</v>
      </c>
      <c r="AH21" s="198">
        <f>ROUND(N(data!V91), 0)</f>
        <v>0</v>
      </c>
      <c r="AI21" s="198">
        <f>ROUND(N(data!V92), 0)</f>
        <v>0</v>
      </c>
      <c r="AJ21" s="198">
        <f>ROUND(N(data!V93), 0)</f>
        <v>0</v>
      </c>
      <c r="AK21" s="271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199</v>
      </c>
      <c r="B22" s="200" t="str">
        <f>RIGHT(data!$C$96,4)</f>
        <v>2024</v>
      </c>
      <c r="C22" s="12" t="str">
        <f>data!W$55</f>
        <v>7120</v>
      </c>
      <c r="D22" s="12" t="s">
        <v>1163</v>
      </c>
      <c r="E22" s="198">
        <f>ROUND(N(data!W59), 0)</f>
        <v>0</v>
      </c>
      <c r="F22" s="271">
        <f>ROUND(N(data!W60), 2)</f>
        <v>0.02</v>
      </c>
      <c r="G22" s="198">
        <f>ROUND(N(data!W61), 0)</f>
        <v>-265</v>
      </c>
      <c r="H22" s="198">
        <f>ROUND(N(data!W62), 0)</f>
        <v>73</v>
      </c>
      <c r="I22" s="198">
        <f>ROUND(N(data!W63), 0)</f>
        <v>0</v>
      </c>
      <c r="J22" s="198">
        <f>ROUND(N(data!W64), 0)</f>
        <v>0</v>
      </c>
      <c r="K22" s="198">
        <f>ROUND(N(data!W82), 0)</f>
        <v>0</v>
      </c>
      <c r="L22" s="198">
        <f>ROUND(N(data!W66), 0)</f>
        <v>2265</v>
      </c>
      <c r="M22" s="198">
        <f>ROUND(N(data!W67), 0)</f>
        <v>0</v>
      </c>
      <c r="N22" s="198">
        <f>ROUND(N(data!W68), 0)</f>
        <v>0</v>
      </c>
      <c r="O22" s="198">
        <f>ROUND(N(data!W69), 0)</f>
        <v>0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0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 t="e">
        <f>ROUND(N(data!#REF!), 0)</f>
        <v>#REF!</v>
      </c>
      <c r="AC22" s="198">
        <f>ROUND(N(data!W83), 0)</f>
        <v>0</v>
      </c>
      <c r="AD22" s="198">
        <f>ROUND(N(data!W84), 0)</f>
        <v>0</v>
      </c>
      <c r="AE22" s="198">
        <f>ROUND(N(data!W89), 0)</f>
        <v>-10717</v>
      </c>
      <c r="AF22" s="198">
        <f>ROUND(N(data!W87), 0)</f>
        <v>-10717</v>
      </c>
      <c r="AG22" s="198">
        <f>ROUND(N(data!W90), 0)</f>
        <v>0</v>
      </c>
      <c r="AH22" s="198">
        <f>ROUND(N(data!W91), 0)</f>
        <v>0</v>
      </c>
      <c r="AI22" s="198">
        <f>ROUND(N(data!W92), 0)</f>
        <v>0</v>
      </c>
      <c r="AJ22" s="198">
        <f>ROUND(N(data!W93), 0)</f>
        <v>0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199</v>
      </c>
      <c r="B23" s="200" t="str">
        <f>RIGHT(data!$C$96,4)</f>
        <v>2024</v>
      </c>
      <c r="C23" s="12" t="str">
        <f>data!X$55</f>
        <v>7130</v>
      </c>
      <c r="D23" s="12" t="s">
        <v>1163</v>
      </c>
      <c r="E23" s="198">
        <f>ROUND(N(data!X59), 0)</f>
        <v>0</v>
      </c>
      <c r="F23" s="271">
        <f>ROUND(N(data!X60), 2)</f>
        <v>2.02</v>
      </c>
      <c r="G23" s="198">
        <f>ROUND(N(data!X61), 0)</f>
        <v>194242</v>
      </c>
      <c r="H23" s="198">
        <f>ROUND(N(data!X62), 0)</f>
        <v>44067</v>
      </c>
      <c r="I23" s="198">
        <f>ROUND(N(data!X63), 0)</f>
        <v>0</v>
      </c>
      <c r="J23" s="198">
        <f>ROUND(N(data!X64), 0)</f>
        <v>58895</v>
      </c>
      <c r="K23" s="198">
        <f>ROUND(N(data!X82), 0)</f>
        <v>0</v>
      </c>
      <c r="L23" s="198">
        <f>ROUND(N(data!X66), 0)</f>
        <v>0</v>
      </c>
      <c r="M23" s="198">
        <f>ROUND(N(data!X67), 0)</f>
        <v>0</v>
      </c>
      <c r="N23" s="198">
        <f>ROUND(N(data!X68), 0)</f>
        <v>0</v>
      </c>
      <c r="O23" s="198">
        <f>ROUND(N(data!X69), 0)</f>
        <v>364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0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 t="e">
        <f>ROUND(N(data!#REF!), 0)</f>
        <v>#REF!</v>
      </c>
      <c r="AC23" s="198">
        <f>ROUND(N(data!X83), 0)</f>
        <v>364</v>
      </c>
      <c r="AD23" s="198">
        <f>ROUND(N(data!X84), 0)</f>
        <v>0</v>
      </c>
      <c r="AE23" s="198">
        <f>ROUND(N(data!X89), 0)</f>
        <v>-23460838</v>
      </c>
      <c r="AF23" s="198">
        <f>ROUND(N(data!X87), 0)</f>
        <v>-2831337</v>
      </c>
      <c r="AG23" s="198">
        <f>ROUND(N(data!X90), 0)</f>
        <v>0</v>
      </c>
      <c r="AH23" s="198">
        <f>ROUND(N(data!X91), 0)</f>
        <v>0</v>
      </c>
      <c r="AI23" s="198">
        <f>ROUND(N(data!X92), 0)</f>
        <v>0</v>
      </c>
      <c r="AJ23" s="198">
        <f>ROUND(N(data!X93), 0)</f>
        <v>0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199</v>
      </c>
      <c r="B24" s="200" t="str">
        <f>RIGHT(data!$C$96,4)</f>
        <v>2024</v>
      </c>
      <c r="C24" s="12" t="str">
        <f>data!Y$55</f>
        <v>7140</v>
      </c>
      <c r="D24" s="12" t="s">
        <v>1163</v>
      </c>
      <c r="E24" s="198">
        <f>ROUND(N(data!Y59), 0)</f>
        <v>0</v>
      </c>
      <c r="F24" s="271">
        <f>ROUND(N(data!Y60), 2)</f>
        <v>12.6</v>
      </c>
      <c r="G24" s="198">
        <f>ROUND(N(data!Y61), 0)</f>
        <v>1014123</v>
      </c>
      <c r="H24" s="198">
        <f>ROUND(N(data!Y62), 0)</f>
        <v>227519</v>
      </c>
      <c r="I24" s="198">
        <f>ROUND(N(data!Y63), 0)</f>
        <v>0</v>
      </c>
      <c r="J24" s="198">
        <f>ROUND(N(data!Y64), 0)</f>
        <v>10599</v>
      </c>
      <c r="K24" s="198">
        <f>ROUND(N(data!Y82), 0)</f>
        <v>558</v>
      </c>
      <c r="L24" s="198">
        <f>ROUND(N(data!Y66), 0)</f>
        <v>302576</v>
      </c>
      <c r="M24" s="198">
        <f>ROUND(N(data!Y67), 0)</f>
        <v>37113</v>
      </c>
      <c r="N24" s="198">
        <f>ROUND(N(data!Y68), 0)</f>
        <v>1138</v>
      </c>
      <c r="O24" s="198">
        <f>ROUND(N(data!Y69), 0)</f>
        <v>4491</v>
      </c>
      <c r="P24" s="198">
        <f>ROUND(N(data!Y70), 0)</f>
        <v>0</v>
      </c>
      <c r="Q24" s="198">
        <f>ROUND(N(data!Y71), 0)</f>
        <v>0</v>
      </c>
      <c r="R24" s="198">
        <f>ROUND(N(data!Y72), 0)</f>
        <v>0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-3063</v>
      </c>
      <c r="X24" s="198">
        <f>ROUND(N(data!Y78), 0)</f>
        <v>0</v>
      </c>
      <c r="Y24" s="198">
        <f>ROUND(N(data!Y79), 0)</f>
        <v>0</v>
      </c>
      <c r="Z24" s="198">
        <f>ROUND(N(data!Y80), 0)</f>
        <v>0</v>
      </c>
      <c r="AA24" s="198">
        <f>ROUND(N(data!Y81), 0)</f>
        <v>1070</v>
      </c>
      <c r="AB24" s="198" t="e">
        <f>ROUND(N(data!#REF!), 0)</f>
        <v>#REF!</v>
      </c>
      <c r="AC24" s="198">
        <f>ROUND(N(data!Y83), 0)</f>
        <v>5926</v>
      </c>
      <c r="AD24" s="198">
        <f>ROUND(N(data!Y84), 0)</f>
        <v>0</v>
      </c>
      <c r="AE24" s="198">
        <f>ROUND(N(data!Y89), 0)</f>
        <v>-16140801</v>
      </c>
      <c r="AF24" s="198">
        <f>ROUND(N(data!Y87), 0)</f>
        <v>-862023</v>
      </c>
      <c r="AG24" s="198">
        <f>ROUND(N(data!Y90), 0)</f>
        <v>3372</v>
      </c>
      <c r="AH24" s="198">
        <f>ROUND(N(data!Y91), 0)</f>
        <v>0</v>
      </c>
      <c r="AI24" s="198">
        <f>ROUND(N(data!Y92), 0)</f>
        <v>0</v>
      </c>
      <c r="AJ24" s="198">
        <f>ROUND(N(data!Y93), 0)</f>
        <v>41318</v>
      </c>
      <c r="AK24" s="271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199</v>
      </c>
      <c r="B25" s="200" t="str">
        <f>RIGHT(data!$C$96,4)</f>
        <v>2024</v>
      </c>
      <c r="C25" s="12" t="str">
        <f>data!Z$55</f>
        <v>7150</v>
      </c>
      <c r="D25" s="12" t="s">
        <v>1163</v>
      </c>
      <c r="E25" s="198">
        <f>ROUND(N(data!Z59), 0)</f>
        <v>0</v>
      </c>
      <c r="F25" s="271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ROUND(N(data!Z82),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 t="e">
        <f>ROUND(N(data!#REF!), 0)</f>
        <v>#REF!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271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199</v>
      </c>
      <c r="B26" s="200" t="str">
        <f>RIGHT(data!$C$96,4)</f>
        <v>2024</v>
      </c>
      <c r="C26" s="12" t="str">
        <f>data!AA$55</f>
        <v>7160</v>
      </c>
      <c r="D26" s="12" t="s">
        <v>1163</v>
      </c>
      <c r="E26" s="198">
        <f>ROUND(N(data!AA59), 0)</f>
        <v>0</v>
      </c>
      <c r="F26" s="271">
        <f>ROUND(N(data!AA60), 2)</f>
        <v>0</v>
      </c>
      <c r="G26" s="198">
        <f>ROUND(N(data!AA61), 0)</f>
        <v>0</v>
      </c>
      <c r="H26" s="198">
        <f>ROUND(N(data!AA62), 0)</f>
        <v>0</v>
      </c>
      <c r="I26" s="198">
        <f>ROUND(N(data!AA63), 0)</f>
        <v>0</v>
      </c>
      <c r="J26" s="198">
        <f>ROUND(N(data!AA64), 0)</f>
        <v>0</v>
      </c>
      <c r="K26" s="198">
        <f>ROUND(N(data!AA82), 0)</f>
        <v>0</v>
      </c>
      <c r="L26" s="198">
        <f>ROUND(N(data!AA66), 0)</f>
        <v>0</v>
      </c>
      <c r="M26" s="198">
        <f>ROUND(N(data!AA67), 0)</f>
        <v>0</v>
      </c>
      <c r="N26" s="198">
        <f>ROUND(N(data!AA68), 0)</f>
        <v>0</v>
      </c>
      <c r="O26" s="198">
        <f>ROUND(N(data!AA69), 0)</f>
        <v>0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 t="e">
        <f>ROUND(N(data!#REF!), 0)</f>
        <v>#REF!</v>
      </c>
      <c r="AC26" s="198">
        <f>ROUND(N(data!AA83), 0)</f>
        <v>0</v>
      </c>
      <c r="AD26" s="198">
        <f>ROUND(N(data!AA84), 0)</f>
        <v>0</v>
      </c>
      <c r="AE26" s="198">
        <f>ROUND(N(data!AA89), 0)</f>
        <v>0</v>
      </c>
      <c r="AF26" s="198">
        <f>ROUND(N(data!AA87), 0)</f>
        <v>0</v>
      </c>
      <c r="AG26" s="198">
        <f>ROUND(N(data!AA90), 0)</f>
        <v>0</v>
      </c>
      <c r="AH26" s="198">
        <f>ROUND(N(data!AA91), 0)</f>
        <v>0</v>
      </c>
      <c r="AI26" s="198">
        <f>ROUND(N(data!AA92), 0)</f>
        <v>0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199</v>
      </c>
      <c r="B27" s="200" t="str">
        <f>RIGHT(data!$C$96,4)</f>
        <v>2024</v>
      </c>
      <c r="C27" s="12" t="str">
        <f>data!AB$55</f>
        <v>7170</v>
      </c>
      <c r="D27" s="12" t="s">
        <v>1163</v>
      </c>
      <c r="E27" s="198">
        <f>ROUND(N(data!AB59), 0)</f>
        <v>0</v>
      </c>
      <c r="F27" s="271">
        <f>ROUND(N(data!AB60), 2)</f>
        <v>4.4400000000000004</v>
      </c>
      <c r="G27" s="198">
        <f>ROUND(N(data!AB61), 0)</f>
        <v>478926</v>
      </c>
      <c r="H27" s="198">
        <f>ROUND(N(data!AB62), 0)</f>
        <v>107247</v>
      </c>
      <c r="I27" s="198">
        <f>ROUND(N(data!AB63), 0)</f>
        <v>0</v>
      </c>
      <c r="J27" s="198">
        <f>ROUND(N(data!AB64), 0)</f>
        <v>879469</v>
      </c>
      <c r="K27" s="198">
        <f>ROUND(N(data!AB82), 0)</f>
        <v>250</v>
      </c>
      <c r="L27" s="198">
        <f>ROUND(N(data!AB66), 0)</f>
        <v>115585</v>
      </c>
      <c r="M27" s="198">
        <f>ROUND(N(data!AB67), 0)</f>
        <v>14979</v>
      </c>
      <c r="N27" s="198">
        <f>ROUND(N(data!AB68), 0)</f>
        <v>191363</v>
      </c>
      <c r="O27" s="198">
        <f>ROUND(N(data!AB69), 0)</f>
        <v>47950</v>
      </c>
      <c r="P27" s="198">
        <f>ROUND(N(data!AB70), 0)</f>
        <v>0</v>
      </c>
      <c r="Q27" s="198">
        <f>ROUND(N(data!AB71), 0)</f>
        <v>0</v>
      </c>
      <c r="R27" s="198">
        <f>ROUND(N(data!AB72), 0)</f>
        <v>0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1403</v>
      </c>
      <c r="X27" s="198">
        <f>ROUND(N(data!AB78), 0)</f>
        <v>0</v>
      </c>
      <c r="Y27" s="198">
        <f>ROUND(N(data!AB79), 0)</f>
        <v>0</v>
      </c>
      <c r="Z27" s="198">
        <f>ROUND(N(data!AB80), 0)</f>
        <v>0</v>
      </c>
      <c r="AA27" s="198">
        <f>ROUND(N(data!AB81), 0)</f>
        <v>2578</v>
      </c>
      <c r="AB27" s="198" t="e">
        <f>ROUND(N(data!#REF!), 0)</f>
        <v>#REF!</v>
      </c>
      <c r="AC27" s="198">
        <f>ROUND(N(data!AB83), 0)</f>
        <v>43719</v>
      </c>
      <c r="AD27" s="198">
        <f>ROUND(N(data!AB84), 0)</f>
        <v>0</v>
      </c>
      <c r="AE27" s="198">
        <f>ROUND(N(data!AB89), 0)</f>
        <v>-10764826</v>
      </c>
      <c r="AF27" s="198">
        <f>ROUND(N(data!AB87), 0)</f>
        <v>-5735275</v>
      </c>
      <c r="AG27" s="198">
        <f>ROUND(N(data!AB90), 0)</f>
        <v>1361</v>
      </c>
      <c r="AH27" s="198">
        <f>ROUND(N(data!AB91), 0)</f>
        <v>0</v>
      </c>
      <c r="AI27" s="198">
        <f>ROUND(N(data!AB92), 0)</f>
        <v>0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199</v>
      </c>
      <c r="B28" s="200" t="str">
        <f>RIGHT(data!$C$96,4)</f>
        <v>2024</v>
      </c>
      <c r="C28" s="12" t="str">
        <f>data!AC$55</f>
        <v>7180</v>
      </c>
      <c r="D28" s="12" t="s">
        <v>1163</v>
      </c>
      <c r="E28" s="198">
        <f>ROUND(N(data!AC59), 0)</f>
        <v>0</v>
      </c>
      <c r="F28" s="271">
        <f>ROUND(N(data!AC60), 2)</f>
        <v>0</v>
      </c>
      <c r="G28" s="198">
        <f>ROUND(N(data!AC61), 0)</f>
        <v>0</v>
      </c>
      <c r="H28" s="198">
        <f>ROUND(N(data!AC62), 0)</f>
        <v>0</v>
      </c>
      <c r="I28" s="198">
        <f>ROUND(N(data!AC63), 0)</f>
        <v>0</v>
      </c>
      <c r="J28" s="198">
        <f>ROUND(N(data!AC64), 0)</f>
        <v>32038</v>
      </c>
      <c r="K28" s="198">
        <f>ROUND(N(data!AC82), 0)</f>
        <v>0</v>
      </c>
      <c r="L28" s="198">
        <f>ROUND(N(data!AC66), 0)</f>
        <v>625735</v>
      </c>
      <c r="M28" s="198">
        <f>ROUND(N(data!AC67), 0)</f>
        <v>12074</v>
      </c>
      <c r="N28" s="198">
        <f>ROUND(N(data!AC68), 0)</f>
        <v>0</v>
      </c>
      <c r="O28" s="198">
        <f>ROUND(N(data!AC69), 0)</f>
        <v>13974</v>
      </c>
      <c r="P28" s="198">
        <f>ROUND(N(data!AC70), 0)</f>
        <v>0</v>
      </c>
      <c r="Q28" s="198">
        <f>ROUND(N(data!AC71), 0)</f>
        <v>0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13974</v>
      </c>
      <c r="X28" s="198">
        <f>ROUND(N(data!AC78), 0)</f>
        <v>0</v>
      </c>
      <c r="Y28" s="198">
        <f>ROUND(N(data!AC79), 0)</f>
        <v>0</v>
      </c>
      <c r="Z28" s="198">
        <f>ROUND(N(data!AC80), 0)</f>
        <v>0</v>
      </c>
      <c r="AA28" s="198">
        <f>ROUND(N(data!AC81), 0)</f>
        <v>0</v>
      </c>
      <c r="AB28" s="198" t="e">
        <f>ROUND(N(data!#REF!), 0)</f>
        <v>#REF!</v>
      </c>
      <c r="AC28" s="198">
        <f>ROUND(N(data!AC83), 0)</f>
        <v>0</v>
      </c>
      <c r="AD28" s="198">
        <f>ROUND(N(data!AC84), 0)</f>
        <v>0</v>
      </c>
      <c r="AE28" s="198">
        <f>ROUND(N(data!AC89), 0)</f>
        <v>-1934988</v>
      </c>
      <c r="AF28" s="198">
        <f>ROUND(N(data!AC87), 0)</f>
        <v>-1111259</v>
      </c>
      <c r="AG28" s="198">
        <f>ROUND(N(data!AC90), 0)</f>
        <v>1097</v>
      </c>
      <c r="AH28" s="198">
        <f>ROUND(N(data!AC91), 0)</f>
        <v>0</v>
      </c>
      <c r="AI28" s="198">
        <f>ROUND(N(data!AC92), 0)</f>
        <v>0</v>
      </c>
      <c r="AJ28" s="198">
        <f>ROUND(N(data!AC93), 0)</f>
        <v>0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199</v>
      </c>
      <c r="B29" s="200" t="str">
        <f>RIGHT(data!$C$96,4)</f>
        <v>2024</v>
      </c>
      <c r="C29" s="12" t="str">
        <f>data!AD$55</f>
        <v>7190</v>
      </c>
      <c r="D29" s="12" t="s">
        <v>1163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ROUND(N(data!AD82),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 t="e">
        <f>ROUND(N(data!#REF!), 0)</f>
        <v>#REF!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199</v>
      </c>
      <c r="B30" s="200" t="str">
        <f>RIGHT(data!$C$96,4)</f>
        <v>2024</v>
      </c>
      <c r="C30" s="12" t="str">
        <f>data!AE$55</f>
        <v>7200</v>
      </c>
      <c r="D30" s="12" t="s">
        <v>1163</v>
      </c>
      <c r="E30" s="198">
        <f>ROUND(N(data!AE59), 0)</f>
        <v>0</v>
      </c>
      <c r="F30" s="271">
        <f>ROUND(N(data!AE60), 2)</f>
        <v>2.89</v>
      </c>
      <c r="G30" s="198">
        <f>ROUND(N(data!AE61), 0)</f>
        <v>263260</v>
      </c>
      <c r="H30" s="198">
        <f>ROUND(N(data!AE62), 0)</f>
        <v>61423</v>
      </c>
      <c r="I30" s="198">
        <f>ROUND(N(data!AE63), 0)</f>
        <v>0</v>
      </c>
      <c r="J30" s="198">
        <f>ROUND(N(data!AE64), 0)</f>
        <v>22705</v>
      </c>
      <c r="K30" s="198">
        <f>ROUND(N(data!AE82), 0)</f>
        <v>0</v>
      </c>
      <c r="L30" s="198">
        <f>ROUND(N(data!AE66), 0)</f>
        <v>150</v>
      </c>
      <c r="M30" s="198">
        <f>ROUND(N(data!AE67), 0)</f>
        <v>13328</v>
      </c>
      <c r="N30" s="198">
        <f>ROUND(N(data!AE68), 0)</f>
        <v>0</v>
      </c>
      <c r="O30" s="198">
        <f>ROUND(N(data!AE69), 0)</f>
        <v>439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0</v>
      </c>
      <c r="Y30" s="198">
        <f>ROUND(N(data!AE79), 0)</f>
        <v>0</v>
      </c>
      <c r="Z30" s="198">
        <f>ROUND(N(data!AE80), 0)</f>
        <v>0</v>
      </c>
      <c r="AA30" s="198">
        <f>ROUND(N(data!AE81), 0)</f>
        <v>0</v>
      </c>
      <c r="AB30" s="198" t="e">
        <f>ROUND(N(data!#REF!), 0)</f>
        <v>#REF!</v>
      </c>
      <c r="AC30" s="198">
        <f>ROUND(N(data!AE83), 0)</f>
        <v>439</v>
      </c>
      <c r="AD30" s="198">
        <f>ROUND(N(data!AE84), 0)</f>
        <v>0</v>
      </c>
      <c r="AE30" s="198">
        <f>ROUND(N(data!AE89), 0)</f>
        <v>-2044353</v>
      </c>
      <c r="AF30" s="198">
        <f>ROUND(N(data!AE87), 0)</f>
        <v>-182359</v>
      </c>
      <c r="AG30" s="198">
        <f>ROUND(N(data!AE90), 0)</f>
        <v>1211</v>
      </c>
      <c r="AH30" s="198">
        <f>ROUND(N(data!AE91), 0)</f>
        <v>0</v>
      </c>
      <c r="AI30" s="198">
        <f>ROUND(N(data!AE92), 0)</f>
        <v>0</v>
      </c>
      <c r="AJ30" s="198">
        <f>ROUND(N(data!AE93), 0)</f>
        <v>0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199</v>
      </c>
      <c r="B31" s="200" t="str">
        <f>RIGHT(data!$C$96,4)</f>
        <v>2024</v>
      </c>
      <c r="C31" s="12" t="str">
        <f>data!AF$55</f>
        <v>7220</v>
      </c>
      <c r="D31" s="12" t="s">
        <v>1163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ROUND(N(data!AF82),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 t="e">
        <f>ROUND(N(data!#REF!), 0)</f>
        <v>#REF!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199</v>
      </c>
      <c r="B32" s="200" t="str">
        <f>RIGHT(data!$C$96,4)</f>
        <v>2024</v>
      </c>
      <c r="C32" s="12" t="str">
        <f>data!AG$55</f>
        <v>7230</v>
      </c>
      <c r="D32" s="12" t="s">
        <v>1163</v>
      </c>
      <c r="E32" s="198">
        <f>ROUND(N(data!AG59), 0)</f>
        <v>0</v>
      </c>
      <c r="F32" s="271">
        <f>ROUND(N(data!AG60), 2)</f>
        <v>24.1</v>
      </c>
      <c r="G32" s="198">
        <f>ROUND(N(data!AG61), 0)</f>
        <v>2623066</v>
      </c>
      <c r="H32" s="198">
        <f>ROUND(N(data!AG62), 0)</f>
        <v>579888</v>
      </c>
      <c r="I32" s="198">
        <f>ROUND(N(data!AG63), 0)</f>
        <v>39782</v>
      </c>
      <c r="J32" s="198">
        <f>ROUND(N(data!AG64), 0)</f>
        <v>265385</v>
      </c>
      <c r="K32" s="198">
        <f>ROUND(N(data!AG82), 0)</f>
        <v>0</v>
      </c>
      <c r="L32" s="198">
        <f>ROUND(N(data!AG66), 0)</f>
        <v>1302046</v>
      </c>
      <c r="M32" s="198">
        <f>ROUND(N(data!AG67), 0)</f>
        <v>50969</v>
      </c>
      <c r="N32" s="198">
        <f>ROUND(N(data!AG68), 0)</f>
        <v>0</v>
      </c>
      <c r="O32" s="198">
        <f>ROUND(N(data!AG69), 0)</f>
        <v>519970</v>
      </c>
      <c r="P32" s="198">
        <f>ROUND(N(data!AG70), 0)</f>
        <v>0</v>
      </c>
      <c r="Q32" s="198">
        <f>ROUND(N(data!AG71), 0)</f>
        <v>494114</v>
      </c>
      <c r="R32" s="198">
        <f>ROUND(N(data!AG72), 0)</f>
        <v>0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10769</v>
      </c>
      <c r="X32" s="198">
        <f>ROUND(N(data!AG78), 0)</f>
        <v>0</v>
      </c>
      <c r="Y32" s="198">
        <f>ROUND(N(data!AG79), 0)</f>
        <v>0</v>
      </c>
      <c r="Z32" s="198">
        <f>ROUND(N(data!AG80), 0)</f>
        <v>0</v>
      </c>
      <c r="AA32" s="198">
        <f>ROUND(N(data!AG81), 0)</f>
        <v>450</v>
      </c>
      <c r="AB32" s="198" t="e">
        <f>ROUND(N(data!#REF!), 0)</f>
        <v>#REF!</v>
      </c>
      <c r="AC32" s="198">
        <f>ROUND(N(data!AG83), 0)</f>
        <v>14637</v>
      </c>
      <c r="AD32" s="198">
        <f>ROUND(N(data!AG84), 0)</f>
        <v>0</v>
      </c>
      <c r="AE32" s="198">
        <f>ROUND(N(data!AG89), 0)</f>
        <v>-30676002</v>
      </c>
      <c r="AF32" s="198">
        <f>ROUND(N(data!AG87), 0)</f>
        <v>-2224916</v>
      </c>
      <c r="AG32" s="198">
        <f>ROUND(N(data!AG90), 0)</f>
        <v>4631</v>
      </c>
      <c r="AH32" s="198">
        <f>ROUND(N(data!AG91), 0)</f>
        <v>123</v>
      </c>
      <c r="AI32" s="198">
        <f>ROUND(N(data!AG92), 0)</f>
        <v>0</v>
      </c>
      <c r="AJ32" s="198">
        <f>ROUND(N(data!AG93), 0)</f>
        <v>150247</v>
      </c>
      <c r="AK32" s="271">
        <f>ROUND(N(data!AG94), 2)</f>
        <v>12.12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199</v>
      </c>
      <c r="B33" s="200" t="str">
        <f>RIGHT(data!$C$96,4)</f>
        <v>2024</v>
      </c>
      <c r="C33" s="12" t="str">
        <f>data!AH$55</f>
        <v>7240</v>
      </c>
      <c r="D33" s="12" t="s">
        <v>1163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ROUND(N(data!AH82),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 t="e">
        <f>ROUND(N(data!#REF!), 0)</f>
        <v>#REF!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199</v>
      </c>
      <c r="B34" s="200" t="str">
        <f>RIGHT(data!$C$96,4)</f>
        <v>2024</v>
      </c>
      <c r="C34" s="12" t="str">
        <f>data!AI$55</f>
        <v>7250</v>
      </c>
      <c r="D34" s="12" t="s">
        <v>1163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ROUND(N(data!AI82),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 t="e">
        <f>ROUND(N(data!#REF!), 0)</f>
        <v>#REF!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199</v>
      </c>
      <c r="B35" s="200" t="str">
        <f>RIGHT(data!$C$96,4)</f>
        <v>2024</v>
      </c>
      <c r="C35" s="12" t="str">
        <f>data!AJ$55</f>
        <v>7260</v>
      </c>
      <c r="D35" s="12" t="s">
        <v>1163</v>
      </c>
      <c r="E35" s="198">
        <f>ROUND(N(data!AJ59), 0)</f>
        <v>0</v>
      </c>
      <c r="F35" s="271">
        <f>ROUND(N(data!AJ60), 2)</f>
        <v>59.01</v>
      </c>
      <c r="G35" s="198">
        <f>ROUND(N(data!AJ61), 0)</f>
        <v>9302245</v>
      </c>
      <c r="H35" s="198">
        <f>ROUND(N(data!AJ62), 0)</f>
        <v>1630163</v>
      </c>
      <c r="I35" s="198">
        <f>ROUND(N(data!AJ63), 0)</f>
        <v>0</v>
      </c>
      <c r="J35" s="198">
        <f>ROUND(N(data!AJ64), 0)</f>
        <v>196520</v>
      </c>
      <c r="K35" s="198">
        <f>ROUND(N(data!AJ82), 0)</f>
        <v>83068</v>
      </c>
      <c r="L35" s="198">
        <f>ROUND(N(data!AJ66), 0)</f>
        <v>242937</v>
      </c>
      <c r="M35" s="198">
        <f>ROUND(N(data!AJ67), 0)</f>
        <v>0</v>
      </c>
      <c r="N35" s="198">
        <f>ROUND(N(data!AJ68), 0)</f>
        <v>422354</v>
      </c>
      <c r="O35" s="198">
        <f>ROUND(N(data!AJ69), 0)</f>
        <v>182814</v>
      </c>
      <c r="P35" s="198">
        <f>ROUND(N(data!AJ70), 0)</f>
        <v>0</v>
      </c>
      <c r="Q35" s="198">
        <f>ROUND(N(data!AJ71), 0)</f>
        <v>0</v>
      </c>
      <c r="R35" s="198">
        <f>ROUND(N(data!AJ72), 0)</f>
        <v>0</v>
      </c>
      <c r="S35" s="198">
        <f>ROUND(N(data!AJ73), 0)</f>
        <v>25828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4735</v>
      </c>
      <c r="X35" s="198">
        <f>ROUND(N(data!AJ78), 0)</f>
        <v>0</v>
      </c>
      <c r="Y35" s="198">
        <f>ROUND(N(data!AJ79), 0)</f>
        <v>0</v>
      </c>
      <c r="Z35" s="198">
        <f>ROUND(N(data!AJ80), 0)</f>
        <v>0</v>
      </c>
      <c r="AA35" s="198">
        <f>ROUND(N(data!AJ81), 0)</f>
        <v>11930</v>
      </c>
      <c r="AB35" s="198" t="e">
        <f>ROUND(N(data!#REF!), 0)</f>
        <v>#REF!</v>
      </c>
      <c r="AC35" s="198">
        <f>ROUND(N(data!AJ83), 0)</f>
        <v>57254</v>
      </c>
      <c r="AD35" s="198">
        <f>ROUND(N(data!AJ84), 0)</f>
        <v>0</v>
      </c>
      <c r="AE35" s="198">
        <f>ROUND(N(data!AJ89), 0)</f>
        <v>-16337452</v>
      </c>
      <c r="AF35" s="198">
        <f>ROUND(N(data!AJ87), 0)</f>
        <v>0</v>
      </c>
      <c r="AG35" s="198">
        <f>ROUND(N(data!AJ90), 0)</f>
        <v>0</v>
      </c>
      <c r="AH35" s="198">
        <f>ROUND(N(data!AJ91), 0)</f>
        <v>0</v>
      </c>
      <c r="AI35" s="198">
        <f>ROUND(N(data!AJ92), 0)</f>
        <v>0</v>
      </c>
      <c r="AJ35" s="198">
        <f>ROUND(N(data!AJ93), 0)</f>
        <v>0</v>
      </c>
      <c r="AK35" s="271">
        <f>ROUND(N(data!AJ94), 2)</f>
        <v>0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199</v>
      </c>
      <c r="B36" s="200" t="str">
        <f>RIGHT(data!$C$96,4)</f>
        <v>2024</v>
      </c>
      <c r="C36" s="12" t="str">
        <f>data!AK$55</f>
        <v>7310</v>
      </c>
      <c r="D36" s="12" t="s">
        <v>1163</v>
      </c>
      <c r="E36" s="198">
        <f>ROUND(N(data!AK59), 0)</f>
        <v>0</v>
      </c>
      <c r="F36" s="271">
        <f>ROUND(N(data!AK60), 2)</f>
        <v>0.08</v>
      </c>
      <c r="G36" s="198">
        <f>ROUND(N(data!AK61), 0)</f>
        <v>7279</v>
      </c>
      <c r="H36" s="198">
        <f>ROUND(N(data!AK62), 0)</f>
        <v>1529</v>
      </c>
      <c r="I36" s="198">
        <f>ROUND(N(data!AK63), 0)</f>
        <v>0</v>
      </c>
      <c r="J36" s="198">
        <f>ROUND(N(data!AK64), 0)</f>
        <v>0</v>
      </c>
      <c r="K36" s="198">
        <f>ROUND(N(data!AK82), 0)</f>
        <v>0</v>
      </c>
      <c r="L36" s="198">
        <f>ROUND(N(data!AK66), 0)</f>
        <v>40</v>
      </c>
      <c r="M36" s="198">
        <f>ROUND(N(data!AK67), 0)</f>
        <v>0</v>
      </c>
      <c r="N36" s="198">
        <f>ROUND(N(data!AK68), 0)</f>
        <v>0</v>
      </c>
      <c r="O36" s="198">
        <f>ROUND(N(data!AK69), 0)</f>
        <v>0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 t="e">
        <f>ROUND(N(data!#REF!), 0)</f>
        <v>#REF!</v>
      </c>
      <c r="AC36" s="198">
        <f>ROUND(N(data!AK83), 0)</f>
        <v>0</v>
      </c>
      <c r="AD36" s="198">
        <f>ROUND(N(data!AK84), 0)</f>
        <v>0</v>
      </c>
      <c r="AE36" s="198">
        <f>ROUND(N(data!AK89), 0)</f>
        <v>-115060</v>
      </c>
      <c r="AF36" s="198">
        <f>ROUND(N(data!AK87), 0)</f>
        <v>-94350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199</v>
      </c>
      <c r="B37" s="200" t="str">
        <f>RIGHT(data!$C$96,4)</f>
        <v>2024</v>
      </c>
      <c r="C37" s="12" t="str">
        <f>data!AL$55</f>
        <v>7320</v>
      </c>
      <c r="D37" s="12" t="s">
        <v>1163</v>
      </c>
      <c r="E37" s="198">
        <f>ROUND(N(data!AL59), 0)</f>
        <v>0</v>
      </c>
      <c r="F37" s="271">
        <f>ROUND(N(data!AL60), 2)</f>
        <v>0.46</v>
      </c>
      <c r="G37" s="198">
        <f>ROUND(N(data!AL61), 0)</f>
        <v>56535</v>
      </c>
      <c r="H37" s="198">
        <f>ROUND(N(data!AL62), 0)</f>
        <v>11638</v>
      </c>
      <c r="I37" s="198">
        <f>ROUND(N(data!AL63), 0)</f>
        <v>0</v>
      </c>
      <c r="J37" s="198">
        <f>ROUND(N(data!AL64), 0)</f>
        <v>174</v>
      </c>
      <c r="K37" s="198">
        <f>ROUND(N(data!AL82), 0)</f>
        <v>0</v>
      </c>
      <c r="L37" s="198">
        <f>ROUND(N(data!AL66), 0)</f>
        <v>0</v>
      </c>
      <c r="M37" s="198">
        <f>ROUND(N(data!AL67), 0)</f>
        <v>0</v>
      </c>
      <c r="N37" s="198">
        <f>ROUND(N(data!AL68), 0)</f>
        <v>0</v>
      </c>
      <c r="O37" s="198">
        <f>ROUND(N(data!AL69), 0)</f>
        <v>0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 t="e">
        <f>ROUND(N(data!#REF!), 0)</f>
        <v>#REF!</v>
      </c>
      <c r="AC37" s="198">
        <f>ROUND(N(data!AL83), 0)</f>
        <v>0</v>
      </c>
      <c r="AD37" s="198">
        <f>ROUND(N(data!AL84), 0)</f>
        <v>0</v>
      </c>
      <c r="AE37" s="198">
        <f>ROUND(N(data!AL89), 0)</f>
        <v>-374030</v>
      </c>
      <c r="AF37" s="198">
        <f>ROUND(N(data!AL87), 0)</f>
        <v>-40934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199</v>
      </c>
      <c r="B38" s="200" t="str">
        <f>RIGHT(data!$C$96,4)</f>
        <v>2024</v>
      </c>
      <c r="C38" s="12" t="str">
        <f>data!AM$55</f>
        <v>7330</v>
      </c>
      <c r="D38" s="12" t="s">
        <v>1163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ROUND(N(data!AM82),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 t="e">
        <f>ROUND(N(data!#REF!), 0)</f>
        <v>#REF!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199</v>
      </c>
      <c r="B39" s="200" t="str">
        <f>RIGHT(data!$C$96,4)</f>
        <v>2024</v>
      </c>
      <c r="C39" s="12" t="str">
        <f>data!AN$55</f>
        <v>7340</v>
      </c>
      <c r="D39" s="12" t="s">
        <v>1163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ROUND(N(data!AN82),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 t="e">
        <f>ROUND(N(data!#REF!), 0)</f>
        <v>#REF!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199</v>
      </c>
      <c r="B40" s="200" t="str">
        <f>RIGHT(data!$C$96,4)</f>
        <v>2024</v>
      </c>
      <c r="C40" s="12" t="str">
        <f>data!AO$55</f>
        <v>7350</v>
      </c>
      <c r="D40" s="12" t="s">
        <v>1163</v>
      </c>
      <c r="E40" s="198">
        <f>ROUND(N(data!AO59), 0)</f>
        <v>0</v>
      </c>
      <c r="F40" s="271">
        <f>ROUND(N(data!AO60), 2)</f>
        <v>0</v>
      </c>
      <c r="G40" s="198">
        <f>ROUND(N(data!AO61), 0)</f>
        <v>0</v>
      </c>
      <c r="H40" s="198">
        <f>ROUND(N(data!AO62), 0)</f>
        <v>0</v>
      </c>
      <c r="I40" s="198">
        <f>ROUND(N(data!AO63), 0)</f>
        <v>0</v>
      </c>
      <c r="J40" s="198">
        <f>ROUND(N(data!AO64), 0)</f>
        <v>0</v>
      </c>
      <c r="K40" s="198">
        <f>ROUND(N(data!AO82), 0)</f>
        <v>0</v>
      </c>
      <c r="L40" s="198">
        <f>ROUND(N(data!AO66), 0)</f>
        <v>0</v>
      </c>
      <c r="M40" s="198">
        <f>ROUND(N(data!AO67), 0)</f>
        <v>0</v>
      </c>
      <c r="N40" s="198">
        <f>ROUND(N(data!AO68), 0)</f>
        <v>0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 t="e">
        <f>ROUND(N(data!#REF!), 0)</f>
        <v>#REF!</v>
      </c>
      <c r="AC40" s="198">
        <f>ROUND(N(data!AO83), 0)</f>
        <v>0</v>
      </c>
      <c r="AD40" s="198">
        <f>ROUND(N(data!AO84), 0)</f>
        <v>0</v>
      </c>
      <c r="AE40" s="198">
        <f>ROUND(N(data!AO89), 0)</f>
        <v>-3949451</v>
      </c>
      <c r="AF40" s="198">
        <f>ROUND(N(data!AO87), 0)</f>
        <v>-3732842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271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199</v>
      </c>
      <c r="B41" s="200" t="str">
        <f>RIGHT(data!$C$96,4)</f>
        <v>2024</v>
      </c>
      <c r="C41" s="12" t="str">
        <f>data!AP$55</f>
        <v>7380</v>
      </c>
      <c r="D41" s="12" t="s">
        <v>1163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ROUND(N(data!AP82),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 t="e">
        <f>ROUND(N(data!#REF!), 0)</f>
        <v>#REF!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199</v>
      </c>
      <c r="B42" s="200" t="str">
        <f>RIGHT(data!$C$96,4)</f>
        <v>2024</v>
      </c>
      <c r="C42" s="12" t="str">
        <f>data!AQ$55</f>
        <v>7390</v>
      </c>
      <c r="D42" s="12" t="s">
        <v>1163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ROUND(N(data!AQ82),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 t="e">
        <f>ROUND(N(data!#REF!), 0)</f>
        <v>#REF!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199</v>
      </c>
      <c r="B43" s="200" t="str">
        <f>RIGHT(data!$C$96,4)</f>
        <v>2024</v>
      </c>
      <c r="C43" s="12" t="str">
        <f>data!AR$55</f>
        <v>7400</v>
      </c>
      <c r="D43" s="12" t="s">
        <v>1163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ROUND(N(data!AR82),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 t="e">
        <f>ROUND(N(data!#REF!), 0)</f>
        <v>#REF!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199</v>
      </c>
      <c r="B44" s="200" t="str">
        <f>RIGHT(data!$C$96,4)</f>
        <v>2024</v>
      </c>
      <c r="C44" s="12" t="str">
        <f>data!AS$55</f>
        <v>7410</v>
      </c>
      <c r="D44" s="12" t="s">
        <v>1163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ROUND(N(data!AS82),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 t="e">
        <f>ROUND(N(data!#REF!), 0)</f>
        <v>#REF!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199</v>
      </c>
      <c r="B45" s="200" t="str">
        <f>RIGHT(data!$C$96,4)</f>
        <v>2024</v>
      </c>
      <c r="C45" s="12" t="str">
        <f>data!AT$55</f>
        <v>7420</v>
      </c>
      <c r="D45" s="12" t="s">
        <v>1163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ROUND(N(data!AT82),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 t="e">
        <f>ROUND(N(data!#REF!), 0)</f>
        <v>#REF!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199</v>
      </c>
      <c r="B46" s="200" t="str">
        <f>RIGHT(data!$C$96,4)</f>
        <v>2024</v>
      </c>
      <c r="C46" s="12" t="str">
        <f>data!AU$55</f>
        <v>7430</v>
      </c>
      <c r="D46" s="12" t="s">
        <v>1163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ROUND(N(data!AU82),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 t="e">
        <f>ROUND(N(data!#REF!), 0)</f>
        <v>#REF!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199</v>
      </c>
      <c r="B47" s="200" t="str">
        <f>RIGHT(data!$C$96,4)</f>
        <v>2024</v>
      </c>
      <c r="C47" s="12" t="str">
        <f>data!AV$55</f>
        <v>7490</v>
      </c>
      <c r="D47" s="12" t="s">
        <v>1163</v>
      </c>
      <c r="E47" s="198">
        <f>ROUND(N(data!AV59), 0)</f>
        <v>0</v>
      </c>
      <c r="F47" s="271">
        <f>ROUND(N(data!AV60), 2)</f>
        <v>0</v>
      </c>
      <c r="G47" s="198">
        <f>ROUND(N(data!AV61), 0)</f>
        <v>0</v>
      </c>
      <c r="H47" s="198">
        <f>ROUND(N(data!AV62), 0)</f>
        <v>0</v>
      </c>
      <c r="I47" s="198">
        <f>ROUND(N(data!AV63), 0)</f>
        <v>0</v>
      </c>
      <c r="J47" s="198">
        <f>ROUND(N(data!AV64), 0)</f>
        <v>0</v>
      </c>
      <c r="K47" s="198">
        <f>ROUND(N(data!AV82), 0)</f>
        <v>0</v>
      </c>
      <c r="L47" s="198">
        <f>ROUND(N(data!AV66), 0)</f>
        <v>0</v>
      </c>
      <c r="M47" s="198">
        <f>ROUND(N(data!AV67), 0)</f>
        <v>0</v>
      </c>
      <c r="N47" s="198">
        <f>ROUND(N(data!AV68), 0)</f>
        <v>0</v>
      </c>
      <c r="O47" s="198">
        <f>ROUND(N(data!AV69), 0)</f>
        <v>0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0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 t="e">
        <f>ROUND(N(data!#REF!), 0)</f>
        <v>#REF!</v>
      </c>
      <c r="AC47" s="198">
        <f>ROUND(N(data!AV83), 0)</f>
        <v>0</v>
      </c>
      <c r="AD47" s="198">
        <f>ROUND(N(data!AV84), 0)</f>
        <v>0</v>
      </c>
      <c r="AE47" s="198">
        <f>ROUND(N(data!AV89), 0)</f>
        <v>-270195</v>
      </c>
      <c r="AF47" s="198">
        <f>ROUND(N(data!AV87), 0)</f>
        <v>0</v>
      </c>
      <c r="AG47" s="198">
        <f>ROUND(N(data!AV90), 0)</f>
        <v>0</v>
      </c>
      <c r="AH47" s="198">
        <f>ROUND(N(data!AV91), 0)</f>
        <v>0</v>
      </c>
      <c r="AI47" s="198">
        <f>ROUND(N(data!AV92), 0)</f>
        <v>0</v>
      </c>
      <c r="AJ47" s="198">
        <f>ROUND(N(data!AV93), 0)</f>
        <v>0</v>
      </c>
      <c r="AK47" s="271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199</v>
      </c>
      <c r="B48" s="200" t="str">
        <f>RIGHT(data!$C$96,4)</f>
        <v>2024</v>
      </c>
      <c r="C48" s="12" t="str">
        <f>data!AW$55</f>
        <v>8200</v>
      </c>
      <c r="D48" s="12" t="s">
        <v>1163</v>
      </c>
      <c r="E48" s="198">
        <f>ROUND(N(data!AW59), 0)</f>
        <v>0</v>
      </c>
      <c r="F48" s="271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ROUND(N(data!AW82),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 t="e">
        <f>ROUND(N(data!#REF!), 0)</f>
        <v>#REF!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199</v>
      </c>
      <c r="B49" s="200" t="str">
        <f>RIGHT(data!$C$96,4)</f>
        <v>2024</v>
      </c>
      <c r="C49" s="12" t="str">
        <f>data!AX$55</f>
        <v>8310</v>
      </c>
      <c r="D49" s="12" t="s">
        <v>1163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ROUND(N(data!AX82),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 t="e">
        <f>ROUND(N(data!#REF!), 0)</f>
        <v>#REF!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199</v>
      </c>
      <c r="B50" s="200" t="str">
        <f>RIGHT(data!$C$96,4)</f>
        <v>2024</v>
      </c>
      <c r="C50" s="12" t="str">
        <f>data!AY$55</f>
        <v>8320</v>
      </c>
      <c r="D50" s="12" t="s">
        <v>1163</v>
      </c>
      <c r="E50" s="198">
        <f>ROUND(N(data!AY59), 0)</f>
        <v>0</v>
      </c>
      <c r="F50" s="271">
        <f>ROUND(N(data!AY60), 2)</f>
        <v>5.89</v>
      </c>
      <c r="G50" s="198">
        <f>ROUND(N(data!AY61), 0)</f>
        <v>293584</v>
      </c>
      <c r="H50" s="198">
        <f>ROUND(N(data!AY62), 0)</f>
        <v>69306</v>
      </c>
      <c r="I50" s="198">
        <f>ROUND(N(data!AY63), 0)</f>
        <v>0</v>
      </c>
      <c r="J50" s="198">
        <f>ROUND(N(data!AY64), 0)</f>
        <v>349151</v>
      </c>
      <c r="K50" s="198">
        <f>ROUND(N(data!AY82), 0)</f>
        <v>0</v>
      </c>
      <c r="L50" s="198">
        <f>ROUND(N(data!AY66), 0)</f>
        <v>183</v>
      </c>
      <c r="M50" s="198">
        <f>ROUND(N(data!AY67), 0)</f>
        <v>24676</v>
      </c>
      <c r="N50" s="198">
        <f>ROUND(N(data!AY68), 0)</f>
        <v>1358</v>
      </c>
      <c r="O50" s="198">
        <f>ROUND(N(data!AY69), 0)</f>
        <v>33862</v>
      </c>
      <c r="P50" s="198">
        <f>ROUND(N(data!AY70), 0)</f>
        <v>0</v>
      </c>
      <c r="Q50" s="198">
        <f>ROUND(N(data!AY71), 0)</f>
        <v>19920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13905</v>
      </c>
      <c r="X50" s="198">
        <f>ROUND(N(data!AY78), 0)</f>
        <v>0</v>
      </c>
      <c r="Y50" s="198">
        <f>ROUND(N(data!AY79), 0)</f>
        <v>0</v>
      </c>
      <c r="Z50" s="198">
        <f>ROUND(N(data!AY80), 0)</f>
        <v>0</v>
      </c>
      <c r="AA50" s="198">
        <f>ROUND(N(data!AY81), 0)</f>
        <v>0</v>
      </c>
      <c r="AB50" s="198" t="e">
        <f>ROUND(N(data!#REF!), 0)</f>
        <v>#REF!</v>
      </c>
      <c r="AC50" s="198">
        <f>ROUND(N(data!AY83), 0)</f>
        <v>37</v>
      </c>
      <c r="AD50" s="198">
        <f>ROUND(N(data!AY84), 0)</f>
        <v>0</v>
      </c>
      <c r="AE50" s="198">
        <f>ROUND(N(data!AY89), 0)</f>
        <v>0</v>
      </c>
      <c r="AF50" s="198">
        <f>ROUND(N(data!AY87), 0)</f>
        <v>0</v>
      </c>
      <c r="AG50" s="198">
        <f>ROUND(N(data!AY90), 0)</f>
        <v>2242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199</v>
      </c>
      <c r="B51" s="200" t="str">
        <f>RIGHT(data!$C$96,4)</f>
        <v>2024</v>
      </c>
      <c r="C51" s="12" t="str">
        <f>data!AZ$55</f>
        <v>8330</v>
      </c>
      <c r="D51" s="12" t="s">
        <v>1163</v>
      </c>
      <c r="E51" s="198">
        <f>ROUND(N(data!AZ59), 0)</f>
        <v>0</v>
      </c>
      <c r="F51" s="271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ROUND(N(data!AZ82),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 t="e">
        <f>ROUND(N(data!#REF!), 0)</f>
        <v>#REF!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199</v>
      </c>
      <c r="B52" s="200" t="str">
        <f>RIGHT(data!$C$96,4)</f>
        <v>2024</v>
      </c>
      <c r="C52" s="12" t="str">
        <f>data!BA$55</f>
        <v>8350</v>
      </c>
      <c r="D52" s="12" t="s">
        <v>1163</v>
      </c>
      <c r="E52" s="198">
        <f>ROUND(N(data!BA59), 0)</f>
        <v>0</v>
      </c>
      <c r="F52" s="271">
        <f>ROUND(N(data!BA60), 2)</f>
        <v>0</v>
      </c>
      <c r="G52" s="198">
        <f>ROUND(N(data!BA61), 0)</f>
        <v>0</v>
      </c>
      <c r="H52" s="198">
        <f>ROUND(N(data!BA62), 0)</f>
        <v>0</v>
      </c>
      <c r="I52" s="198">
        <f>ROUND(N(data!BA63), 0)</f>
        <v>0</v>
      </c>
      <c r="J52" s="198">
        <f>ROUND(N(data!BA64), 0)</f>
        <v>0</v>
      </c>
      <c r="K52" s="198">
        <f>ROUND(N(data!BA82), 0)</f>
        <v>0</v>
      </c>
      <c r="L52" s="198">
        <f>ROUND(N(data!BA66), 0)</f>
        <v>0</v>
      </c>
      <c r="M52" s="198">
        <f>ROUND(N(data!BA67), 0)</f>
        <v>0</v>
      </c>
      <c r="N52" s="198">
        <f>ROUND(N(data!BA68), 0)</f>
        <v>0</v>
      </c>
      <c r="O52" s="198">
        <f>ROUND(N(data!BA69), 0)</f>
        <v>0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 t="e">
        <f>ROUND(N(data!#REF!), 0)</f>
        <v>#REF!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0</v>
      </c>
      <c r="AH52" s="198">
        <f>ROUND(N(data!BA91), 0)</f>
        <v>0</v>
      </c>
      <c r="AI52" s="198">
        <f>ROUND(N(data!BA92), 0)</f>
        <v>0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199</v>
      </c>
      <c r="B53" s="200" t="str">
        <f>RIGHT(data!$C$96,4)</f>
        <v>2024</v>
      </c>
      <c r="C53" s="12" t="str">
        <f>data!BB$55</f>
        <v>8360</v>
      </c>
      <c r="D53" s="12" t="s">
        <v>1163</v>
      </c>
      <c r="E53" s="198">
        <f>ROUND(N(data!BB59), 0)</f>
        <v>0</v>
      </c>
      <c r="F53" s="271">
        <f>ROUND(N(data!BB60), 2)</f>
        <v>0</v>
      </c>
      <c r="G53" s="198">
        <f>ROUND(N(data!BB61), 0)</f>
        <v>0</v>
      </c>
      <c r="H53" s="198">
        <f>ROUND(N(data!BB62), 0)</f>
        <v>0</v>
      </c>
      <c r="I53" s="198">
        <f>ROUND(N(data!BB63), 0)</f>
        <v>0</v>
      </c>
      <c r="J53" s="198">
        <f>ROUND(N(data!BB64), 0)</f>
        <v>0</v>
      </c>
      <c r="K53" s="198">
        <f>ROUND(N(data!BB82), 0)</f>
        <v>0</v>
      </c>
      <c r="L53" s="198">
        <f>ROUND(N(data!BB66), 0)</f>
        <v>0</v>
      </c>
      <c r="M53" s="198">
        <f>ROUND(N(data!BB67), 0)</f>
        <v>0</v>
      </c>
      <c r="N53" s="198">
        <f>ROUND(N(data!BB68), 0)</f>
        <v>0</v>
      </c>
      <c r="O53" s="198">
        <f>ROUND(N(data!BB69), 0)</f>
        <v>0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 t="e">
        <f>ROUND(N(data!#REF!), 0)</f>
        <v>#REF!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0</v>
      </c>
      <c r="AH53" s="198">
        <f>ROUND(N(data!BB91), 0)</f>
        <v>0</v>
      </c>
      <c r="AI53" s="198">
        <f>ROUND(N(data!BB92), 0)</f>
        <v>0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199</v>
      </c>
      <c r="B54" s="200" t="str">
        <f>RIGHT(data!$C$96,4)</f>
        <v>2024</v>
      </c>
      <c r="C54" s="12" t="str">
        <f>data!BC$55</f>
        <v>8370</v>
      </c>
      <c r="D54" s="12" t="s">
        <v>1163</v>
      </c>
      <c r="E54" s="198">
        <f>ROUND(N(data!BC59), 0)</f>
        <v>0</v>
      </c>
      <c r="F54" s="271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ROUND(N(data!BC82),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 t="e">
        <f>ROUND(N(data!#REF!), 0)</f>
        <v>#REF!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199</v>
      </c>
      <c r="B55" s="200" t="str">
        <f>RIGHT(data!$C$96,4)</f>
        <v>2024</v>
      </c>
      <c r="C55" s="12" t="str">
        <f>data!BD$55</f>
        <v>8420</v>
      </c>
      <c r="D55" s="12" t="s">
        <v>1163</v>
      </c>
      <c r="E55" s="198">
        <f>ROUND(N(data!BD59), 0)</f>
        <v>0</v>
      </c>
      <c r="F55" s="271">
        <f>ROUND(N(data!BD60), 2)</f>
        <v>2.69</v>
      </c>
      <c r="G55" s="198">
        <f>ROUND(N(data!BD61), 0)</f>
        <v>107075</v>
      </c>
      <c r="H55" s="198">
        <f>ROUND(N(data!BD62), 0)</f>
        <v>26208</v>
      </c>
      <c r="I55" s="198">
        <f>ROUND(N(data!BD63), 0)</f>
        <v>0</v>
      </c>
      <c r="J55" s="198">
        <f>ROUND(N(data!BD64), 0)</f>
        <v>-46305</v>
      </c>
      <c r="K55" s="198">
        <f>ROUND(N(data!BD82), 0)</f>
        <v>0</v>
      </c>
      <c r="L55" s="198">
        <f>ROUND(N(data!BD66), 0)</f>
        <v>2030</v>
      </c>
      <c r="M55" s="198">
        <f>ROUND(N(data!BD67), 0)</f>
        <v>36067</v>
      </c>
      <c r="N55" s="198">
        <f>ROUND(N(data!BD68), 0)</f>
        <v>0</v>
      </c>
      <c r="O55" s="198">
        <f>ROUND(N(data!BD69), 0)</f>
        <v>5644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 t="e">
        <f>ROUND(N(data!#REF!), 0)</f>
        <v>#REF!</v>
      </c>
      <c r="AC55" s="198">
        <f>ROUND(N(data!BD83), 0)</f>
        <v>5644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3277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199</v>
      </c>
      <c r="B56" s="200" t="str">
        <f>RIGHT(data!$C$96,4)</f>
        <v>2024</v>
      </c>
      <c r="C56" s="12" t="str">
        <f>data!BE$55</f>
        <v>8430</v>
      </c>
      <c r="D56" s="12" t="s">
        <v>1163</v>
      </c>
      <c r="E56" s="198">
        <f>ROUND(N(data!BE59), 0)</f>
        <v>71201</v>
      </c>
      <c r="F56" s="271">
        <f>ROUND(N(data!BE60), 2)</f>
        <v>2.71</v>
      </c>
      <c r="G56" s="198">
        <f>ROUND(N(data!BE61), 0)</f>
        <v>156931</v>
      </c>
      <c r="H56" s="198">
        <f>ROUND(N(data!BE62), 0)</f>
        <v>43294</v>
      </c>
      <c r="I56" s="198">
        <f>ROUND(N(data!BE63), 0)</f>
        <v>0</v>
      </c>
      <c r="J56" s="198">
        <f>ROUND(N(data!BE64), 0)</f>
        <v>68189</v>
      </c>
      <c r="K56" s="198">
        <f>ROUND(N(data!BE82), 0)</f>
        <v>544052</v>
      </c>
      <c r="L56" s="198">
        <f>ROUND(N(data!BE66), 0)</f>
        <v>85016</v>
      </c>
      <c r="M56" s="198">
        <f>ROUND(N(data!BE67), 0)</f>
        <v>14231</v>
      </c>
      <c r="N56" s="198">
        <f>ROUND(N(data!BE68), 0)</f>
        <v>15280</v>
      </c>
      <c r="O56" s="198">
        <f>ROUND(N(data!BE69), 0)</f>
        <v>646033</v>
      </c>
      <c r="P56" s="198">
        <f>ROUND(N(data!BE70), 0)</f>
        <v>0</v>
      </c>
      <c r="Q56" s="198">
        <f>ROUND(N(data!BE71), 0)</f>
        <v>0</v>
      </c>
      <c r="R56" s="198">
        <f>ROUND(N(data!BE72), 0)</f>
        <v>0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101354</v>
      </c>
      <c r="X56" s="198">
        <f>ROUND(N(data!BE78), 0)</f>
        <v>0</v>
      </c>
      <c r="Y56" s="198">
        <f>ROUND(N(data!BE79), 0)</f>
        <v>0</v>
      </c>
      <c r="Z56" s="198">
        <f>ROUND(N(data!BE80), 0)</f>
        <v>0</v>
      </c>
      <c r="AA56" s="198">
        <f>ROUND(N(data!BE81), 0)</f>
        <v>205</v>
      </c>
      <c r="AB56" s="198" t="e">
        <f>ROUND(N(data!#REF!), 0)</f>
        <v>#REF!</v>
      </c>
      <c r="AC56" s="198">
        <f>ROUND(N(data!BE83), 0)</f>
        <v>422</v>
      </c>
      <c r="AD56" s="198">
        <f>ROUND(N(data!BE84), 0)</f>
        <v>0</v>
      </c>
      <c r="AE56" s="198">
        <f>ROUND(N(data!BE89), 0)</f>
        <v>0</v>
      </c>
      <c r="AF56" s="198">
        <f>ROUND(N(data!BE87), 0)</f>
        <v>0</v>
      </c>
      <c r="AG56" s="198">
        <f>ROUND(N(data!BE90), 0)</f>
        <v>1293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199</v>
      </c>
      <c r="B57" s="200" t="str">
        <f>RIGHT(data!$C$96,4)</f>
        <v>2024</v>
      </c>
      <c r="C57" s="12" t="str">
        <f>data!BF$55</f>
        <v>8460</v>
      </c>
      <c r="D57" s="12" t="s">
        <v>1163</v>
      </c>
      <c r="E57" s="198">
        <f>ROUND(N(data!BF59), 0)</f>
        <v>0</v>
      </c>
      <c r="F57" s="271">
        <f>ROUND(N(data!BF60), 2)</f>
        <v>7.39</v>
      </c>
      <c r="G57" s="198">
        <f>ROUND(N(data!BF61), 0)</f>
        <v>338748</v>
      </c>
      <c r="H57" s="198">
        <f>ROUND(N(data!BF62), 0)</f>
        <v>82332</v>
      </c>
      <c r="I57" s="198">
        <f>ROUND(N(data!BF63), 0)</f>
        <v>0</v>
      </c>
      <c r="J57" s="198">
        <f>ROUND(N(data!BF64), 0)</f>
        <v>95990</v>
      </c>
      <c r="K57" s="198">
        <f>ROUND(N(data!BF82), 0)</f>
        <v>0</v>
      </c>
      <c r="L57" s="198">
        <f>ROUND(N(data!BF66), 0)</f>
        <v>272933</v>
      </c>
      <c r="M57" s="198">
        <f>ROUND(N(data!BF67), 0)</f>
        <v>5239</v>
      </c>
      <c r="N57" s="198">
        <f>ROUND(N(data!BF68), 0)</f>
        <v>1087</v>
      </c>
      <c r="O57" s="198">
        <f>ROUND(N(data!BF69), 0)</f>
        <v>3912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3912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 t="e">
        <f>ROUND(N(data!#REF!), 0)</f>
        <v>#REF!</v>
      </c>
      <c r="AC57" s="198">
        <f>ROUND(N(data!BF83), 0)</f>
        <v>0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476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199</v>
      </c>
      <c r="B58" s="200" t="str">
        <f>RIGHT(data!$C$96,4)</f>
        <v>2024</v>
      </c>
      <c r="C58" s="12" t="str">
        <f>data!BG$55</f>
        <v>8470</v>
      </c>
      <c r="D58" s="12" t="s">
        <v>1163</v>
      </c>
      <c r="E58" s="198">
        <f>ROUND(N(data!BG59), 0)</f>
        <v>0</v>
      </c>
      <c r="F58" s="271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ROUND(N(data!BG82), 0)</f>
        <v>0</v>
      </c>
      <c r="L58" s="198">
        <f>ROUND(N(data!BG66), 0)</f>
        <v>45934</v>
      </c>
      <c r="M58" s="198">
        <f>ROUND(N(data!BG67), 0)</f>
        <v>1365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 t="e">
        <f>ROUND(N(data!#REF!), 0)</f>
        <v>#REF!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124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199</v>
      </c>
      <c r="B59" s="200" t="str">
        <f>RIGHT(data!$C$96,4)</f>
        <v>2024</v>
      </c>
      <c r="C59" s="12" t="str">
        <f>data!BH$55</f>
        <v>8480</v>
      </c>
      <c r="D59" s="12" t="s">
        <v>1163</v>
      </c>
      <c r="E59" s="198">
        <f>ROUND(N(data!BH59), 0)</f>
        <v>0</v>
      </c>
      <c r="F59" s="271">
        <f>ROUND(N(data!BH60), 2)</f>
        <v>0</v>
      </c>
      <c r="G59" s="198">
        <f>ROUND(N(data!BH61), 0)</f>
        <v>0</v>
      </c>
      <c r="H59" s="198">
        <f>ROUND(N(data!BH62), 0)</f>
        <v>0</v>
      </c>
      <c r="I59" s="198">
        <f>ROUND(N(data!BH63), 0)</f>
        <v>0</v>
      </c>
      <c r="J59" s="198">
        <f>ROUND(N(data!BH64), 0)</f>
        <v>68171</v>
      </c>
      <c r="K59" s="198">
        <f>ROUND(N(data!BH82), 0)</f>
        <v>1000</v>
      </c>
      <c r="L59" s="198">
        <f>ROUND(N(data!BH66), 0)</f>
        <v>363739</v>
      </c>
      <c r="M59" s="198">
        <f>ROUND(N(data!BH67), 0)</f>
        <v>0</v>
      </c>
      <c r="N59" s="198">
        <f>ROUND(N(data!BH68), 0)</f>
        <v>-236</v>
      </c>
      <c r="O59" s="198">
        <f>ROUND(N(data!BH69), 0)</f>
        <v>2891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2050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 t="e">
        <f>ROUND(N(data!#REF!), 0)</f>
        <v>#REF!</v>
      </c>
      <c r="AC59" s="198">
        <f>ROUND(N(data!BH83), 0)</f>
        <v>-159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0</v>
      </c>
      <c r="AH59" s="198">
        <f>ROUND(N(data!BH91), 0)</f>
        <v>0</v>
      </c>
      <c r="AI59" s="198">
        <f>ROUND(N(data!BH92), 0)</f>
        <v>0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199</v>
      </c>
      <c r="B60" s="200" t="str">
        <f>RIGHT(data!$C$96,4)</f>
        <v>2024</v>
      </c>
      <c r="C60" s="12" t="str">
        <f>data!BI$55</f>
        <v>8490</v>
      </c>
      <c r="D60" s="12" t="s">
        <v>1163</v>
      </c>
      <c r="E60" s="198">
        <f>ROUND(N(data!BI59), 0)</f>
        <v>0</v>
      </c>
      <c r="F60" s="271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0</v>
      </c>
      <c r="K60" s="198">
        <f>ROUND(N(data!BI82),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 t="e">
        <f>ROUND(N(data!#REF!), 0)</f>
        <v>#REF!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199</v>
      </c>
      <c r="B61" s="200" t="str">
        <f>RIGHT(data!$C$96,4)</f>
        <v>2024</v>
      </c>
      <c r="C61" s="12" t="str">
        <f>data!BJ$55</f>
        <v>8510</v>
      </c>
      <c r="D61" s="12" t="s">
        <v>1163</v>
      </c>
      <c r="E61" s="198">
        <f>ROUND(N(data!BJ59), 0)</f>
        <v>0</v>
      </c>
      <c r="F61" s="271">
        <f>ROUND(N(data!BJ60), 2)</f>
        <v>1</v>
      </c>
      <c r="G61" s="198">
        <f>ROUND(N(data!BJ61), 0)</f>
        <v>89650</v>
      </c>
      <c r="H61" s="198">
        <f>ROUND(N(data!BJ62), 0)</f>
        <v>17273</v>
      </c>
      <c r="I61" s="198">
        <f>ROUND(N(data!BJ63), 0)</f>
        <v>15875</v>
      </c>
      <c r="J61" s="198">
        <f>ROUND(N(data!BJ64), 0)</f>
        <v>46</v>
      </c>
      <c r="K61" s="198">
        <f>ROUND(N(data!BJ82), 0)</f>
        <v>0</v>
      </c>
      <c r="L61" s="198">
        <f>ROUND(N(data!BJ66), 0)</f>
        <v>0</v>
      </c>
      <c r="M61" s="198">
        <f>ROUND(N(data!BJ67), 0)</f>
        <v>0</v>
      </c>
      <c r="N61" s="198">
        <f>ROUND(N(data!BJ68), 0)</f>
        <v>0</v>
      </c>
      <c r="O61" s="198">
        <f>ROUND(N(data!BJ69), 0)</f>
        <v>74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 t="e">
        <f>ROUND(N(data!#REF!), 0)</f>
        <v>#REF!</v>
      </c>
      <c r="AC61" s="198">
        <f>ROUND(N(data!BJ83), 0)</f>
        <v>74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199</v>
      </c>
      <c r="B62" s="200" t="str">
        <f>RIGHT(data!$C$96,4)</f>
        <v>2024</v>
      </c>
      <c r="C62" s="12" t="str">
        <f>data!BK$55</f>
        <v>8530</v>
      </c>
      <c r="D62" s="12" t="s">
        <v>1163</v>
      </c>
      <c r="E62" s="198">
        <f>ROUND(N(data!BK59), 0)</f>
        <v>0</v>
      </c>
      <c r="F62" s="271">
        <f>ROUND(N(data!BK60), 2)</f>
        <v>0</v>
      </c>
      <c r="G62" s="198">
        <f>ROUND(N(data!BK61), 0)</f>
        <v>0</v>
      </c>
      <c r="H62" s="198">
        <f>ROUND(N(data!BK62), 0)</f>
        <v>0</v>
      </c>
      <c r="I62" s="198">
        <f>ROUND(N(data!BK63), 0)</f>
        <v>0</v>
      </c>
      <c r="J62" s="198">
        <f>ROUND(N(data!BK64), 0)</f>
        <v>745</v>
      </c>
      <c r="K62" s="198">
        <f>ROUND(N(data!BK82), 0)</f>
        <v>0</v>
      </c>
      <c r="L62" s="198">
        <f>ROUND(N(data!BK66), 0)</f>
        <v>0</v>
      </c>
      <c r="M62" s="198">
        <f>ROUND(N(data!BK67), 0)</f>
        <v>0</v>
      </c>
      <c r="N62" s="198">
        <f>ROUND(N(data!BK68), 0)</f>
        <v>0</v>
      </c>
      <c r="O62" s="198">
        <f>ROUND(N(data!BK69), 0)</f>
        <v>0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 t="e">
        <f>ROUND(N(data!#REF!), 0)</f>
        <v>#REF!</v>
      </c>
      <c r="AC62" s="198">
        <f>ROUND(N(data!BK83), 0)</f>
        <v>0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199</v>
      </c>
      <c r="B63" s="200" t="str">
        <f>RIGHT(data!$C$96,4)</f>
        <v>2024</v>
      </c>
      <c r="C63" s="12" t="str">
        <f>data!BL$55</f>
        <v>8560</v>
      </c>
      <c r="D63" s="12" t="s">
        <v>1163</v>
      </c>
      <c r="E63" s="198">
        <f>ROUND(N(data!BL59), 0)</f>
        <v>0</v>
      </c>
      <c r="F63" s="271">
        <f>ROUND(N(data!BL60), 2)</f>
        <v>13.35</v>
      </c>
      <c r="G63" s="198">
        <f>ROUND(N(data!BL61), 0)</f>
        <v>634624</v>
      </c>
      <c r="H63" s="198">
        <f>ROUND(N(data!BL62), 0)</f>
        <v>149257</v>
      </c>
      <c r="I63" s="198">
        <f>ROUND(N(data!BL63), 0)</f>
        <v>0</v>
      </c>
      <c r="J63" s="198">
        <f>ROUND(N(data!BL64), 0)</f>
        <v>11413</v>
      </c>
      <c r="K63" s="198">
        <f>ROUND(N(data!BL82), 0)</f>
        <v>0</v>
      </c>
      <c r="L63" s="198">
        <f>ROUND(N(data!BL66), 0)</f>
        <v>0</v>
      </c>
      <c r="M63" s="198">
        <f>ROUND(N(data!BL67), 0)</f>
        <v>0</v>
      </c>
      <c r="N63" s="198">
        <f>ROUND(N(data!BL68), 0)</f>
        <v>0</v>
      </c>
      <c r="O63" s="198">
        <f>ROUND(N(data!BL69), 0)</f>
        <v>0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 t="e">
        <f>ROUND(N(data!#REF!), 0)</f>
        <v>#REF!</v>
      </c>
      <c r="AC63" s="198">
        <f>ROUND(N(data!BL83), 0)</f>
        <v>0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0</v>
      </c>
      <c r="AH63" s="198">
        <f>ROUND(N(data!BL91), 0)</f>
        <v>0</v>
      </c>
      <c r="AI63" s="198">
        <f>ROUND(N(data!BL92), 0)</f>
        <v>0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199</v>
      </c>
      <c r="B64" s="200" t="str">
        <f>RIGHT(data!$C$96,4)</f>
        <v>2024</v>
      </c>
      <c r="C64" s="12" t="str">
        <f>data!BM$55</f>
        <v>8590</v>
      </c>
      <c r="D64" s="12" t="s">
        <v>1163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ROUND(N(data!BM82),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 t="e">
        <f>ROUND(N(data!#REF!), 0)</f>
        <v>#REF!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199</v>
      </c>
      <c r="B65" s="200" t="str">
        <f>RIGHT(data!$C$96,4)</f>
        <v>2024</v>
      </c>
      <c r="C65" s="12" t="str">
        <f>data!BN$55</f>
        <v>8610</v>
      </c>
      <c r="D65" s="12" t="s">
        <v>1163</v>
      </c>
      <c r="E65" s="198">
        <f>ROUND(N(data!BN59), 0)</f>
        <v>0</v>
      </c>
      <c r="F65" s="271">
        <f>ROUND(N(data!BN60), 2)</f>
        <v>0.86</v>
      </c>
      <c r="G65" s="198">
        <f>ROUND(N(data!BN61), 0)</f>
        <v>16</v>
      </c>
      <c r="H65" s="198">
        <f>ROUND(N(data!BN62), 0)</f>
        <v>589</v>
      </c>
      <c r="I65" s="198">
        <f>ROUND(N(data!BN63), 0)</f>
        <v>60017</v>
      </c>
      <c r="J65" s="198">
        <f>ROUND(N(data!BN64), 0)</f>
        <v>10557</v>
      </c>
      <c r="K65" s="198">
        <f>ROUND(N(data!BN82), 0)</f>
        <v>0</v>
      </c>
      <c r="L65" s="198">
        <f>ROUND(N(data!BN66), 0)</f>
        <v>8913</v>
      </c>
      <c r="M65" s="198">
        <f>ROUND(N(data!BN67), 0)</f>
        <v>56979</v>
      </c>
      <c r="N65" s="198">
        <f>ROUND(N(data!BN68), 0)</f>
        <v>19160</v>
      </c>
      <c r="O65" s="198">
        <f>ROUND(N(data!BN69), 0)</f>
        <v>12141743</v>
      </c>
      <c r="P65" s="198">
        <f>ROUND(N(data!BN70), 0)</f>
        <v>0</v>
      </c>
      <c r="Q65" s="198">
        <f>ROUND(N(data!BN71), 0)</f>
        <v>0</v>
      </c>
      <c r="R65" s="198">
        <f>ROUND(N(data!BN72), 0)</f>
        <v>0</v>
      </c>
      <c r="S65" s="198">
        <f>ROUND(N(data!BN73), 0)</f>
        <v>578102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5022</v>
      </c>
      <c r="X65" s="198">
        <f>ROUND(N(data!BN78), 0)</f>
        <v>9319897</v>
      </c>
      <c r="Y65" s="198">
        <f>ROUND(N(data!BN79), 0)</f>
        <v>0</v>
      </c>
      <c r="Z65" s="198">
        <f>ROUND(N(data!BN80), 0)</f>
        <v>0</v>
      </c>
      <c r="AA65" s="198">
        <f>ROUND(N(data!BN81), 0)</f>
        <v>2214467</v>
      </c>
      <c r="AB65" s="198" t="e">
        <f>ROUND(N(data!#REF!), 0)</f>
        <v>#REF!</v>
      </c>
      <c r="AC65" s="198">
        <f>ROUND(N(data!BN83), 0)</f>
        <v>24256</v>
      </c>
      <c r="AD65" s="198">
        <f>ROUND(N(data!BN84), 0)</f>
        <v>0</v>
      </c>
      <c r="AE65" s="198">
        <f>ROUND(N(data!BN89), 0)</f>
        <v>0</v>
      </c>
      <c r="AF65" s="198">
        <f>ROUND(N(data!BN87), 0)</f>
        <v>0</v>
      </c>
      <c r="AG65" s="198">
        <f>ROUND(N(data!BN90), 0)</f>
        <v>5177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199</v>
      </c>
      <c r="B66" s="200" t="str">
        <f>RIGHT(data!$C$96,4)</f>
        <v>2024</v>
      </c>
      <c r="C66" s="12" t="str">
        <f>data!BO$55</f>
        <v>8620</v>
      </c>
      <c r="D66" s="12" t="s">
        <v>1163</v>
      </c>
      <c r="E66" s="198">
        <f>ROUND(N(data!BO59), 0)</f>
        <v>0</v>
      </c>
      <c r="F66" s="271">
        <f>ROUND(N(data!BO60), 2)</f>
        <v>0</v>
      </c>
      <c r="G66" s="198">
        <f>ROUND(N(data!BO61), 0)</f>
        <v>0</v>
      </c>
      <c r="H66" s="198">
        <f>ROUND(N(data!BO62), 0)</f>
        <v>0</v>
      </c>
      <c r="I66" s="198">
        <f>ROUND(N(data!BO63), 0)</f>
        <v>0</v>
      </c>
      <c r="J66" s="198">
        <f>ROUND(N(data!BO64), 0)</f>
        <v>0</v>
      </c>
      <c r="K66" s="198">
        <f>ROUND(N(data!BO82), 0)</f>
        <v>0</v>
      </c>
      <c r="L66" s="198">
        <f>ROUND(N(data!BO66), 0)</f>
        <v>0</v>
      </c>
      <c r="M66" s="198">
        <f>ROUND(N(data!BO67), 0)</f>
        <v>0</v>
      </c>
      <c r="N66" s="198">
        <f>ROUND(N(data!BO68), 0)</f>
        <v>0</v>
      </c>
      <c r="O66" s="198">
        <f>ROUND(N(data!BO69), 0)</f>
        <v>528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 t="e">
        <f>ROUND(N(data!#REF!), 0)</f>
        <v>#REF!</v>
      </c>
      <c r="AC66" s="198">
        <f>ROUND(N(data!BO83), 0)</f>
        <v>528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199</v>
      </c>
      <c r="B67" s="200" t="str">
        <f>RIGHT(data!$C$96,4)</f>
        <v>2024</v>
      </c>
      <c r="C67" s="12" t="str">
        <f>data!BP$55</f>
        <v>8630</v>
      </c>
      <c r="D67" s="12" t="s">
        <v>1163</v>
      </c>
      <c r="E67" s="198">
        <f>ROUND(N(data!BP59), 0)</f>
        <v>0</v>
      </c>
      <c r="F67" s="271">
        <f>ROUND(N(data!BP60), 2)</f>
        <v>0</v>
      </c>
      <c r="G67" s="198">
        <f>ROUND(N(data!BP61), 0)</f>
        <v>0</v>
      </c>
      <c r="H67" s="198">
        <f>ROUND(N(data!BP62), 0)</f>
        <v>0</v>
      </c>
      <c r="I67" s="198">
        <f>ROUND(N(data!BP63), 0)</f>
        <v>0</v>
      </c>
      <c r="J67" s="198">
        <f>ROUND(N(data!BP64), 0)</f>
        <v>0</v>
      </c>
      <c r="K67" s="198">
        <f>ROUND(N(data!BP82), 0)</f>
        <v>0</v>
      </c>
      <c r="L67" s="198">
        <f>ROUND(N(data!BP66), 0)</f>
        <v>0</v>
      </c>
      <c r="M67" s="198">
        <f>ROUND(N(data!BP67), 0)</f>
        <v>0</v>
      </c>
      <c r="N67" s="198">
        <f>ROUND(N(data!BP68), 0)</f>
        <v>0</v>
      </c>
      <c r="O67" s="198">
        <f>ROUND(N(data!BP69), 0)</f>
        <v>0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 t="e">
        <f>ROUND(N(data!#REF!), 0)</f>
        <v>#REF!</v>
      </c>
      <c r="AC67" s="198">
        <f>ROUND(N(data!BP83), 0)</f>
        <v>0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199</v>
      </c>
      <c r="B68" s="200" t="str">
        <f>RIGHT(data!$C$96,4)</f>
        <v>2024</v>
      </c>
      <c r="C68" s="12" t="str">
        <f>data!BQ$55</f>
        <v>8640</v>
      </c>
      <c r="D68" s="12" t="s">
        <v>1163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ROUND(N(data!BQ82),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 t="e">
        <f>ROUND(N(data!#REF!), 0)</f>
        <v>#REF!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199</v>
      </c>
      <c r="B69" s="200" t="str">
        <f>RIGHT(data!$C$96,4)</f>
        <v>2024</v>
      </c>
      <c r="C69" s="12" t="str">
        <f>data!BR$55</f>
        <v>8650</v>
      </c>
      <c r="D69" s="12" t="s">
        <v>1163</v>
      </c>
      <c r="E69" s="198">
        <f>ROUND(N(data!BR59), 0)</f>
        <v>0</v>
      </c>
      <c r="F69" s="271">
        <f>ROUND(N(data!BR60), 2)</f>
        <v>0</v>
      </c>
      <c r="G69" s="198">
        <f>ROUND(N(data!BR61), 0)</f>
        <v>0</v>
      </c>
      <c r="H69" s="198">
        <f>ROUND(N(data!BR62), 0)</f>
        <v>0</v>
      </c>
      <c r="I69" s="198">
        <f>ROUND(N(data!BR63), 0)</f>
        <v>0</v>
      </c>
      <c r="J69" s="198">
        <f>ROUND(N(data!BR64), 0)</f>
        <v>0</v>
      </c>
      <c r="K69" s="198">
        <f>ROUND(N(data!BR82), 0)</f>
        <v>0</v>
      </c>
      <c r="L69" s="198">
        <f>ROUND(N(data!BR66), 0)</f>
        <v>22568</v>
      </c>
      <c r="M69" s="198">
        <f>ROUND(N(data!BR67), 0)</f>
        <v>0</v>
      </c>
      <c r="N69" s="198">
        <f>ROUND(N(data!BR68), 0)</f>
        <v>0</v>
      </c>
      <c r="O69" s="198">
        <f>ROUND(N(data!BR69), 0)</f>
        <v>6258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 t="e">
        <f>ROUND(N(data!#REF!), 0)</f>
        <v>#REF!</v>
      </c>
      <c r="AC69" s="198">
        <f>ROUND(N(data!BR83), 0)</f>
        <v>6258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199</v>
      </c>
      <c r="B70" s="200" t="str">
        <f>RIGHT(data!$C$96,4)</f>
        <v>2024</v>
      </c>
      <c r="C70" s="12" t="str">
        <f>data!BS$55</f>
        <v>8660</v>
      </c>
      <c r="D70" s="12" t="s">
        <v>1163</v>
      </c>
      <c r="E70" s="198">
        <f>ROUND(N(data!BS59), 0)</f>
        <v>0</v>
      </c>
      <c r="F70" s="271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ROUND(N(data!BS82),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 t="e">
        <f>ROUND(N(data!#REF!), 0)</f>
        <v>#REF!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199</v>
      </c>
      <c r="B71" s="200" t="str">
        <f>RIGHT(data!$C$96,4)</f>
        <v>2024</v>
      </c>
      <c r="C71" s="12" t="str">
        <f>data!BT$55</f>
        <v>8670</v>
      </c>
      <c r="D71" s="12" t="s">
        <v>1163</v>
      </c>
      <c r="E71" s="198">
        <f>ROUND(N(data!BT59), 0)</f>
        <v>0</v>
      </c>
      <c r="F71" s="271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ROUND(N(data!BT82),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 t="e">
        <f>ROUND(N(data!#REF!), 0)</f>
        <v>#REF!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199</v>
      </c>
      <c r="B72" s="200" t="str">
        <f>RIGHT(data!$C$96,4)</f>
        <v>2024</v>
      </c>
      <c r="C72" s="12" t="str">
        <f>data!BU$55</f>
        <v>8680</v>
      </c>
      <c r="D72" s="12" t="s">
        <v>1163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ROUND(N(data!BU82),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 t="e">
        <f>ROUND(N(data!#REF!), 0)</f>
        <v>#REF!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199</v>
      </c>
      <c r="B73" s="200" t="str">
        <f>RIGHT(data!$C$96,4)</f>
        <v>2024</v>
      </c>
      <c r="C73" s="12" t="str">
        <f>data!BV$55</f>
        <v>8690</v>
      </c>
      <c r="D73" s="12" t="s">
        <v>1163</v>
      </c>
      <c r="E73" s="198">
        <f>ROUND(N(data!BV59), 0)</f>
        <v>0</v>
      </c>
      <c r="F73" s="271">
        <f>ROUND(N(data!BV60), 2)</f>
        <v>0</v>
      </c>
      <c r="G73" s="198">
        <f>ROUND(N(data!BV61), 0)</f>
        <v>-17691</v>
      </c>
      <c r="H73" s="198">
        <f>ROUND(N(data!BV62), 0)</f>
        <v>-1607</v>
      </c>
      <c r="I73" s="198">
        <f>ROUND(N(data!BV63), 0)</f>
        <v>0</v>
      </c>
      <c r="J73" s="198">
        <f>ROUND(N(data!BV64), 0)</f>
        <v>83694</v>
      </c>
      <c r="K73" s="198">
        <f>ROUND(N(data!BV82), 0)</f>
        <v>0</v>
      </c>
      <c r="L73" s="198">
        <f>ROUND(N(data!BV66), 0)</f>
        <v>69</v>
      </c>
      <c r="M73" s="198">
        <f>ROUND(N(data!BV67), 0)</f>
        <v>0</v>
      </c>
      <c r="N73" s="198">
        <f>ROUND(N(data!BV68), 0)</f>
        <v>0</v>
      </c>
      <c r="O73" s="198">
        <f>ROUND(N(data!BV69), 0)</f>
        <v>0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 t="e">
        <f>ROUND(N(data!#REF!), 0)</f>
        <v>#REF!</v>
      </c>
      <c r="AC73" s="198">
        <f>ROUND(N(data!BV83), 0)</f>
        <v>0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0</v>
      </c>
      <c r="AH73" s="198">
        <f>ROUND(N(data!BV91), 0)</f>
        <v>0</v>
      </c>
      <c r="AI73" s="198">
        <f>ROUND(N(data!BV92), 0)</f>
        <v>0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199</v>
      </c>
      <c r="B74" s="200" t="str">
        <f>RIGHT(data!$C$96,4)</f>
        <v>2024</v>
      </c>
      <c r="C74" s="12" t="str">
        <f>data!BW$55</f>
        <v>8700</v>
      </c>
      <c r="D74" s="12" t="s">
        <v>1163</v>
      </c>
      <c r="E74" s="198">
        <f>ROUND(N(data!BW59), 0)</f>
        <v>0</v>
      </c>
      <c r="F74" s="271">
        <f>ROUND(N(data!BW60), 2)</f>
        <v>1.08</v>
      </c>
      <c r="G74" s="198">
        <f>ROUND(N(data!BW61), 0)</f>
        <v>243377</v>
      </c>
      <c r="H74" s="198">
        <f>ROUND(N(data!BW62), 0)</f>
        <v>40587</v>
      </c>
      <c r="I74" s="198">
        <f>ROUND(N(data!BW63), 0)</f>
        <v>154949</v>
      </c>
      <c r="J74" s="198">
        <f>ROUND(N(data!BW64), 0)</f>
        <v>0</v>
      </c>
      <c r="K74" s="198">
        <f>ROUND(N(data!BW82), 0)</f>
        <v>0</v>
      </c>
      <c r="L74" s="198">
        <f>ROUND(N(data!BW66), 0)</f>
        <v>1905888</v>
      </c>
      <c r="M74" s="198">
        <f>ROUND(N(data!BW67), 0)</f>
        <v>0</v>
      </c>
      <c r="N74" s="198">
        <f>ROUND(N(data!BW68), 0)</f>
        <v>0</v>
      </c>
      <c r="O74" s="198">
        <f>ROUND(N(data!BW69), 0)</f>
        <v>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 t="e">
        <f>ROUND(N(data!#REF!), 0)</f>
        <v>#REF!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199</v>
      </c>
      <c r="B75" s="200" t="str">
        <f>RIGHT(data!$C$96,4)</f>
        <v>2024</v>
      </c>
      <c r="C75" s="12" t="str">
        <f>data!BX$55</f>
        <v>8710</v>
      </c>
      <c r="D75" s="12" t="s">
        <v>1163</v>
      </c>
      <c r="E75" s="198">
        <f>ROUND(N(data!BX59), 0)</f>
        <v>0</v>
      </c>
      <c r="F75" s="271">
        <f>ROUND(N(data!BX60), 2)</f>
        <v>1.38</v>
      </c>
      <c r="G75" s="198">
        <f>ROUND(N(data!BX61), 0)</f>
        <v>153262</v>
      </c>
      <c r="H75" s="198">
        <f>ROUND(N(data!BX62), 0)</f>
        <v>32281</v>
      </c>
      <c r="I75" s="198">
        <f>ROUND(N(data!BX63), 0)</f>
        <v>0</v>
      </c>
      <c r="J75" s="198">
        <f>ROUND(N(data!BX64), 0)</f>
        <v>486</v>
      </c>
      <c r="K75" s="198">
        <f>ROUND(N(data!BX82), 0)</f>
        <v>0</v>
      </c>
      <c r="L75" s="198">
        <f>ROUND(N(data!BX66), 0)</f>
        <v>46590</v>
      </c>
      <c r="M75" s="198">
        <f>ROUND(N(data!BX67), 0)</f>
        <v>4557</v>
      </c>
      <c r="N75" s="198">
        <f>ROUND(N(data!BX68), 0)</f>
        <v>0</v>
      </c>
      <c r="O75" s="198">
        <f>ROUND(N(data!BX69), 0)</f>
        <v>9479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696</v>
      </c>
      <c r="AB75" s="198" t="e">
        <f>ROUND(N(data!#REF!), 0)</f>
        <v>#REF!</v>
      </c>
      <c r="AC75" s="198">
        <f>ROUND(N(data!BX83), 0)</f>
        <v>8783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414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199</v>
      </c>
      <c r="B76" s="200" t="str">
        <f>RIGHT(data!$C$96,4)</f>
        <v>2024</v>
      </c>
      <c r="C76" s="12" t="str">
        <f>data!BY$55</f>
        <v>8720</v>
      </c>
      <c r="D76" s="12" t="s">
        <v>1163</v>
      </c>
      <c r="E76" s="198">
        <f>ROUND(N(data!BY59), 0)</f>
        <v>0</v>
      </c>
      <c r="F76" s="271">
        <f>ROUND(N(data!BY60), 2)</f>
        <v>4.97</v>
      </c>
      <c r="G76" s="198">
        <f>ROUND(N(data!BY61), 0)</f>
        <v>866292</v>
      </c>
      <c r="H76" s="198">
        <f>ROUND(N(data!BY62), 0)</f>
        <v>181253</v>
      </c>
      <c r="I76" s="198">
        <f>ROUND(N(data!BY63), 0)</f>
        <v>0</v>
      </c>
      <c r="J76" s="198">
        <f>ROUND(N(data!BY64), 0)</f>
        <v>1294</v>
      </c>
      <c r="K76" s="198">
        <f>ROUND(N(data!BY82), 0)</f>
        <v>0</v>
      </c>
      <c r="L76" s="198">
        <f>ROUND(N(data!BY66), 0)</f>
        <v>54619</v>
      </c>
      <c r="M76" s="198">
        <f>ROUND(N(data!BY67), 0)</f>
        <v>5756</v>
      </c>
      <c r="N76" s="198">
        <f>ROUND(N(data!BY68), 0)</f>
        <v>0</v>
      </c>
      <c r="O76" s="198">
        <f>ROUND(N(data!BY69), 0)</f>
        <v>14002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3997</v>
      </c>
      <c r="X76" s="198">
        <f>ROUND(N(data!BY78), 0)</f>
        <v>0</v>
      </c>
      <c r="Y76" s="198">
        <f>ROUND(N(data!BY79), 0)</f>
        <v>0</v>
      </c>
      <c r="Z76" s="198">
        <f>ROUND(N(data!BY80), 0)</f>
        <v>0</v>
      </c>
      <c r="AA76" s="198">
        <f>ROUND(N(data!BY81), 0)</f>
        <v>0</v>
      </c>
      <c r="AB76" s="198" t="e">
        <f>ROUND(N(data!#REF!), 0)</f>
        <v>#REF!</v>
      </c>
      <c r="AC76" s="198">
        <f>ROUND(N(data!BY83), 0)</f>
        <v>10004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523</v>
      </c>
      <c r="AH76" s="198">
        <f>ROUND(N(data!BY91), 0)</f>
        <v>0</v>
      </c>
      <c r="AI76" s="198">
        <f>ROUND(N(data!BY92), 0)</f>
        <v>0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199</v>
      </c>
      <c r="B77" s="200" t="str">
        <f>RIGHT(data!$C$96,4)</f>
        <v>2024</v>
      </c>
      <c r="C77" s="12" t="str">
        <f>data!BZ$55</f>
        <v>8730</v>
      </c>
      <c r="D77" s="12" t="s">
        <v>1163</v>
      </c>
      <c r="E77" s="198">
        <f>ROUND(N(data!BZ59), 0)</f>
        <v>0</v>
      </c>
      <c r="F77" s="271">
        <f>ROUND(N(data!BZ60), 2)</f>
        <v>0</v>
      </c>
      <c r="G77" s="198">
        <f>ROUND(N(data!BZ61), 0)</f>
        <v>0</v>
      </c>
      <c r="H77" s="198">
        <f>ROUND(N(data!BZ62), 0)</f>
        <v>0</v>
      </c>
      <c r="I77" s="198">
        <f>ROUND(N(data!BZ63), 0)</f>
        <v>0</v>
      </c>
      <c r="J77" s="198">
        <f>ROUND(N(data!BZ64), 0)</f>
        <v>0</v>
      </c>
      <c r="K77" s="198">
        <f>ROUND(N(data!BZ82),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 t="e">
        <f>ROUND(N(data!#REF!), 0)</f>
        <v>#REF!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199</v>
      </c>
      <c r="B78" s="200" t="str">
        <f>RIGHT(data!$C$96,4)</f>
        <v>2024</v>
      </c>
      <c r="C78" s="12" t="str">
        <f>data!CA$55</f>
        <v>8740</v>
      </c>
      <c r="D78" s="12" t="s">
        <v>1163</v>
      </c>
      <c r="E78" s="198">
        <f>ROUND(N(data!CA59), 0)</f>
        <v>0</v>
      </c>
      <c r="F78" s="271">
        <f>ROUND(N(data!CA60), 2)</f>
        <v>0</v>
      </c>
      <c r="G78" s="198">
        <f>ROUND(N(data!CA61), 0)</f>
        <v>439</v>
      </c>
      <c r="H78" s="198">
        <f>ROUND(N(data!CA62), 0)</f>
        <v>96</v>
      </c>
      <c r="I78" s="198">
        <f>ROUND(N(data!CA63), 0)</f>
        <v>0</v>
      </c>
      <c r="J78" s="198">
        <f>ROUND(N(data!CA64), 0)</f>
        <v>-3221</v>
      </c>
      <c r="K78" s="198">
        <f>ROUND(N(data!CA82), 0)</f>
        <v>0</v>
      </c>
      <c r="L78" s="198">
        <f>ROUND(N(data!CA66), 0)</f>
        <v>0</v>
      </c>
      <c r="M78" s="198">
        <f>ROUND(N(data!CA67), 0)</f>
        <v>6152</v>
      </c>
      <c r="N78" s="198">
        <f>ROUND(N(data!CA68), 0)</f>
        <v>0</v>
      </c>
      <c r="O78" s="198">
        <f>ROUND(N(data!CA69), 0)</f>
        <v>0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 t="e">
        <f>ROUND(N(data!#REF!), 0)</f>
        <v>#REF!</v>
      </c>
      <c r="AC78" s="198">
        <f>ROUND(N(data!CA83), 0)</f>
        <v>0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559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199</v>
      </c>
      <c r="B79" s="200" t="str">
        <f>RIGHT(data!$C$96,4)</f>
        <v>2024</v>
      </c>
      <c r="C79" s="12" t="str">
        <f>data!CB$55</f>
        <v>8770</v>
      </c>
      <c r="D79" s="12" t="s">
        <v>1163</v>
      </c>
      <c r="E79" s="198">
        <f>ROUND(N(data!CB59), 0)</f>
        <v>0</v>
      </c>
      <c r="F79" s="271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ROUND(N(data!CB82),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 t="e">
        <f>ROUND(N(data!#REF!), 0)</f>
        <v>#REF!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199</v>
      </c>
      <c r="B80" s="200" t="str">
        <f>RIGHT(data!$C$96,4)</f>
        <v>2024</v>
      </c>
      <c r="C80" s="12" t="str">
        <f>data!CC$55</f>
        <v>8790</v>
      </c>
      <c r="D80" s="12" t="s">
        <v>1163</v>
      </c>
      <c r="E80" s="198">
        <f>ROUND(N(data!CC59), 0)</f>
        <v>0</v>
      </c>
      <c r="F80" s="271">
        <f>ROUND(N(data!CC60), 2)</f>
        <v>0</v>
      </c>
      <c r="G80" s="198">
        <f>ROUND(N(data!CC61), 0)</f>
        <v>8105</v>
      </c>
      <c r="H80" s="198">
        <f>ROUND(N(data!CC62), 0)</f>
        <v>748</v>
      </c>
      <c r="I80" s="198">
        <f>ROUND(N(data!CC63), 0)</f>
        <v>0</v>
      </c>
      <c r="J80" s="198">
        <f>ROUND(N(data!CC64), 0)</f>
        <v>336</v>
      </c>
      <c r="K80" s="198">
        <f>ROUND(N(data!CC82), 0)</f>
        <v>0</v>
      </c>
      <c r="L80" s="198">
        <f>ROUND(N(data!CC66), 0)</f>
        <v>190312</v>
      </c>
      <c r="M80" s="198">
        <f>ROUND(N(data!CC67), 0)</f>
        <v>146547</v>
      </c>
      <c r="N80" s="198">
        <f>ROUND(N(data!CC68), 0)</f>
        <v>0</v>
      </c>
      <c r="O80" s="198">
        <f>ROUND(N(data!CC69), 0)</f>
        <v>2567428</v>
      </c>
      <c r="P80" s="198">
        <f>ROUND(N(data!CC70), 0)</f>
        <v>0</v>
      </c>
      <c r="Q80" s="198">
        <f>ROUND(N(data!CC71), 0)</f>
        <v>0</v>
      </c>
      <c r="R80" s="198">
        <f>ROUND(N(data!CC72), 0)</f>
        <v>0</v>
      </c>
      <c r="S80" s="198">
        <f>ROUND(N(data!CC73), 0)</f>
        <v>0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0</v>
      </c>
      <c r="X80" s="198">
        <f>ROUND(N(data!CC78), 0)</f>
        <v>0</v>
      </c>
      <c r="Y80" s="198">
        <f>ROUND(N(data!CC79), 0)</f>
        <v>0</v>
      </c>
      <c r="Z80" s="198">
        <f>ROUND(N(data!CC80), 0)</f>
        <v>0</v>
      </c>
      <c r="AA80" s="198">
        <f>ROUND(N(data!CC81), 0)</f>
        <v>0</v>
      </c>
      <c r="AB80" s="198" t="e">
        <f>ROUND(N(data!#REF!), 0)</f>
        <v>#REF!</v>
      </c>
      <c r="AC80" s="198">
        <f>ROUND(N(data!CC83), 0)</f>
        <v>2567428</v>
      </c>
      <c r="AD80" s="198">
        <f>ROUND(N(data!CC84), 0)</f>
        <v>0</v>
      </c>
      <c r="AE80" s="198">
        <f>ROUND(N(data!CC89), 0)</f>
        <v>0</v>
      </c>
      <c r="AF80" s="198">
        <f>ROUND(N(data!CC87), 0)</f>
        <v>0</v>
      </c>
      <c r="AG80" s="198">
        <f>ROUND(N(data!CC90), 0)</f>
        <v>13315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2024-04-17T17:23:16Z</cp:lastPrinted>
  <dcterms:created xsi:type="dcterms:W3CDTF">1999-06-02T22:01:56Z</dcterms:created>
  <dcterms:modified xsi:type="dcterms:W3CDTF">2025-07-29T21:11:35Z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