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omments9.xml" ContentType="application/vnd.openxmlformats-officedocument.spreadsheetml.comment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omments13.xml" ContentType="application/vnd.openxmlformats-officedocument.spreadsheetml.comments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omments14.xml" ContentType="application/vnd.openxmlformats-officedocument.spreadsheetml.comments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omments15.xml" ContentType="application/vnd.openxmlformats-officedocument.spreadsheetml.comments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omments16.xml" ContentType="application/vnd.openxmlformats-officedocument.spreadsheetml.comments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omments17.xml" ContentType="application/vnd.openxmlformats-officedocument.spreadsheetml.comments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omments18.xml" ContentType="application/vnd.openxmlformats-officedocument.spreadsheetml.comments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omments19.xml" ContentType="application/vnd.openxmlformats-officedocument.spreadsheetml.comments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omments20.xml" ContentType="application/vnd.openxmlformats-officedocument.spreadsheetml.comments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omments21.xml" ContentType="application/vnd.openxmlformats-officedocument.spreadsheetml.comments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omments22.xml" ContentType="application/vnd.openxmlformats-officedocument.spreadsheetml.comments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omments23.xml" ContentType="application/vnd.openxmlformats-officedocument.spreadsheetml.comments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omments24.xml" ContentType="application/vnd.openxmlformats-officedocument.spreadsheetml.comments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omments25.xml" ContentType="application/vnd.openxmlformats-officedocument.spreadsheetml.comments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omments26.xml" ContentType="application/vnd.openxmlformats-officedocument.spreadsheetml.comments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omments27.xml" ContentType="application/vnd.openxmlformats-officedocument.spreadsheetml.comments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omments28.xml" ContentType="application/vnd.openxmlformats-officedocument.spreadsheetml.comments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omments29.xml" ContentType="application/vnd.openxmlformats-officedocument.spreadsheetml.comments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omments30.xml" ContentType="application/vnd.openxmlformats-officedocument.spreadsheetml.comments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omments31.xml" ContentType="application/vnd.openxmlformats-officedocument.spreadsheetml.comments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omments32.xml" ContentType="application/vnd.openxmlformats-officedocument.spreadsheetml.comments+xml"/>
  <Override PartName="/xl/charts/chart33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omments33.xml" ContentType="application/vnd.openxmlformats-officedocument.spreadsheetml.comments+xml"/>
  <Override PartName="/xl/charts/chart34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omments34.xml" ContentType="application/vnd.openxmlformats-officedocument.spreadsheetml.comments+xml"/>
  <Override PartName="/xl/charts/chart35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omments35.xml" ContentType="application/vnd.openxmlformats-officedocument.spreadsheetml.comments+xml"/>
  <Override PartName="/xl/charts/chart36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omments36.xml" ContentType="application/vnd.openxmlformats-officedocument.spreadsheetml.comments+xml"/>
  <Override PartName="/xl/charts/chart37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\C4PA\Staff_Folders\JOBY\LHJ Funding\BARS Reports\2015\"/>
    </mc:Choice>
  </mc:AlternateContent>
  <bookViews>
    <workbookView xWindow="480" yWindow="1140" windowWidth="17220" windowHeight="7250" firstSheet="4" activeTab="6"/>
  </bookViews>
  <sheets>
    <sheet name="Blank Page 2" sheetId="47" r:id="rId1"/>
    <sheet name="Blank Page 3" sheetId="48" r:id="rId2"/>
    <sheet name="LHJ Summary Pg 4-Do Not Input" sheetId="45" r:id="rId3"/>
    <sheet name="PIE Aggregate Pg 4-Do Not Input" sheetId="50" state="hidden" r:id="rId4"/>
    <sheet name="PIE Detail Pg 5-Do Not Input" sheetId="49" r:id="rId5"/>
    <sheet name="Exp Code Ag Pgs 6&amp;7 Do Not Inpt" sheetId="46" r:id="rId6"/>
    <sheet name="Adams Pgs 8-9" sheetId="10" r:id="rId7"/>
    <sheet name="Asotin Pgs 10-11" sheetId="8" r:id="rId8"/>
    <sheet name="Benton-Franklin Pgs 12-13" sheetId="11" r:id="rId9"/>
    <sheet name="Chelan-Douglas Pgs 14-15" sheetId="12" r:id="rId10"/>
    <sheet name="Clallam Pgs 16-17" sheetId="13" r:id="rId11"/>
    <sheet name="Clark Pgs 18-19" sheetId="16" r:id="rId12"/>
    <sheet name="Columbia Pgs 20-21" sheetId="15" r:id="rId13"/>
    <sheet name="Cowlitz Pgs 22-23" sheetId="14" r:id="rId14"/>
    <sheet name="Garfield Pgs 24-25" sheetId="17" r:id="rId15"/>
    <sheet name="Grant Pgs 26-27" sheetId="18" r:id="rId16"/>
    <sheet name="Grays Harbor Pgs 28-29" sheetId="19" r:id="rId17"/>
    <sheet name="Island Pgs 30-31" sheetId="20" r:id="rId18"/>
    <sheet name="Jefferson Pgs 32-33" sheetId="21" r:id="rId19"/>
    <sheet name="Kitsap Pgs 34-35" sheetId="22" r:id="rId20"/>
    <sheet name="Kittitas Pgs 36-37" sheetId="23" r:id="rId21"/>
    <sheet name="Klickitat Pgs 38-39" sheetId="24" r:id="rId22"/>
    <sheet name="Lewis Pgs 40-41" sheetId="25" r:id="rId23"/>
    <sheet name="Lincoln Pgs 42-43" sheetId="26" r:id="rId24"/>
    <sheet name="Mason Pgs 44-45" sheetId="27" r:id="rId25"/>
    <sheet name="Northeast Tri Pgs 46-47" sheetId="28" r:id="rId26"/>
    <sheet name="Okanogan Pgs 48-49" sheetId="29" r:id="rId27"/>
    <sheet name="Pacific Pgs 50-51" sheetId="30" r:id="rId28"/>
    <sheet name="San Juan Pgs 52-53" sheetId="32" r:id="rId29"/>
    <sheet name="Seattle-King Pgs 54-55" sheetId="53" r:id="rId30"/>
    <sheet name="Skagit Pgs 56-57" sheetId="34" r:id="rId31"/>
    <sheet name="Skamania Pgs 58-59" sheetId="35" r:id="rId32"/>
    <sheet name="Snohomish Pgs 60-61" sheetId="36" r:id="rId33"/>
    <sheet name="Spokane Pgs 62-63" sheetId="37" r:id="rId34"/>
    <sheet name="Tacoma-Pierce Pgs 64-65" sheetId="38" r:id="rId35"/>
    <sheet name="Thurston Pgs 66-67" sheetId="39" r:id="rId36"/>
    <sheet name="Wahkiakum Pgs 68-69" sheetId="40" r:id="rId37"/>
    <sheet name="Walla Walla Pgs 70-71" sheetId="41" r:id="rId38"/>
    <sheet name="Whatcom Pgs 72-73" sheetId="42" r:id="rId39"/>
    <sheet name="Whitman Pgs 74-75" sheetId="43" r:id="rId40"/>
    <sheet name="Yakima Pgs 76-77" sheetId="44" r:id="rId41"/>
    <sheet name="Revenue Matrix Pg 78" sheetId="52" r:id="rId42"/>
    <sheet name="Sheet1" sheetId="54" state="hidden" r:id="rId43"/>
  </sheets>
  <externalReferences>
    <externalReference r:id="rId44"/>
  </externalReferences>
  <definedNames>
    <definedName name="_xlnm.Print_Area" localSheetId="6">'Adams Pgs 8-9'!$A$1:$K$77</definedName>
    <definedName name="_xlnm.Print_Area" localSheetId="7">'Asotin Pgs 10-11'!$A$1:$K$77</definedName>
    <definedName name="_xlnm.Print_Area" localSheetId="8">'Benton-Franklin Pgs 12-13'!$A$1:$K$77</definedName>
    <definedName name="_xlnm.Print_Area" localSheetId="9">'Chelan-Douglas Pgs 14-15'!$A$1:$K$77</definedName>
    <definedName name="_xlnm.Print_Area" localSheetId="10">'Clallam Pgs 16-17'!$A$1:$K$77</definedName>
    <definedName name="_xlnm.Print_Area" localSheetId="11">'Clark Pgs 18-19'!$A$1:$K$77</definedName>
    <definedName name="_xlnm.Print_Area" localSheetId="12">'Columbia Pgs 20-21'!$A$1:$K$77</definedName>
    <definedName name="_xlnm.Print_Area" localSheetId="13">'Cowlitz Pgs 22-23'!$A$1:$K$77</definedName>
    <definedName name="_xlnm.Print_Area" localSheetId="5">'Exp Code Ag Pgs 6&amp;7 Do Not Inpt'!$A$1:$K$77</definedName>
    <definedName name="_xlnm.Print_Area" localSheetId="14">'Garfield Pgs 24-25'!$A$1:$K$77</definedName>
    <definedName name="_xlnm.Print_Area" localSheetId="15">'Grant Pgs 26-27'!$A$1:$K$77</definedName>
    <definedName name="_xlnm.Print_Area" localSheetId="16">'Grays Harbor Pgs 28-29'!$A$1:$K$77</definedName>
    <definedName name="_xlnm.Print_Area" localSheetId="17">'Island Pgs 30-31'!$A$1:$K$77</definedName>
    <definedName name="_xlnm.Print_Area" localSheetId="18">'Jefferson Pgs 32-33'!$A$1:$K$77</definedName>
    <definedName name="_xlnm.Print_Area" localSheetId="19">'Kitsap Pgs 34-35'!$A$1:$K$77</definedName>
    <definedName name="_xlnm.Print_Area" localSheetId="20">'Kittitas Pgs 36-37'!$A$1:$K$77</definedName>
    <definedName name="_xlnm.Print_Area" localSheetId="21">'Klickitat Pgs 38-39'!$A$1:$K$77</definedName>
    <definedName name="_xlnm.Print_Area" localSheetId="22">'Lewis Pgs 40-41'!$A$1:$K$77</definedName>
    <definedName name="_xlnm.Print_Area" localSheetId="2">'LHJ Summary Pg 4-Do Not Input'!$A$3:$M$40</definedName>
    <definedName name="_xlnm.Print_Area" localSheetId="23">'Lincoln Pgs 42-43'!$A$1:$K$77</definedName>
    <definedName name="_xlnm.Print_Area" localSheetId="24">'Mason Pgs 44-45'!$A$1:$K$77</definedName>
    <definedName name="_xlnm.Print_Area" localSheetId="25">'Northeast Tri Pgs 46-47'!$A$1:$K$77</definedName>
    <definedName name="_xlnm.Print_Area" localSheetId="26">'Okanogan Pgs 48-49'!$A$1:$K$77</definedName>
    <definedName name="_xlnm.Print_Area" localSheetId="27">'Pacific Pgs 50-51'!$A$1:$K$77</definedName>
    <definedName name="_xlnm.Print_Area" localSheetId="28">'San Juan Pgs 52-53'!$A$1:$K$77</definedName>
    <definedName name="_xlnm.Print_Area" localSheetId="29">'Seattle-King Pgs 54-55'!$A$1:$K$77</definedName>
    <definedName name="_xlnm.Print_Area" localSheetId="30">'Skagit Pgs 56-57'!$A$1:$K$77</definedName>
    <definedName name="_xlnm.Print_Area" localSheetId="31">'Skamania Pgs 58-59'!$A$1:$K$77</definedName>
    <definedName name="_xlnm.Print_Area" localSheetId="32">'Snohomish Pgs 60-61'!$A$1:$K$77</definedName>
    <definedName name="_xlnm.Print_Area" localSheetId="33">'Spokane Pgs 62-63'!$A$1:$K$77</definedName>
    <definedName name="_xlnm.Print_Area" localSheetId="34">'Tacoma-Pierce Pgs 64-65'!$A$1:$K$77</definedName>
    <definedName name="_xlnm.Print_Area" localSheetId="35">'Thurston Pgs 66-67'!$A$1:$K$77</definedName>
    <definedName name="_xlnm.Print_Area" localSheetId="36">'Wahkiakum Pgs 68-69'!$A$1:$K$77</definedName>
    <definedName name="_xlnm.Print_Area" localSheetId="37">'Walla Walla Pgs 70-71'!$A$1:$K$77</definedName>
    <definedName name="_xlnm.Print_Area" localSheetId="38">'Whatcom Pgs 72-73'!$A$1:$K$77</definedName>
    <definedName name="_xlnm.Print_Area" localSheetId="39">'Whitman Pgs 74-75'!$A$1:$K$77</definedName>
    <definedName name="_xlnm.Print_Area" localSheetId="40">'Yakima Pgs 76-77'!$A$1:$K$77</definedName>
    <definedName name="_xlnm.Print_Titles" localSheetId="6">'Adams Pgs 8-9'!$1:$4</definedName>
    <definedName name="_xlnm.Print_Titles" localSheetId="7">'Asotin Pgs 10-11'!$1:$4</definedName>
    <definedName name="_xlnm.Print_Titles" localSheetId="8">'Benton-Franklin Pgs 12-13'!$1:$4</definedName>
    <definedName name="_xlnm.Print_Titles" localSheetId="9">'Chelan-Douglas Pgs 14-15'!$1:$4</definedName>
    <definedName name="_xlnm.Print_Titles" localSheetId="10">'Clallam Pgs 16-17'!$1:$4</definedName>
    <definedName name="_xlnm.Print_Titles" localSheetId="11">'Clark Pgs 18-19'!$1:$4</definedName>
    <definedName name="_xlnm.Print_Titles" localSheetId="12">'Columbia Pgs 20-21'!$1:$4</definedName>
    <definedName name="_xlnm.Print_Titles" localSheetId="13">'Cowlitz Pgs 22-23'!$1:$4</definedName>
    <definedName name="_xlnm.Print_Titles" localSheetId="5">'Exp Code Ag Pgs 6&amp;7 Do Not Inpt'!$1:$4</definedName>
    <definedName name="_xlnm.Print_Titles" localSheetId="14">'Garfield Pgs 24-25'!$1:$4</definedName>
    <definedName name="_xlnm.Print_Titles" localSheetId="15">'Grant Pgs 26-27'!$1:$4</definedName>
    <definedName name="_xlnm.Print_Titles" localSheetId="16">'Grays Harbor Pgs 28-29'!$1:$4</definedName>
    <definedName name="_xlnm.Print_Titles" localSheetId="17">'Island Pgs 30-31'!$1:$4</definedName>
    <definedName name="_xlnm.Print_Titles" localSheetId="18">'Jefferson Pgs 32-33'!$1:$4</definedName>
    <definedName name="_xlnm.Print_Titles" localSheetId="19">'Kitsap Pgs 34-35'!$1:$4</definedName>
    <definedName name="_xlnm.Print_Titles" localSheetId="20">'Kittitas Pgs 36-37'!$1:$4</definedName>
    <definedName name="_xlnm.Print_Titles" localSheetId="21">'Klickitat Pgs 38-39'!$1:$4</definedName>
    <definedName name="_xlnm.Print_Titles" localSheetId="22">'Lewis Pgs 40-41'!$1:$4</definedName>
    <definedName name="_xlnm.Print_Titles" localSheetId="2">'LHJ Summary Pg 4-Do Not Input'!$3:$4</definedName>
    <definedName name="_xlnm.Print_Titles" localSheetId="23">'Lincoln Pgs 42-43'!$1:$4</definedName>
    <definedName name="_xlnm.Print_Titles" localSheetId="24">'Mason Pgs 44-45'!$1:$4</definedName>
    <definedName name="_xlnm.Print_Titles" localSheetId="25">'Northeast Tri Pgs 46-47'!$1:$4</definedName>
    <definedName name="_xlnm.Print_Titles" localSheetId="26">'Okanogan Pgs 48-49'!$1:$4</definedName>
    <definedName name="_xlnm.Print_Titles" localSheetId="27">'Pacific Pgs 50-51'!$1:$4</definedName>
    <definedName name="_xlnm.Print_Titles" localSheetId="28">'San Juan Pgs 52-53'!$1:$4</definedName>
    <definedName name="_xlnm.Print_Titles" localSheetId="29">'Seattle-King Pgs 54-55'!$1:$4</definedName>
    <definedName name="_xlnm.Print_Titles" localSheetId="30">'Skagit Pgs 56-57'!$1:$4</definedName>
    <definedName name="_xlnm.Print_Titles" localSheetId="31">'Skamania Pgs 58-59'!$1:$4</definedName>
    <definedName name="_xlnm.Print_Titles" localSheetId="32">'Snohomish Pgs 60-61'!$1:$4</definedName>
    <definedName name="_xlnm.Print_Titles" localSheetId="33">'Spokane Pgs 62-63'!$1:$4</definedName>
    <definedName name="_xlnm.Print_Titles" localSheetId="34">'Tacoma-Pierce Pgs 64-65'!$1:$4</definedName>
    <definedName name="_xlnm.Print_Titles" localSheetId="35">'Thurston Pgs 66-67'!$1:$4</definedName>
    <definedName name="_xlnm.Print_Titles" localSheetId="36">'Wahkiakum Pgs 68-69'!$1:$4</definedName>
    <definedName name="_xlnm.Print_Titles" localSheetId="37">'Walla Walla Pgs 70-71'!$1:$4</definedName>
    <definedName name="_xlnm.Print_Titles" localSheetId="38">'Whatcom Pgs 72-73'!$1:$4</definedName>
    <definedName name="_xlnm.Print_Titles" localSheetId="39">'Whitman Pgs 74-75'!$1:$4</definedName>
    <definedName name="_xlnm.Print_Titles" localSheetId="40">'Yakima Pgs 76-77'!$1:$4</definedName>
  </definedNames>
  <calcPr calcId="152511"/>
</workbook>
</file>

<file path=xl/calcChain.xml><?xml version="1.0" encoding="utf-8"?>
<calcChain xmlns="http://schemas.openxmlformats.org/spreadsheetml/2006/main">
  <c r="M15" i="45" l="1"/>
  <c r="E53" i="42" l="1"/>
  <c r="D39" i="37"/>
  <c r="D33" i="38"/>
  <c r="E8" i="38" l="1"/>
  <c r="I16" i="34"/>
  <c r="I15" i="34"/>
  <c r="I14" i="34"/>
  <c r="I11" i="34"/>
  <c r="G7" i="34"/>
  <c r="I34" i="28"/>
  <c r="I31" i="28"/>
  <c r="I29" i="28"/>
  <c r="I27" i="28"/>
  <c r="I26" i="28"/>
  <c r="I25" i="28"/>
  <c r="I16" i="28"/>
  <c r="I14" i="28"/>
  <c r="I11" i="28"/>
  <c r="I10" i="28"/>
  <c r="H5" i="26" l="1"/>
  <c r="K52" i="25"/>
  <c r="E55" i="25"/>
  <c r="I55" i="20"/>
  <c r="G55" i="20"/>
  <c r="E55" i="20"/>
  <c r="I5" i="13" l="1"/>
  <c r="I14" i="12"/>
  <c r="I9" i="12"/>
  <c r="I8" i="12"/>
  <c r="I5" i="12"/>
  <c r="E33" i="22" l="1"/>
  <c r="E7" i="22"/>
  <c r="E53" i="35" l="1"/>
  <c r="E8" i="35"/>
  <c r="I34" i="29" l="1"/>
  <c r="I32" i="29"/>
  <c r="I27" i="29"/>
  <c r="I26" i="29"/>
  <c r="I25" i="29"/>
  <c r="E5" i="25" l="1"/>
  <c r="E53" i="24"/>
  <c r="D5" i="24"/>
  <c r="E40" i="37"/>
  <c r="E9" i="37"/>
  <c r="E5" i="30"/>
  <c r="E5" i="17"/>
  <c r="R29" i="45" l="1"/>
  <c r="Q29" i="45"/>
  <c r="P29" i="45"/>
  <c r="K55" i="53"/>
  <c r="K54" i="53"/>
  <c r="K53" i="53"/>
  <c r="K52" i="53"/>
  <c r="K51" i="53"/>
  <c r="I51" i="53"/>
  <c r="K50" i="53"/>
  <c r="K49" i="53"/>
  <c r="K48" i="53"/>
  <c r="K47" i="53"/>
  <c r="K46" i="53"/>
  <c r="J45" i="53"/>
  <c r="I45" i="53"/>
  <c r="G45" i="53"/>
  <c r="E44" i="53"/>
  <c r="D44" i="53"/>
  <c r="K43" i="53"/>
  <c r="J42" i="53"/>
  <c r="H42" i="53"/>
  <c r="K42" i="53" s="1"/>
  <c r="F41" i="53"/>
  <c r="K41" i="53" s="1"/>
  <c r="J40" i="53"/>
  <c r="H40" i="53"/>
  <c r="K40" i="53" s="1"/>
  <c r="F40" i="53"/>
  <c r="K39" i="53"/>
  <c r="I39" i="53"/>
  <c r="K38" i="53"/>
  <c r="H37" i="53"/>
  <c r="K37" i="53" s="1"/>
  <c r="F36" i="53"/>
  <c r="C36" i="53"/>
  <c r="K35" i="53"/>
  <c r="K34" i="53"/>
  <c r="K33" i="53"/>
  <c r="I32" i="53"/>
  <c r="K32" i="53" s="1"/>
  <c r="I31" i="53"/>
  <c r="K31" i="53" s="1"/>
  <c r="K30" i="53"/>
  <c r="J29" i="53"/>
  <c r="I29" i="53"/>
  <c r="I28" i="53"/>
  <c r="H28" i="53"/>
  <c r="J27" i="53"/>
  <c r="I27" i="53"/>
  <c r="I26" i="53"/>
  <c r="K26" i="53" s="1"/>
  <c r="J25" i="53"/>
  <c r="I25" i="53"/>
  <c r="K25" i="53" s="1"/>
  <c r="G24" i="53"/>
  <c r="F24" i="53"/>
  <c r="C24" i="53"/>
  <c r="C44" i="53" s="1"/>
  <c r="H23" i="53"/>
  <c r="G23" i="53"/>
  <c r="F22" i="53"/>
  <c r="K22" i="53" s="1"/>
  <c r="K21" i="53"/>
  <c r="K20" i="53"/>
  <c r="K19" i="53"/>
  <c r="G18" i="53"/>
  <c r="K18" i="53" s="1"/>
  <c r="H17" i="53"/>
  <c r="G17" i="53"/>
  <c r="F17" i="53"/>
  <c r="F16" i="53"/>
  <c r="K16" i="53" s="1"/>
  <c r="J15" i="53"/>
  <c r="H15" i="53"/>
  <c r="G15" i="53"/>
  <c r="F15" i="53"/>
  <c r="K15" i="53" s="1"/>
  <c r="K14" i="53"/>
  <c r="J13" i="53"/>
  <c r="H13" i="53"/>
  <c r="G13" i="53"/>
  <c r="F12" i="53"/>
  <c r="K12" i="53" s="1"/>
  <c r="K11" i="53"/>
  <c r="J10" i="53"/>
  <c r="H10" i="53"/>
  <c r="G10" i="53"/>
  <c r="G9" i="53"/>
  <c r="K9" i="53" s="1"/>
  <c r="H8" i="53"/>
  <c r="G8" i="53"/>
  <c r="J7" i="53"/>
  <c r="H7" i="53"/>
  <c r="G7" i="53"/>
  <c r="G44" i="53" s="1"/>
  <c r="F7" i="53"/>
  <c r="K6" i="53"/>
  <c r="J5" i="53"/>
  <c r="I5" i="53"/>
  <c r="K5" i="53" s="1"/>
  <c r="H5" i="53"/>
  <c r="F44" i="53" l="1"/>
  <c r="K17" i="53"/>
  <c r="K23" i="53"/>
  <c r="K27" i="53"/>
  <c r="K28" i="53"/>
  <c r="K24" i="53"/>
  <c r="H44" i="53"/>
  <c r="K8" i="53"/>
  <c r="K29" i="53"/>
  <c r="K36" i="53"/>
  <c r="K45" i="53"/>
  <c r="J44" i="53"/>
  <c r="K13" i="53"/>
  <c r="K10" i="53"/>
  <c r="K7" i="53"/>
  <c r="I44" i="53"/>
  <c r="K44" i="53" l="1"/>
  <c r="H56" i="53"/>
  <c r="J28" i="45" s="1"/>
  <c r="D56" i="53"/>
  <c r="F28" i="45" s="1"/>
  <c r="C56" i="53"/>
  <c r="E28" i="45" s="1"/>
  <c r="I56" i="53"/>
  <c r="K28" i="45" s="1"/>
  <c r="G56" i="53"/>
  <c r="I28" i="45" s="1"/>
  <c r="E56" i="53"/>
  <c r="G28" i="45" s="1"/>
  <c r="J56" i="53"/>
  <c r="L28" i="45" s="1"/>
  <c r="C64" i="53" l="1"/>
  <c r="C75" i="53"/>
  <c r="C68" i="53"/>
  <c r="C62" i="53"/>
  <c r="C71" i="53"/>
  <c r="C73" i="53" s="1"/>
  <c r="C72" i="53"/>
  <c r="C63" i="53"/>
  <c r="F56" i="53"/>
  <c r="H28" i="45" s="1"/>
  <c r="M28" i="45" s="1"/>
  <c r="C65" i="53" l="1"/>
  <c r="C67" i="53"/>
  <c r="C69" i="53" s="1"/>
  <c r="K56" i="53"/>
  <c r="C76" i="53" l="1"/>
  <c r="D64" i="53"/>
  <c r="D71" i="53"/>
  <c r="D72" i="53"/>
  <c r="D63" i="53"/>
  <c r="D75" i="53"/>
  <c r="D68" i="53"/>
  <c r="D62" i="53"/>
  <c r="D67" i="53"/>
  <c r="D73" i="53" l="1"/>
  <c r="D69" i="53"/>
  <c r="D65" i="53"/>
  <c r="D76" i="53" s="1"/>
  <c r="E14" i="46" l="1"/>
  <c r="F13" i="46"/>
  <c r="E13" i="46"/>
  <c r="D13" i="46"/>
  <c r="F55" i="46"/>
  <c r="E55" i="46"/>
  <c r="D55" i="46"/>
  <c r="C55" i="46"/>
  <c r="G54" i="46"/>
  <c r="F54" i="46"/>
  <c r="E54" i="46"/>
  <c r="D54" i="46"/>
  <c r="C54" i="46"/>
  <c r="J53" i="46"/>
  <c r="F53" i="46"/>
  <c r="D53" i="46"/>
  <c r="C53" i="46"/>
  <c r="I52" i="46"/>
  <c r="G52" i="46"/>
  <c r="F52" i="46"/>
  <c r="E52" i="46"/>
  <c r="D52" i="46"/>
  <c r="C52" i="46"/>
  <c r="J51" i="46"/>
  <c r="I51" i="46"/>
  <c r="H51" i="46"/>
  <c r="G51" i="46"/>
  <c r="F51" i="46"/>
  <c r="E51" i="46"/>
  <c r="D51" i="46"/>
  <c r="C51" i="46"/>
  <c r="J50" i="46"/>
  <c r="I50" i="46"/>
  <c r="H50" i="46"/>
  <c r="F50" i="46"/>
  <c r="D50" i="46"/>
  <c r="C50" i="46"/>
  <c r="J49" i="46"/>
  <c r="I49" i="46"/>
  <c r="H49" i="46"/>
  <c r="F49" i="46"/>
  <c r="E49" i="46"/>
  <c r="D49" i="46"/>
  <c r="C49" i="46"/>
  <c r="J48" i="46"/>
  <c r="I48" i="46"/>
  <c r="H48" i="46"/>
  <c r="G48" i="46"/>
  <c r="F48" i="46"/>
  <c r="E48" i="46"/>
  <c r="D48" i="46"/>
  <c r="C48" i="46"/>
  <c r="J47" i="46"/>
  <c r="I47" i="46"/>
  <c r="H47" i="46"/>
  <c r="G47" i="46"/>
  <c r="F47" i="46"/>
  <c r="E47" i="46"/>
  <c r="D47" i="46"/>
  <c r="C47" i="46"/>
  <c r="J46" i="46"/>
  <c r="I46" i="46"/>
  <c r="H46" i="46"/>
  <c r="G46" i="46"/>
  <c r="F46" i="46"/>
  <c r="E46" i="46"/>
  <c r="D46" i="46"/>
  <c r="C46" i="46"/>
  <c r="J45" i="46"/>
  <c r="I45" i="46"/>
  <c r="H45" i="46"/>
  <c r="F45" i="46"/>
  <c r="E45" i="46"/>
  <c r="D45" i="46"/>
  <c r="J43" i="46"/>
  <c r="I43" i="46"/>
  <c r="H43" i="46"/>
  <c r="G43" i="46"/>
  <c r="F43" i="46"/>
  <c r="E43" i="46"/>
  <c r="D43" i="46"/>
  <c r="I42" i="46"/>
  <c r="H42" i="46"/>
  <c r="F42" i="46"/>
  <c r="E42" i="46"/>
  <c r="D42" i="46"/>
  <c r="I41" i="46"/>
  <c r="H41" i="46"/>
  <c r="G41" i="46"/>
  <c r="E41" i="46"/>
  <c r="D41" i="46"/>
  <c r="I40" i="46"/>
  <c r="H40" i="46"/>
  <c r="E40" i="46"/>
  <c r="D40" i="46"/>
  <c r="J39" i="46"/>
  <c r="I39" i="46"/>
  <c r="H39" i="46"/>
  <c r="G39" i="46"/>
  <c r="F39" i="46"/>
  <c r="E39" i="46"/>
  <c r="D39" i="46"/>
  <c r="J38" i="46"/>
  <c r="I38" i="46"/>
  <c r="H38" i="46"/>
  <c r="G38" i="46"/>
  <c r="F38" i="46"/>
  <c r="E38" i="46"/>
  <c r="D38" i="46"/>
  <c r="J37" i="46"/>
  <c r="I37" i="46"/>
  <c r="G37" i="46"/>
  <c r="F37" i="46"/>
  <c r="E37" i="46"/>
  <c r="D37" i="46"/>
  <c r="J36" i="46"/>
  <c r="I36" i="46"/>
  <c r="H36" i="46"/>
  <c r="F36" i="46"/>
  <c r="E36" i="46"/>
  <c r="D36" i="46"/>
  <c r="J35" i="46"/>
  <c r="H35" i="46"/>
  <c r="G35" i="46"/>
  <c r="F35" i="46"/>
  <c r="E35" i="46"/>
  <c r="D35" i="46"/>
  <c r="H34" i="46"/>
  <c r="G34" i="46"/>
  <c r="F34" i="46"/>
  <c r="E34" i="46"/>
  <c r="D34" i="46"/>
  <c r="D33" i="46"/>
  <c r="J32" i="46"/>
  <c r="G32" i="46"/>
  <c r="F32" i="46"/>
  <c r="E32" i="46"/>
  <c r="D32" i="46"/>
  <c r="G31" i="46"/>
  <c r="F31" i="46"/>
  <c r="E31" i="46"/>
  <c r="D31" i="46"/>
  <c r="J30" i="46"/>
  <c r="H30" i="46"/>
  <c r="G30" i="46"/>
  <c r="F30" i="46"/>
  <c r="E30" i="46"/>
  <c r="D30" i="46"/>
  <c r="H29" i="46"/>
  <c r="G29" i="46"/>
  <c r="F29" i="46"/>
  <c r="E29" i="46"/>
  <c r="D29" i="46"/>
  <c r="J28" i="46"/>
  <c r="H28" i="46"/>
  <c r="G28" i="46"/>
  <c r="F28" i="46"/>
  <c r="E28" i="46"/>
  <c r="D28" i="46"/>
  <c r="G27" i="46"/>
  <c r="E27" i="46"/>
  <c r="D27" i="46"/>
  <c r="G26" i="46"/>
  <c r="F26" i="46"/>
  <c r="D26" i="46"/>
  <c r="G25" i="46"/>
  <c r="F25" i="46"/>
  <c r="E25" i="46"/>
  <c r="D25" i="46"/>
  <c r="I24" i="46"/>
  <c r="E24" i="46"/>
  <c r="J23" i="46"/>
  <c r="I23" i="46"/>
  <c r="H23" i="46"/>
  <c r="G23" i="46"/>
  <c r="F23" i="46"/>
  <c r="E23" i="46"/>
  <c r="D23" i="46"/>
  <c r="I22" i="46"/>
  <c r="E22" i="46"/>
  <c r="D22" i="46"/>
  <c r="J21" i="46"/>
  <c r="I21" i="46"/>
  <c r="H21" i="46"/>
  <c r="G21" i="46"/>
  <c r="E21" i="46"/>
  <c r="D21" i="46"/>
  <c r="J20" i="46"/>
  <c r="I20" i="46"/>
  <c r="G20" i="46"/>
  <c r="F20" i="46"/>
  <c r="E20" i="46"/>
  <c r="D20" i="46"/>
  <c r="I19" i="46"/>
  <c r="H19" i="46"/>
  <c r="G19" i="46"/>
  <c r="E19" i="46"/>
  <c r="D19" i="46"/>
  <c r="I18" i="46"/>
  <c r="G18" i="46"/>
  <c r="E18" i="46"/>
  <c r="B3" i="50" s="1"/>
  <c r="I17" i="46"/>
  <c r="E17" i="46"/>
  <c r="D17" i="46"/>
  <c r="F16" i="46"/>
  <c r="E16" i="46"/>
  <c r="D16" i="46"/>
  <c r="J15" i="46"/>
  <c r="G15" i="46"/>
  <c r="F15" i="46"/>
  <c r="E15" i="46"/>
  <c r="D15" i="46"/>
  <c r="J12" i="46"/>
  <c r="I12" i="46"/>
  <c r="H12" i="46"/>
  <c r="G12" i="46"/>
  <c r="E12" i="46"/>
  <c r="D12" i="46"/>
  <c r="J11" i="46"/>
  <c r="I11" i="46"/>
  <c r="H11" i="46"/>
  <c r="G11" i="46"/>
  <c r="F11" i="46"/>
  <c r="E11" i="46"/>
  <c r="D11" i="46"/>
  <c r="H10" i="46"/>
  <c r="G10" i="46"/>
  <c r="F10" i="46"/>
  <c r="E10" i="46"/>
  <c r="D10" i="46"/>
  <c r="J9" i="46"/>
  <c r="I9" i="46"/>
  <c r="H9" i="46"/>
  <c r="F9" i="46"/>
  <c r="E9" i="46"/>
  <c r="D9" i="46"/>
  <c r="F8" i="46"/>
  <c r="E8" i="46"/>
  <c r="D8" i="46"/>
  <c r="D7" i="46"/>
  <c r="J6" i="46"/>
  <c r="I6" i="46"/>
  <c r="H6" i="46"/>
  <c r="G6" i="46"/>
  <c r="F6" i="46"/>
  <c r="E6" i="46"/>
  <c r="D6" i="46"/>
  <c r="C6" i="46"/>
  <c r="C7" i="46"/>
  <c r="C8" i="46"/>
  <c r="C9" i="46"/>
  <c r="C10" i="46"/>
  <c r="C11" i="46"/>
  <c r="C12" i="46"/>
  <c r="C13" i="46"/>
  <c r="C14" i="46"/>
  <c r="C15" i="46"/>
  <c r="C16" i="46"/>
  <c r="C18" i="46"/>
  <c r="B1" i="50" s="1"/>
  <c r="C19" i="46"/>
  <c r="C20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5" i="46"/>
  <c r="D5" i="46"/>
  <c r="C5" i="46"/>
  <c r="D40" i="45" l="1"/>
  <c r="C7" i="45" l="1"/>
  <c r="C24" i="45"/>
  <c r="C8" i="45"/>
  <c r="C40" i="45" l="1"/>
  <c r="J31" i="43"/>
  <c r="J31" i="46" s="1"/>
  <c r="I31" i="43"/>
  <c r="I5" i="43"/>
  <c r="J5" i="43"/>
  <c r="I53" i="42"/>
  <c r="H53" i="42"/>
  <c r="I27" i="42"/>
  <c r="I5" i="42"/>
  <c r="J42" i="41"/>
  <c r="J42" i="46" s="1"/>
  <c r="H31" i="41"/>
  <c r="H31" i="46" s="1"/>
  <c r="I27" i="41"/>
  <c r="I26" i="41"/>
  <c r="H33" i="39"/>
  <c r="H27" i="39"/>
  <c r="I5" i="39"/>
  <c r="I8" i="36"/>
  <c r="I8" i="46" s="1"/>
  <c r="J5" i="30"/>
  <c r="G5" i="30"/>
  <c r="H5" i="30"/>
  <c r="D14" i="29"/>
  <c r="D14" i="46" s="1"/>
  <c r="G7" i="29"/>
  <c r="I33" i="28"/>
  <c r="I29" i="24"/>
  <c r="I5" i="24"/>
  <c r="H33" i="22"/>
  <c r="I7" i="22"/>
  <c r="I16" i="20"/>
  <c r="I14" i="20"/>
  <c r="H14" i="20"/>
  <c r="H13" i="20"/>
  <c r="H13" i="19"/>
  <c r="H7" i="19"/>
  <c r="J13" i="15"/>
  <c r="I27" i="13"/>
  <c r="J5" i="13"/>
  <c r="H5" i="13"/>
  <c r="I14" i="10"/>
  <c r="H5" i="10"/>
  <c r="K51" i="46" l="1"/>
  <c r="K48" i="46"/>
  <c r="K47" i="46"/>
  <c r="K46" i="46"/>
  <c r="K43" i="46"/>
  <c r="K39" i="46"/>
  <c r="K38" i="46"/>
  <c r="K23" i="46"/>
  <c r="K11" i="46"/>
  <c r="K6" i="46"/>
  <c r="I32" i="39" l="1"/>
  <c r="F40" i="39"/>
  <c r="I35" i="39"/>
  <c r="I33" i="39"/>
  <c r="F33" i="39"/>
  <c r="E33" i="39"/>
  <c r="I30" i="39"/>
  <c r="I29" i="39"/>
  <c r="I27" i="39"/>
  <c r="I26" i="39"/>
  <c r="I25" i="39"/>
  <c r="H7" i="39"/>
  <c r="H53" i="38" l="1"/>
  <c r="J55" i="38"/>
  <c r="J55" i="46" s="1"/>
  <c r="F41" i="38"/>
  <c r="F40" i="38"/>
  <c r="J40" i="38"/>
  <c r="H37" i="38"/>
  <c r="H37" i="46" s="1"/>
  <c r="K37" i="46" s="1"/>
  <c r="J33" i="38"/>
  <c r="J33" i="46" s="1"/>
  <c r="I33" i="38"/>
  <c r="H33" i="38"/>
  <c r="H33" i="46" s="1"/>
  <c r="H32" i="38"/>
  <c r="H32" i="46" s="1"/>
  <c r="I31" i="38"/>
  <c r="I29" i="38"/>
  <c r="J29" i="38"/>
  <c r="I27" i="38"/>
  <c r="I25" i="38"/>
  <c r="J26" i="38"/>
  <c r="I26" i="38"/>
  <c r="H26" i="38"/>
  <c r="H25" i="38"/>
  <c r="J24" i="38"/>
  <c r="H24" i="38"/>
  <c r="H24" i="46" s="1"/>
  <c r="F22" i="38"/>
  <c r="H22" i="38"/>
  <c r="H22" i="46" s="1"/>
  <c r="J22" i="38"/>
  <c r="J22" i="46" s="1"/>
  <c r="H20" i="38"/>
  <c r="H20" i="46" s="1"/>
  <c r="K20" i="46" s="1"/>
  <c r="H18" i="38"/>
  <c r="J18" i="38"/>
  <c r="H17" i="38"/>
  <c r="H17" i="46" s="1"/>
  <c r="H16" i="38"/>
  <c r="H16" i="46" s="1"/>
  <c r="G16" i="38"/>
  <c r="G16" i="46" s="1"/>
  <c r="H15" i="38"/>
  <c r="H14" i="38"/>
  <c r="H14" i="46" s="1"/>
  <c r="G13" i="38"/>
  <c r="H13" i="38"/>
  <c r="H13" i="46" s="1"/>
  <c r="J13" i="38"/>
  <c r="H8" i="38"/>
  <c r="H8" i="46" s="1"/>
  <c r="E7" i="38"/>
  <c r="J7" i="38"/>
  <c r="I7" i="38"/>
  <c r="H7" i="38"/>
  <c r="G7" i="38"/>
  <c r="J5" i="38"/>
  <c r="I34" i="44"/>
  <c r="I31" i="44"/>
  <c r="J29" i="44"/>
  <c r="I29" i="44"/>
  <c r="I27" i="44"/>
  <c r="I26" i="44"/>
  <c r="I25" i="44"/>
  <c r="J25" i="44"/>
  <c r="F21" i="44"/>
  <c r="C21" i="44"/>
  <c r="C21" i="46" s="1"/>
  <c r="J5" i="44"/>
  <c r="I29" i="43"/>
  <c r="I27" i="43"/>
  <c r="I13" i="43"/>
  <c r="F12" i="43"/>
  <c r="J29" i="46" l="1"/>
  <c r="H55" i="42"/>
  <c r="H55" i="46" s="1"/>
  <c r="J52" i="42"/>
  <c r="H52" i="42"/>
  <c r="G53" i="42"/>
  <c r="I34" i="42"/>
  <c r="I31" i="42"/>
  <c r="I29" i="42"/>
  <c r="I26" i="42"/>
  <c r="I25" i="42"/>
  <c r="F33" i="42"/>
  <c r="F12" i="42"/>
  <c r="E26" i="42"/>
  <c r="I34" i="41"/>
  <c r="I29" i="41"/>
  <c r="I25" i="41"/>
  <c r="I16" i="41"/>
  <c r="I14" i="41"/>
  <c r="F12" i="41"/>
  <c r="J7" i="41"/>
  <c r="J5" i="41"/>
  <c r="I5" i="41"/>
  <c r="G5" i="41"/>
  <c r="F5" i="41"/>
  <c r="E5" i="41"/>
  <c r="I53" i="37" l="1"/>
  <c r="I53" i="46" s="1"/>
  <c r="F22" i="37"/>
  <c r="I29" i="37"/>
  <c r="F41" i="37"/>
  <c r="J40" i="37"/>
  <c r="G40" i="37"/>
  <c r="G40" i="46" s="1"/>
  <c r="F40" i="37"/>
  <c r="F40" i="46" s="1"/>
  <c r="I30" i="37"/>
  <c r="I30" i="46" s="1"/>
  <c r="K30" i="46" s="1"/>
  <c r="I27" i="37"/>
  <c r="F21" i="37"/>
  <c r="F21" i="46" s="1"/>
  <c r="K21" i="46" s="1"/>
  <c r="F17" i="37"/>
  <c r="C17" i="37"/>
  <c r="I16" i="37"/>
  <c r="F12" i="37"/>
  <c r="G9" i="37"/>
  <c r="G8" i="37"/>
  <c r="G7" i="37"/>
  <c r="J5" i="37"/>
  <c r="I34" i="36"/>
  <c r="J34" i="36"/>
  <c r="F41" i="36"/>
  <c r="I31" i="36"/>
  <c r="I28" i="36"/>
  <c r="I27" i="36"/>
  <c r="I26" i="36"/>
  <c r="J26" i="36"/>
  <c r="I25" i="36"/>
  <c r="F22" i="36"/>
  <c r="F17" i="36"/>
  <c r="I16" i="36"/>
  <c r="J14" i="36"/>
  <c r="I14" i="36"/>
  <c r="G8" i="36"/>
  <c r="J5" i="36"/>
  <c r="I5" i="36"/>
  <c r="H5" i="36"/>
  <c r="H54" i="35"/>
  <c r="H53" i="35"/>
  <c r="H53" i="46" s="1"/>
  <c r="E53" i="46"/>
  <c r="J52" i="35"/>
  <c r="J52" i="46" s="1"/>
  <c r="H52" i="35"/>
  <c r="H52" i="46" s="1"/>
  <c r="G5" i="35"/>
  <c r="I31" i="34"/>
  <c r="I29" i="34"/>
  <c r="I27" i="34"/>
  <c r="E26" i="34"/>
  <c r="I26" i="34"/>
  <c r="I25" i="34"/>
  <c r="F12" i="34"/>
  <c r="E7" i="34"/>
  <c r="E7" i="46" s="1"/>
  <c r="J7" i="34"/>
  <c r="J5" i="34"/>
  <c r="I55" i="32"/>
  <c r="G50" i="32"/>
  <c r="G50" i="46" s="1"/>
  <c r="E50" i="32"/>
  <c r="E50" i="46" s="1"/>
  <c r="H54" i="32"/>
  <c r="E53" i="32"/>
  <c r="G53" i="32"/>
  <c r="H52" i="32"/>
  <c r="I27" i="32"/>
  <c r="F27" i="32"/>
  <c r="I25" i="32"/>
  <c r="I13" i="32"/>
  <c r="G13" i="32"/>
  <c r="F12" i="32"/>
  <c r="I5" i="32"/>
  <c r="F41" i="30"/>
  <c r="J34" i="30"/>
  <c r="J34" i="46" s="1"/>
  <c r="G49" i="29"/>
  <c r="G49" i="46" s="1"/>
  <c r="K49" i="46" s="1"/>
  <c r="I29" i="29"/>
  <c r="J5" i="29"/>
  <c r="J5" i="28"/>
  <c r="K50" i="46" l="1"/>
  <c r="H54" i="46"/>
  <c r="G8" i="46"/>
  <c r="K52" i="46"/>
  <c r="G53" i="27"/>
  <c r="I26" i="27"/>
  <c r="I29" i="27"/>
  <c r="I27" i="27"/>
  <c r="I27" i="26"/>
  <c r="I35" i="26"/>
  <c r="I35" i="46" s="1"/>
  <c r="K35" i="46" s="1"/>
  <c r="I34" i="26"/>
  <c r="I34" i="46" s="1"/>
  <c r="K34" i="46" s="1"/>
  <c r="I29" i="26"/>
  <c r="I25" i="26"/>
  <c r="J24" i="26"/>
  <c r="F14" i="26"/>
  <c r="I14" i="26"/>
  <c r="F12" i="26"/>
  <c r="H7" i="26"/>
  <c r="F7" i="26"/>
  <c r="E5" i="26"/>
  <c r="E5" i="46" s="1"/>
  <c r="G53" i="25"/>
  <c r="G55" i="25"/>
  <c r="G55" i="46" s="1"/>
  <c r="I55" i="25"/>
  <c r="I55" i="46" s="1"/>
  <c r="G45" i="25"/>
  <c r="G45" i="46" s="1"/>
  <c r="K45" i="46" s="1"/>
  <c r="I29" i="25"/>
  <c r="I27" i="25"/>
  <c r="I25" i="25"/>
  <c r="F12" i="25"/>
  <c r="J5" i="25"/>
  <c r="H5" i="25"/>
  <c r="G5" i="25"/>
  <c r="I27" i="24"/>
  <c r="I14" i="24"/>
  <c r="I10" i="24"/>
  <c r="G5" i="24"/>
  <c r="J5" i="23"/>
  <c r="G42" i="23"/>
  <c r="G42" i="46" s="1"/>
  <c r="K42" i="46" s="1"/>
  <c r="I31" i="23"/>
  <c r="I29" i="23"/>
  <c r="I27" i="23"/>
  <c r="I25" i="23"/>
  <c r="G22" i="23"/>
  <c r="G22" i="46" s="1"/>
  <c r="G13" i="23"/>
  <c r="H5" i="23"/>
  <c r="G33" i="22"/>
  <c r="G33" i="46" s="1"/>
  <c r="I29" i="22"/>
  <c r="J27" i="22"/>
  <c r="I26" i="22"/>
  <c r="I25" i="22"/>
  <c r="J17" i="22"/>
  <c r="C17" i="22"/>
  <c r="J5" i="22"/>
  <c r="I5" i="21"/>
  <c r="I16" i="21"/>
  <c r="K16" i="21" s="1"/>
  <c r="I15" i="21"/>
  <c r="I15" i="46" s="1"/>
  <c r="I14" i="21"/>
  <c r="I7" i="21"/>
  <c r="I7" i="46" s="1"/>
  <c r="I31" i="21"/>
  <c r="I25" i="21"/>
  <c r="J54" i="21"/>
  <c r="J54" i="46" s="1"/>
  <c r="I54" i="21"/>
  <c r="I54" i="46" s="1"/>
  <c r="G53" i="21"/>
  <c r="G53" i="46" s="1"/>
  <c r="K53" i="46" s="1"/>
  <c r="I29" i="21"/>
  <c r="I27" i="21"/>
  <c r="J26" i="21"/>
  <c r="J26" i="46" s="1"/>
  <c r="I26" i="21"/>
  <c r="H26" i="21"/>
  <c r="I13" i="21"/>
  <c r="I13" i="46" s="1"/>
  <c r="F12" i="21"/>
  <c r="I10" i="21"/>
  <c r="J10" i="21"/>
  <c r="J10" i="46" s="1"/>
  <c r="J7" i="21"/>
  <c r="J5" i="21"/>
  <c r="H5" i="21"/>
  <c r="G5" i="21"/>
  <c r="F33" i="20"/>
  <c r="F33" i="46" s="1"/>
  <c r="I27" i="20"/>
  <c r="E26" i="20"/>
  <c r="I26" i="20"/>
  <c r="I25" i="20"/>
  <c r="D24" i="20"/>
  <c r="D24" i="46" s="1"/>
  <c r="D18" i="20"/>
  <c r="D18" i="46" s="1"/>
  <c r="F14" i="20"/>
  <c r="F12" i="20"/>
  <c r="H7" i="20"/>
  <c r="H7" i="46" s="1"/>
  <c r="I5" i="20"/>
  <c r="H5" i="20"/>
  <c r="G24" i="19"/>
  <c r="I14" i="19"/>
  <c r="F12" i="19"/>
  <c r="I10" i="19"/>
  <c r="I27" i="18"/>
  <c r="I25" i="18"/>
  <c r="F19" i="18"/>
  <c r="F19" i="46" s="1"/>
  <c r="J40" i="18"/>
  <c r="G36" i="18"/>
  <c r="G36" i="46" s="1"/>
  <c r="K36" i="46" s="1"/>
  <c r="I31" i="18"/>
  <c r="I29" i="18"/>
  <c r="J27" i="18"/>
  <c r="J27" i="46" s="1"/>
  <c r="H27" i="18"/>
  <c r="H27" i="46" s="1"/>
  <c r="H26" i="18"/>
  <c r="H26" i="46" s="1"/>
  <c r="H25" i="18"/>
  <c r="H25" i="46" s="1"/>
  <c r="F22" i="18"/>
  <c r="F22" i="46" s="1"/>
  <c r="K22" i="46" s="1"/>
  <c r="J19" i="18"/>
  <c r="J19" i="46" s="1"/>
  <c r="H18" i="18"/>
  <c r="H18" i="46" s="1"/>
  <c r="C17" i="18"/>
  <c r="I16" i="18"/>
  <c r="I16" i="46" s="1"/>
  <c r="H15" i="18"/>
  <c r="H15" i="46" s="1"/>
  <c r="K15" i="46" s="1"/>
  <c r="I14" i="18"/>
  <c r="F14" i="18"/>
  <c r="J8" i="18"/>
  <c r="J8" i="46" s="1"/>
  <c r="J7" i="18"/>
  <c r="J5" i="18"/>
  <c r="G5" i="18"/>
  <c r="G5" i="46" s="1"/>
  <c r="I28" i="17"/>
  <c r="I27" i="17"/>
  <c r="I14" i="17"/>
  <c r="J5" i="17"/>
  <c r="F5" i="17"/>
  <c r="F5" i="46" s="1"/>
  <c r="K55" i="46" l="1"/>
  <c r="K19" i="46"/>
  <c r="K8" i="46"/>
  <c r="I10" i="46"/>
  <c r="K10" i="46" s="1"/>
  <c r="B2" i="50"/>
  <c r="D44" i="46"/>
  <c r="D56" i="46" s="1"/>
  <c r="K54" i="46"/>
  <c r="I32" i="14"/>
  <c r="I32" i="46" s="1"/>
  <c r="K32" i="46" s="1"/>
  <c r="I29" i="14"/>
  <c r="I27" i="14"/>
  <c r="I25" i="14"/>
  <c r="J24" i="14"/>
  <c r="G7" i="14"/>
  <c r="G7" i="46" s="1"/>
  <c r="J5" i="14"/>
  <c r="I5" i="14"/>
  <c r="I5" i="46" s="1"/>
  <c r="J40" i="15"/>
  <c r="J40" i="46" s="1"/>
  <c r="K40" i="46" s="1"/>
  <c r="I14" i="15"/>
  <c r="I14" i="46" s="1"/>
  <c r="F12" i="15"/>
  <c r="J5" i="15"/>
  <c r="H5" i="15"/>
  <c r="H5" i="46" s="1"/>
  <c r="H44" i="46" s="1"/>
  <c r="H56" i="46" s="1"/>
  <c r="B12" i="50" s="1"/>
  <c r="C71" i="46" l="1"/>
  <c r="H45" i="49"/>
  <c r="B40" i="49"/>
  <c r="C63" i="46"/>
  <c r="J41" i="16"/>
  <c r="J41" i="46" s="1"/>
  <c r="F41" i="16"/>
  <c r="F41" i="46" s="1"/>
  <c r="I28" i="16"/>
  <c r="I28" i="46" s="1"/>
  <c r="K28" i="46" s="1"/>
  <c r="I27" i="16"/>
  <c r="J25" i="16"/>
  <c r="J25" i="46" s="1"/>
  <c r="I25" i="16"/>
  <c r="F24" i="16"/>
  <c r="F24" i="46" s="1"/>
  <c r="G24" i="16"/>
  <c r="G24" i="46" s="1"/>
  <c r="J24" i="16"/>
  <c r="J24" i="46" s="1"/>
  <c r="F18" i="16"/>
  <c r="F18" i="46" s="1"/>
  <c r="J18" i="16"/>
  <c r="J18" i="46" s="1"/>
  <c r="J17" i="16"/>
  <c r="J17" i="46" s="1"/>
  <c r="G17" i="16"/>
  <c r="G17" i="46" s="1"/>
  <c r="F17" i="16"/>
  <c r="F17" i="46" s="1"/>
  <c r="C17" i="16"/>
  <c r="J16" i="16"/>
  <c r="J16" i="46" s="1"/>
  <c r="K16" i="46" s="1"/>
  <c r="J14" i="16"/>
  <c r="J14" i="46" s="1"/>
  <c r="J13" i="16"/>
  <c r="J13" i="46" s="1"/>
  <c r="G13" i="16"/>
  <c r="G13" i="46" s="1"/>
  <c r="G9" i="16"/>
  <c r="G9" i="46" s="1"/>
  <c r="K9" i="46" s="1"/>
  <c r="J7" i="16"/>
  <c r="J7" i="46" s="1"/>
  <c r="J5" i="16"/>
  <c r="J5" i="46" s="1"/>
  <c r="K5" i="46" s="1"/>
  <c r="K18" i="46" l="1"/>
  <c r="K13" i="46"/>
  <c r="K41" i="46"/>
  <c r="K24" i="46"/>
  <c r="J44" i="46"/>
  <c r="J56" i="46" s="1"/>
  <c r="E33" i="13"/>
  <c r="E33" i="46" s="1"/>
  <c r="I33" i="13"/>
  <c r="I33" i="46" s="1"/>
  <c r="F27" i="13"/>
  <c r="F27" i="46" s="1"/>
  <c r="E26" i="13"/>
  <c r="E26" i="46" s="1"/>
  <c r="C17" i="13"/>
  <c r="G14" i="13"/>
  <c r="F14" i="13"/>
  <c r="F14" i="46" s="1"/>
  <c r="I31" i="12"/>
  <c r="I29" i="12"/>
  <c r="I27" i="12"/>
  <c r="I26" i="12"/>
  <c r="I26" i="46" s="1"/>
  <c r="I25" i="12"/>
  <c r="I31" i="11"/>
  <c r="I31" i="46" s="1"/>
  <c r="K31" i="46" s="1"/>
  <c r="I29" i="11"/>
  <c r="I29" i="46" s="1"/>
  <c r="K29" i="46" s="1"/>
  <c r="C17" i="11"/>
  <c r="C17" i="46" s="1"/>
  <c r="K26" i="46" l="1"/>
  <c r="E44" i="46"/>
  <c r="E56" i="46" s="1"/>
  <c r="C75" i="46"/>
  <c r="C44" i="46"/>
  <c r="K17" i="46"/>
  <c r="K33" i="46"/>
  <c r="F7" i="11"/>
  <c r="F7" i="46" s="1"/>
  <c r="K41" i="10"/>
  <c r="I27" i="10"/>
  <c r="I25" i="10"/>
  <c r="I25" i="46" s="1"/>
  <c r="G14" i="10"/>
  <c r="G14" i="46" s="1"/>
  <c r="G44" i="46" s="1"/>
  <c r="G56" i="46" s="1"/>
  <c r="F12" i="10"/>
  <c r="F12" i="46" s="1"/>
  <c r="K12" i="46" s="1"/>
  <c r="K5" i="10"/>
  <c r="K6" i="10"/>
  <c r="K7" i="10"/>
  <c r="K8" i="10"/>
  <c r="K9" i="10"/>
  <c r="K10" i="10"/>
  <c r="K11" i="10"/>
  <c r="K12" i="10"/>
  <c r="K13" i="10"/>
  <c r="K15" i="10"/>
  <c r="K16" i="10"/>
  <c r="K17" i="10"/>
  <c r="K18" i="10"/>
  <c r="K19" i="10"/>
  <c r="K20" i="10"/>
  <c r="K21" i="10"/>
  <c r="K22" i="10"/>
  <c r="K23" i="10"/>
  <c r="K24" i="10"/>
  <c r="K26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2" i="10"/>
  <c r="K55" i="44"/>
  <c r="K54" i="44"/>
  <c r="K53" i="44"/>
  <c r="K52" i="44"/>
  <c r="K51" i="44"/>
  <c r="K50" i="44"/>
  <c r="K49" i="44"/>
  <c r="K48" i="44"/>
  <c r="K47" i="44"/>
  <c r="K46" i="44"/>
  <c r="K45" i="44"/>
  <c r="J44" i="44"/>
  <c r="J56" i="44" s="1"/>
  <c r="L39" i="45" s="1"/>
  <c r="H44" i="44"/>
  <c r="H56" i="44" s="1"/>
  <c r="J39" i="45" s="1"/>
  <c r="G44" i="44"/>
  <c r="G56" i="44" s="1"/>
  <c r="I39" i="45" s="1"/>
  <c r="F44" i="44"/>
  <c r="F56" i="44" s="1"/>
  <c r="H39" i="45" s="1"/>
  <c r="E44" i="44"/>
  <c r="E56" i="44" s="1"/>
  <c r="G39" i="45" s="1"/>
  <c r="D44" i="44"/>
  <c r="D56" i="44" s="1"/>
  <c r="F39" i="45" s="1"/>
  <c r="C44" i="44"/>
  <c r="C56" i="44" s="1"/>
  <c r="E39" i="45" s="1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29" i="44"/>
  <c r="K28" i="44"/>
  <c r="K27" i="44"/>
  <c r="I44" i="44"/>
  <c r="I56" i="44" s="1"/>
  <c r="K39" i="45" s="1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8" i="44"/>
  <c r="K7" i="44"/>
  <c r="K6" i="44"/>
  <c r="K5" i="44"/>
  <c r="K55" i="43"/>
  <c r="K54" i="43"/>
  <c r="K53" i="43"/>
  <c r="K52" i="43"/>
  <c r="K51" i="43"/>
  <c r="K50" i="43"/>
  <c r="K49" i="43"/>
  <c r="K48" i="43"/>
  <c r="K47" i="43"/>
  <c r="K46" i="43"/>
  <c r="K45" i="43"/>
  <c r="J44" i="43"/>
  <c r="J56" i="43" s="1"/>
  <c r="L38" i="45" s="1"/>
  <c r="H44" i="43"/>
  <c r="H56" i="43" s="1"/>
  <c r="J38" i="45" s="1"/>
  <c r="G44" i="43"/>
  <c r="G56" i="43" s="1"/>
  <c r="I38" i="45" s="1"/>
  <c r="F44" i="43"/>
  <c r="F56" i="43" s="1"/>
  <c r="H38" i="45" s="1"/>
  <c r="E44" i="43"/>
  <c r="E56" i="43" s="1"/>
  <c r="G38" i="45" s="1"/>
  <c r="D44" i="43"/>
  <c r="D56" i="43" s="1"/>
  <c r="F38" i="45" s="1"/>
  <c r="C44" i="43"/>
  <c r="C56" i="43" s="1"/>
  <c r="E38" i="45" s="1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I44" i="43"/>
  <c r="I56" i="43" s="1"/>
  <c r="K38" i="45" s="1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/>
  <c r="K7" i="43"/>
  <c r="K6" i="43"/>
  <c r="K5" i="43"/>
  <c r="K55" i="42"/>
  <c r="K54" i="42"/>
  <c r="K53" i="42"/>
  <c r="K52" i="42"/>
  <c r="K51" i="42"/>
  <c r="K50" i="42"/>
  <c r="K49" i="42"/>
  <c r="K48" i="42"/>
  <c r="K47" i="42"/>
  <c r="K46" i="42"/>
  <c r="K45" i="42"/>
  <c r="J44" i="42"/>
  <c r="J56" i="42" s="1"/>
  <c r="L37" i="45" s="1"/>
  <c r="H44" i="42"/>
  <c r="H56" i="42" s="1"/>
  <c r="J37" i="45" s="1"/>
  <c r="G44" i="42"/>
  <c r="G56" i="42" s="1"/>
  <c r="I37" i="45" s="1"/>
  <c r="F44" i="42"/>
  <c r="F56" i="42" s="1"/>
  <c r="H37" i="45" s="1"/>
  <c r="E44" i="42"/>
  <c r="E56" i="42" s="1"/>
  <c r="G37" i="45" s="1"/>
  <c r="D44" i="42"/>
  <c r="D56" i="42" s="1"/>
  <c r="F37" i="45" s="1"/>
  <c r="C44" i="42"/>
  <c r="C56" i="42" s="1"/>
  <c r="E37" i="45" s="1"/>
  <c r="K43" i="42"/>
  <c r="K42" i="42"/>
  <c r="K41" i="42"/>
  <c r="K40" i="42"/>
  <c r="K39" i="42"/>
  <c r="K38" i="42"/>
  <c r="K37" i="42"/>
  <c r="K36" i="42"/>
  <c r="K35" i="42"/>
  <c r="K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5" i="42"/>
  <c r="K55" i="41"/>
  <c r="K54" i="41"/>
  <c r="K53" i="41"/>
  <c r="K52" i="41"/>
  <c r="K51" i="41"/>
  <c r="K50" i="41"/>
  <c r="K49" i="41"/>
  <c r="K48" i="41"/>
  <c r="K47" i="41"/>
  <c r="K46" i="41"/>
  <c r="K45" i="41"/>
  <c r="J44" i="41"/>
  <c r="J56" i="41" s="1"/>
  <c r="L36" i="45" s="1"/>
  <c r="H44" i="41"/>
  <c r="H56" i="41" s="1"/>
  <c r="J36" i="45" s="1"/>
  <c r="G44" i="41"/>
  <c r="G56" i="41" s="1"/>
  <c r="I36" i="45" s="1"/>
  <c r="F44" i="41"/>
  <c r="F56" i="41" s="1"/>
  <c r="H36" i="45" s="1"/>
  <c r="E44" i="41"/>
  <c r="E56" i="41" s="1"/>
  <c r="G36" i="45" s="1"/>
  <c r="D44" i="41"/>
  <c r="D56" i="41" s="1"/>
  <c r="F36" i="45" s="1"/>
  <c r="C44" i="41"/>
  <c r="C56" i="41" s="1"/>
  <c r="E36" i="45" s="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K5" i="41"/>
  <c r="K55" i="40"/>
  <c r="K54" i="40"/>
  <c r="K53" i="40"/>
  <c r="K52" i="40"/>
  <c r="K51" i="40"/>
  <c r="K50" i="40"/>
  <c r="K49" i="40"/>
  <c r="K48" i="40"/>
  <c r="K47" i="40"/>
  <c r="K46" i="40"/>
  <c r="K45" i="40"/>
  <c r="J44" i="40"/>
  <c r="J56" i="40" s="1"/>
  <c r="L35" i="45" s="1"/>
  <c r="H44" i="40"/>
  <c r="H56" i="40" s="1"/>
  <c r="J35" i="45" s="1"/>
  <c r="G44" i="40"/>
  <c r="G56" i="40" s="1"/>
  <c r="I35" i="45" s="1"/>
  <c r="F44" i="40"/>
  <c r="F56" i="40" s="1"/>
  <c r="H35" i="45" s="1"/>
  <c r="E44" i="40"/>
  <c r="E56" i="40" s="1"/>
  <c r="G35" i="45" s="1"/>
  <c r="D44" i="40"/>
  <c r="D56" i="40" s="1"/>
  <c r="F35" i="45" s="1"/>
  <c r="C44" i="40"/>
  <c r="C56" i="40" s="1"/>
  <c r="E35" i="45" s="1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I44" i="40"/>
  <c r="I56" i="40" s="1"/>
  <c r="K35" i="45" s="1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K5" i="40"/>
  <c r="K55" i="39"/>
  <c r="K54" i="39"/>
  <c r="K53" i="39"/>
  <c r="K52" i="39"/>
  <c r="K51" i="39"/>
  <c r="K50" i="39"/>
  <c r="K49" i="39"/>
  <c r="K48" i="39"/>
  <c r="K47" i="39"/>
  <c r="K46" i="39"/>
  <c r="K45" i="39"/>
  <c r="J44" i="39"/>
  <c r="J56" i="39" s="1"/>
  <c r="L34" i="45" s="1"/>
  <c r="H44" i="39"/>
  <c r="H56" i="39" s="1"/>
  <c r="J34" i="45" s="1"/>
  <c r="G44" i="39"/>
  <c r="G56" i="39" s="1"/>
  <c r="I34" i="45" s="1"/>
  <c r="F44" i="39"/>
  <c r="F56" i="39" s="1"/>
  <c r="H34" i="45" s="1"/>
  <c r="E44" i="39"/>
  <c r="E56" i="39" s="1"/>
  <c r="G34" i="45" s="1"/>
  <c r="D44" i="39"/>
  <c r="D56" i="39" s="1"/>
  <c r="F34" i="45" s="1"/>
  <c r="C44" i="39"/>
  <c r="C56" i="39" s="1"/>
  <c r="E34" i="45" s="1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I44" i="39"/>
  <c r="I56" i="39" s="1"/>
  <c r="K34" i="45" s="1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6" i="39"/>
  <c r="K5" i="39"/>
  <c r="K55" i="38"/>
  <c r="K54" i="38"/>
  <c r="K53" i="38"/>
  <c r="K52" i="38"/>
  <c r="K51" i="38"/>
  <c r="K50" i="38"/>
  <c r="K49" i="38"/>
  <c r="K48" i="38"/>
  <c r="K47" i="38"/>
  <c r="K46" i="38"/>
  <c r="K45" i="38"/>
  <c r="J44" i="38"/>
  <c r="J56" i="38" s="1"/>
  <c r="L33" i="45" s="1"/>
  <c r="H44" i="38"/>
  <c r="H56" i="38" s="1"/>
  <c r="J33" i="45" s="1"/>
  <c r="G44" i="38"/>
  <c r="G56" i="38" s="1"/>
  <c r="I33" i="45" s="1"/>
  <c r="F44" i="38"/>
  <c r="F56" i="38" s="1"/>
  <c r="H33" i="45" s="1"/>
  <c r="E44" i="38"/>
  <c r="E56" i="38" s="1"/>
  <c r="G33" i="45" s="1"/>
  <c r="D44" i="38"/>
  <c r="D56" i="38" s="1"/>
  <c r="F33" i="45" s="1"/>
  <c r="C44" i="38"/>
  <c r="C56" i="38" s="1"/>
  <c r="E33" i="45" s="1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I44" i="38"/>
  <c r="I56" i="38" s="1"/>
  <c r="K33" i="45" s="1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K6" i="38"/>
  <c r="K5" i="38"/>
  <c r="K55" i="37"/>
  <c r="K54" i="37"/>
  <c r="K53" i="37"/>
  <c r="K52" i="37"/>
  <c r="K51" i="37"/>
  <c r="K50" i="37"/>
  <c r="K49" i="37"/>
  <c r="K48" i="37"/>
  <c r="K47" i="37"/>
  <c r="K46" i="37"/>
  <c r="K45" i="37"/>
  <c r="J44" i="37"/>
  <c r="J56" i="37" s="1"/>
  <c r="L32" i="45" s="1"/>
  <c r="H44" i="37"/>
  <c r="H56" i="37" s="1"/>
  <c r="J32" i="45" s="1"/>
  <c r="G44" i="37"/>
  <c r="G56" i="37" s="1"/>
  <c r="I32" i="45" s="1"/>
  <c r="F44" i="37"/>
  <c r="F56" i="37" s="1"/>
  <c r="H32" i="45" s="1"/>
  <c r="E44" i="37"/>
  <c r="E56" i="37" s="1"/>
  <c r="G32" i="45" s="1"/>
  <c r="D44" i="37"/>
  <c r="D56" i="37" s="1"/>
  <c r="F32" i="45" s="1"/>
  <c r="C44" i="37"/>
  <c r="C56" i="37" s="1"/>
  <c r="E32" i="45" s="1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I44" i="37"/>
  <c r="I56" i="37" s="1"/>
  <c r="K32" i="45" s="1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K55" i="36"/>
  <c r="K54" i="36"/>
  <c r="K53" i="36"/>
  <c r="K52" i="36"/>
  <c r="K51" i="36"/>
  <c r="K50" i="36"/>
  <c r="K49" i="36"/>
  <c r="K48" i="36"/>
  <c r="K47" i="36"/>
  <c r="K46" i="36"/>
  <c r="K45" i="36"/>
  <c r="J44" i="36"/>
  <c r="J56" i="36" s="1"/>
  <c r="L31" i="45" s="1"/>
  <c r="H44" i="36"/>
  <c r="H56" i="36" s="1"/>
  <c r="J31" i="45" s="1"/>
  <c r="G44" i="36"/>
  <c r="G56" i="36" s="1"/>
  <c r="I31" i="45" s="1"/>
  <c r="F44" i="36"/>
  <c r="F56" i="36" s="1"/>
  <c r="H31" i="45" s="1"/>
  <c r="E44" i="36"/>
  <c r="E56" i="36" s="1"/>
  <c r="G31" i="45" s="1"/>
  <c r="D44" i="36"/>
  <c r="D56" i="36" s="1"/>
  <c r="F31" i="45" s="1"/>
  <c r="C44" i="36"/>
  <c r="C56" i="36" s="1"/>
  <c r="E31" i="45" s="1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I44" i="36"/>
  <c r="I56" i="36" s="1"/>
  <c r="K31" i="45" s="1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K6" i="36"/>
  <c r="K5" i="36"/>
  <c r="K55" i="35"/>
  <c r="K54" i="35"/>
  <c r="K53" i="35"/>
  <c r="K52" i="35"/>
  <c r="K51" i="35"/>
  <c r="K49" i="35"/>
  <c r="K48" i="35"/>
  <c r="K47" i="35"/>
  <c r="K46" i="35"/>
  <c r="K45" i="35"/>
  <c r="J44" i="35"/>
  <c r="J56" i="35" s="1"/>
  <c r="H44" i="35"/>
  <c r="H56" i="35" s="1"/>
  <c r="J30" i="45" s="1"/>
  <c r="G44" i="35"/>
  <c r="G56" i="35" s="1"/>
  <c r="I30" i="45" s="1"/>
  <c r="F44" i="35"/>
  <c r="F56" i="35" s="1"/>
  <c r="H30" i="45" s="1"/>
  <c r="E44" i="35"/>
  <c r="E56" i="35" s="1"/>
  <c r="G30" i="45" s="1"/>
  <c r="D44" i="35"/>
  <c r="D56" i="35" s="1"/>
  <c r="F30" i="45" s="1"/>
  <c r="C44" i="35"/>
  <c r="C56" i="35" s="1"/>
  <c r="E30" i="45" s="1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I44" i="35"/>
  <c r="I56" i="35" s="1"/>
  <c r="K30" i="45" s="1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55" i="34"/>
  <c r="K54" i="34"/>
  <c r="K53" i="34"/>
  <c r="K52" i="34"/>
  <c r="K51" i="34"/>
  <c r="K50" i="34"/>
  <c r="K49" i="34"/>
  <c r="K48" i="34"/>
  <c r="K47" i="34"/>
  <c r="K46" i="34"/>
  <c r="K45" i="34"/>
  <c r="J44" i="34"/>
  <c r="J56" i="34" s="1"/>
  <c r="H44" i="34"/>
  <c r="H56" i="34" s="1"/>
  <c r="J29" i="45" s="1"/>
  <c r="G44" i="34"/>
  <c r="G56" i="34" s="1"/>
  <c r="I29" i="45" s="1"/>
  <c r="F44" i="34"/>
  <c r="F56" i="34" s="1"/>
  <c r="H29" i="45" s="1"/>
  <c r="E44" i="34"/>
  <c r="E56" i="34" s="1"/>
  <c r="G29" i="45" s="1"/>
  <c r="D44" i="34"/>
  <c r="D56" i="34" s="1"/>
  <c r="F29" i="45" s="1"/>
  <c r="C44" i="34"/>
  <c r="C56" i="34" s="1"/>
  <c r="E29" i="45" s="1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I44" i="34"/>
  <c r="I56" i="34" s="1"/>
  <c r="K29" i="45" s="1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55" i="32"/>
  <c r="K54" i="32"/>
  <c r="K53" i="32"/>
  <c r="K52" i="32"/>
  <c r="K51" i="32"/>
  <c r="K50" i="32"/>
  <c r="K49" i="32"/>
  <c r="K48" i="32"/>
  <c r="K47" i="32"/>
  <c r="K46" i="32"/>
  <c r="K45" i="32"/>
  <c r="J44" i="32"/>
  <c r="J56" i="32" s="1"/>
  <c r="L27" i="45" s="1"/>
  <c r="H44" i="32"/>
  <c r="H56" i="32" s="1"/>
  <c r="J27" i="45" s="1"/>
  <c r="G44" i="32"/>
  <c r="G56" i="32" s="1"/>
  <c r="I27" i="45" s="1"/>
  <c r="F44" i="32"/>
  <c r="F56" i="32" s="1"/>
  <c r="H27" i="45" s="1"/>
  <c r="E44" i="32"/>
  <c r="E56" i="32" s="1"/>
  <c r="G27" i="45" s="1"/>
  <c r="D44" i="32"/>
  <c r="D56" i="32" s="1"/>
  <c r="F27" i="45" s="1"/>
  <c r="C44" i="32"/>
  <c r="C56" i="32" s="1"/>
  <c r="E27" i="45" s="1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I44" i="32"/>
  <c r="I56" i="32" s="1"/>
  <c r="K27" i="45" s="1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55" i="30"/>
  <c r="K54" i="30"/>
  <c r="K53" i="30"/>
  <c r="K52" i="30"/>
  <c r="K51" i="30"/>
  <c r="K50" i="30"/>
  <c r="K49" i="30"/>
  <c r="K48" i="30"/>
  <c r="K47" i="30"/>
  <c r="K46" i="30"/>
  <c r="K45" i="30"/>
  <c r="J44" i="30"/>
  <c r="J56" i="30" s="1"/>
  <c r="L26" i="45" s="1"/>
  <c r="H44" i="30"/>
  <c r="H56" i="30" s="1"/>
  <c r="J26" i="45" s="1"/>
  <c r="G44" i="30"/>
  <c r="G56" i="30" s="1"/>
  <c r="I26" i="45" s="1"/>
  <c r="F44" i="30"/>
  <c r="F56" i="30" s="1"/>
  <c r="H26" i="45" s="1"/>
  <c r="E44" i="30"/>
  <c r="E56" i="30" s="1"/>
  <c r="G26" i="45" s="1"/>
  <c r="D44" i="30"/>
  <c r="D56" i="30" s="1"/>
  <c r="F26" i="45" s="1"/>
  <c r="C44" i="30"/>
  <c r="C56" i="30" s="1"/>
  <c r="E26" i="45" s="1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I44" i="30"/>
  <c r="I56" i="30" s="1"/>
  <c r="K26" i="45" s="1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K55" i="29"/>
  <c r="K54" i="29"/>
  <c r="K53" i="29"/>
  <c r="K52" i="29"/>
  <c r="K51" i="29"/>
  <c r="K50" i="29"/>
  <c r="K49" i="29"/>
  <c r="K48" i="29"/>
  <c r="K47" i="29"/>
  <c r="K46" i="29"/>
  <c r="K45" i="29"/>
  <c r="J44" i="29"/>
  <c r="J56" i="29" s="1"/>
  <c r="L25" i="45" s="1"/>
  <c r="H44" i="29"/>
  <c r="H56" i="29" s="1"/>
  <c r="J25" i="45" s="1"/>
  <c r="G44" i="29"/>
  <c r="G56" i="29" s="1"/>
  <c r="I25" i="45" s="1"/>
  <c r="F44" i="29"/>
  <c r="F56" i="29" s="1"/>
  <c r="H25" i="45" s="1"/>
  <c r="E44" i="29"/>
  <c r="E56" i="29" s="1"/>
  <c r="G25" i="45" s="1"/>
  <c r="D44" i="29"/>
  <c r="D56" i="29" s="1"/>
  <c r="F25" i="45" s="1"/>
  <c r="C44" i="29"/>
  <c r="C56" i="29" s="1"/>
  <c r="E25" i="45" s="1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I44" i="29"/>
  <c r="I56" i="29" s="1"/>
  <c r="K25" i="45" s="1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55" i="28"/>
  <c r="K54" i="28"/>
  <c r="K53" i="28"/>
  <c r="K52" i="28"/>
  <c r="K51" i="28"/>
  <c r="K50" i="28"/>
  <c r="K49" i="28"/>
  <c r="K48" i="28"/>
  <c r="K47" i="28"/>
  <c r="K46" i="28"/>
  <c r="K45" i="28"/>
  <c r="J44" i="28"/>
  <c r="J56" i="28" s="1"/>
  <c r="L24" i="45" s="1"/>
  <c r="H44" i="28"/>
  <c r="H56" i="28" s="1"/>
  <c r="J24" i="45" s="1"/>
  <c r="G44" i="28"/>
  <c r="G56" i="28" s="1"/>
  <c r="I24" i="45" s="1"/>
  <c r="F44" i="28"/>
  <c r="F56" i="28" s="1"/>
  <c r="H24" i="45" s="1"/>
  <c r="E44" i="28"/>
  <c r="E56" i="28" s="1"/>
  <c r="G24" i="45" s="1"/>
  <c r="D44" i="28"/>
  <c r="D56" i="28" s="1"/>
  <c r="F24" i="45" s="1"/>
  <c r="C44" i="28"/>
  <c r="C56" i="28" s="1"/>
  <c r="E24" i="45" s="1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I44" i="28"/>
  <c r="I56" i="28" s="1"/>
  <c r="K24" i="45" s="1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K55" i="27"/>
  <c r="K54" i="27"/>
  <c r="K53" i="27"/>
  <c r="K52" i="27"/>
  <c r="K51" i="27"/>
  <c r="K50" i="27"/>
  <c r="K49" i="27"/>
  <c r="K48" i="27"/>
  <c r="K47" i="27"/>
  <c r="K46" i="27"/>
  <c r="K45" i="27"/>
  <c r="J44" i="27"/>
  <c r="J56" i="27" s="1"/>
  <c r="L23" i="45" s="1"/>
  <c r="H44" i="27"/>
  <c r="H56" i="27" s="1"/>
  <c r="J23" i="45" s="1"/>
  <c r="G44" i="27"/>
  <c r="G56" i="27" s="1"/>
  <c r="I23" i="45" s="1"/>
  <c r="F44" i="27"/>
  <c r="F56" i="27" s="1"/>
  <c r="H23" i="45" s="1"/>
  <c r="E44" i="27"/>
  <c r="E56" i="27" s="1"/>
  <c r="G23" i="45" s="1"/>
  <c r="D44" i="27"/>
  <c r="D56" i="27" s="1"/>
  <c r="F23" i="45" s="1"/>
  <c r="C44" i="27"/>
  <c r="C56" i="27" s="1"/>
  <c r="E23" i="45" s="1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I44" i="27"/>
  <c r="I56" i="27" s="1"/>
  <c r="K23" i="45" s="1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55" i="26"/>
  <c r="K54" i="26"/>
  <c r="K53" i="26"/>
  <c r="K52" i="26"/>
  <c r="K51" i="26"/>
  <c r="K50" i="26"/>
  <c r="K49" i="26"/>
  <c r="K48" i="26"/>
  <c r="K47" i="26"/>
  <c r="K46" i="26"/>
  <c r="K45" i="26"/>
  <c r="J44" i="26"/>
  <c r="J56" i="26" s="1"/>
  <c r="L22" i="45" s="1"/>
  <c r="H44" i="26"/>
  <c r="H56" i="26" s="1"/>
  <c r="J22" i="45" s="1"/>
  <c r="G44" i="26"/>
  <c r="G56" i="26" s="1"/>
  <c r="I22" i="45" s="1"/>
  <c r="F44" i="26"/>
  <c r="F56" i="26" s="1"/>
  <c r="H22" i="45" s="1"/>
  <c r="E44" i="26"/>
  <c r="E56" i="26" s="1"/>
  <c r="G22" i="45" s="1"/>
  <c r="D44" i="26"/>
  <c r="D56" i="26" s="1"/>
  <c r="F22" i="45" s="1"/>
  <c r="C44" i="26"/>
  <c r="C56" i="26" s="1"/>
  <c r="E22" i="45" s="1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I44" i="26"/>
  <c r="I56" i="26" s="1"/>
  <c r="K22" i="45" s="1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55" i="25"/>
  <c r="K54" i="25"/>
  <c r="K53" i="25"/>
  <c r="K51" i="25"/>
  <c r="K50" i="25"/>
  <c r="K49" i="25"/>
  <c r="K48" i="25"/>
  <c r="K47" i="25"/>
  <c r="K46" i="25"/>
  <c r="K45" i="25"/>
  <c r="J44" i="25"/>
  <c r="J56" i="25" s="1"/>
  <c r="L21" i="45" s="1"/>
  <c r="H44" i="25"/>
  <c r="H56" i="25" s="1"/>
  <c r="J21" i="45" s="1"/>
  <c r="G44" i="25"/>
  <c r="G56" i="25" s="1"/>
  <c r="I21" i="45" s="1"/>
  <c r="F44" i="25"/>
  <c r="F56" i="25" s="1"/>
  <c r="H21" i="45" s="1"/>
  <c r="E44" i="25"/>
  <c r="E56" i="25" s="1"/>
  <c r="G21" i="45" s="1"/>
  <c r="D44" i="25"/>
  <c r="D56" i="25" s="1"/>
  <c r="F21" i="45" s="1"/>
  <c r="C44" i="25"/>
  <c r="C56" i="25" s="1"/>
  <c r="E21" i="45" s="1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I44" i="25"/>
  <c r="I56" i="25" s="1"/>
  <c r="K21" i="45" s="1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K55" i="24"/>
  <c r="K54" i="24"/>
  <c r="K53" i="24"/>
  <c r="K52" i="24"/>
  <c r="K51" i="24"/>
  <c r="K50" i="24"/>
  <c r="K49" i="24"/>
  <c r="K48" i="24"/>
  <c r="K47" i="24"/>
  <c r="K46" i="24"/>
  <c r="K45" i="24"/>
  <c r="J44" i="24"/>
  <c r="J56" i="24" s="1"/>
  <c r="L20" i="45" s="1"/>
  <c r="H44" i="24"/>
  <c r="H56" i="24" s="1"/>
  <c r="J20" i="45" s="1"/>
  <c r="G44" i="24"/>
  <c r="G56" i="24" s="1"/>
  <c r="I20" i="45" s="1"/>
  <c r="F44" i="24"/>
  <c r="F56" i="24" s="1"/>
  <c r="H20" i="45" s="1"/>
  <c r="E44" i="24"/>
  <c r="E56" i="24" s="1"/>
  <c r="G20" i="45" s="1"/>
  <c r="D44" i="24"/>
  <c r="D56" i="24" s="1"/>
  <c r="F20" i="45" s="1"/>
  <c r="C44" i="24"/>
  <c r="C56" i="24" s="1"/>
  <c r="E20" i="45" s="1"/>
  <c r="K43" i="24"/>
  <c r="K42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I44" i="24"/>
  <c r="I56" i="24" s="1"/>
  <c r="K20" i="45" s="1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K55" i="23"/>
  <c r="K54" i="23"/>
  <c r="K53" i="23"/>
  <c r="K52" i="23"/>
  <c r="K51" i="23"/>
  <c r="K50" i="23"/>
  <c r="K49" i="23"/>
  <c r="K48" i="23"/>
  <c r="K47" i="23"/>
  <c r="K46" i="23"/>
  <c r="K45" i="23"/>
  <c r="J44" i="23"/>
  <c r="J56" i="23" s="1"/>
  <c r="L19" i="45" s="1"/>
  <c r="H44" i="23"/>
  <c r="H56" i="23" s="1"/>
  <c r="J19" i="45" s="1"/>
  <c r="G44" i="23"/>
  <c r="G56" i="23" s="1"/>
  <c r="I19" i="45" s="1"/>
  <c r="F44" i="23"/>
  <c r="F56" i="23" s="1"/>
  <c r="H19" i="45" s="1"/>
  <c r="E44" i="23"/>
  <c r="E56" i="23" s="1"/>
  <c r="G19" i="45" s="1"/>
  <c r="D44" i="23"/>
  <c r="D56" i="23" s="1"/>
  <c r="F19" i="45" s="1"/>
  <c r="C44" i="23"/>
  <c r="C56" i="23" s="1"/>
  <c r="E19" i="45" s="1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I44" i="23"/>
  <c r="I56" i="23" s="1"/>
  <c r="K19" i="45" s="1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55" i="22"/>
  <c r="K54" i="22"/>
  <c r="K53" i="22"/>
  <c r="K52" i="22"/>
  <c r="K51" i="22"/>
  <c r="K50" i="22"/>
  <c r="K49" i="22"/>
  <c r="K48" i="22"/>
  <c r="K47" i="22"/>
  <c r="K46" i="22"/>
  <c r="K45" i="22"/>
  <c r="J44" i="22"/>
  <c r="J56" i="22" s="1"/>
  <c r="L18" i="45" s="1"/>
  <c r="H44" i="22"/>
  <c r="H56" i="22" s="1"/>
  <c r="J18" i="45" s="1"/>
  <c r="G44" i="22"/>
  <c r="G56" i="22" s="1"/>
  <c r="I18" i="45" s="1"/>
  <c r="F44" i="22"/>
  <c r="F56" i="22" s="1"/>
  <c r="H18" i="45" s="1"/>
  <c r="E44" i="22"/>
  <c r="E56" i="22" s="1"/>
  <c r="G18" i="45" s="1"/>
  <c r="D44" i="22"/>
  <c r="D56" i="22" s="1"/>
  <c r="F18" i="45" s="1"/>
  <c r="C44" i="22"/>
  <c r="C56" i="22" s="1"/>
  <c r="E18" i="45" s="1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I44" i="22"/>
  <c r="I56" i="22" s="1"/>
  <c r="K18" i="45" s="1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55" i="21"/>
  <c r="K54" i="21"/>
  <c r="K53" i="21"/>
  <c r="K52" i="21"/>
  <c r="K51" i="21"/>
  <c r="K50" i="21"/>
  <c r="K49" i="21"/>
  <c r="K48" i="21"/>
  <c r="K47" i="21"/>
  <c r="K46" i="21"/>
  <c r="K45" i="21"/>
  <c r="J44" i="21"/>
  <c r="J56" i="21" s="1"/>
  <c r="L17" i="45" s="1"/>
  <c r="H44" i="21"/>
  <c r="H56" i="21" s="1"/>
  <c r="J17" i="45" s="1"/>
  <c r="G44" i="21"/>
  <c r="G56" i="21" s="1"/>
  <c r="I17" i="45" s="1"/>
  <c r="F44" i="21"/>
  <c r="F56" i="21" s="1"/>
  <c r="H17" i="45" s="1"/>
  <c r="E44" i="21"/>
  <c r="E56" i="21" s="1"/>
  <c r="G17" i="45" s="1"/>
  <c r="D44" i="21"/>
  <c r="D56" i="21" s="1"/>
  <c r="F17" i="45" s="1"/>
  <c r="C44" i="21"/>
  <c r="C56" i="21" s="1"/>
  <c r="E17" i="45" s="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I44" i="21"/>
  <c r="I56" i="21" s="1"/>
  <c r="K17" i="45" s="1"/>
  <c r="K26" i="21"/>
  <c r="K25" i="21"/>
  <c r="K24" i="21"/>
  <c r="K23" i="21"/>
  <c r="K22" i="21"/>
  <c r="K21" i="21"/>
  <c r="K20" i="21"/>
  <c r="K19" i="21"/>
  <c r="K18" i="21"/>
  <c r="K17" i="21"/>
  <c r="K15" i="21"/>
  <c r="K14" i="21"/>
  <c r="K13" i="21"/>
  <c r="K12" i="21"/>
  <c r="K11" i="21"/>
  <c r="K10" i="21"/>
  <c r="K9" i="21"/>
  <c r="K8" i="21"/>
  <c r="K7" i="21"/>
  <c r="K6" i="21"/>
  <c r="K5" i="21"/>
  <c r="K55" i="20"/>
  <c r="K54" i="20"/>
  <c r="K53" i="20"/>
  <c r="K52" i="20"/>
  <c r="K51" i="20"/>
  <c r="K50" i="20"/>
  <c r="K49" i="20"/>
  <c r="K48" i="20"/>
  <c r="K47" i="20"/>
  <c r="K46" i="20"/>
  <c r="K45" i="20"/>
  <c r="J44" i="20"/>
  <c r="J56" i="20" s="1"/>
  <c r="L16" i="45" s="1"/>
  <c r="H44" i="20"/>
  <c r="H56" i="20" s="1"/>
  <c r="J16" i="45" s="1"/>
  <c r="G44" i="20"/>
  <c r="G56" i="20" s="1"/>
  <c r="I16" i="45" s="1"/>
  <c r="F44" i="20"/>
  <c r="F56" i="20" s="1"/>
  <c r="H16" i="45" s="1"/>
  <c r="E44" i="20"/>
  <c r="E56" i="20" s="1"/>
  <c r="G16" i="45" s="1"/>
  <c r="D44" i="20"/>
  <c r="D56" i="20" s="1"/>
  <c r="F16" i="45" s="1"/>
  <c r="C44" i="20"/>
  <c r="C56" i="20" s="1"/>
  <c r="E16" i="45" s="1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I44" i="20"/>
  <c r="I56" i="20" s="1"/>
  <c r="K16" i="45" s="1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55" i="19"/>
  <c r="K54" i="19"/>
  <c r="K53" i="19"/>
  <c r="K52" i="19"/>
  <c r="K51" i="19"/>
  <c r="K50" i="19"/>
  <c r="K49" i="19"/>
  <c r="K48" i="19"/>
  <c r="K47" i="19"/>
  <c r="K46" i="19"/>
  <c r="K45" i="19"/>
  <c r="J44" i="19"/>
  <c r="J56" i="19" s="1"/>
  <c r="L15" i="45" s="1"/>
  <c r="H44" i="19"/>
  <c r="H56" i="19" s="1"/>
  <c r="J15" i="45" s="1"/>
  <c r="G44" i="19"/>
  <c r="G56" i="19" s="1"/>
  <c r="I15" i="45" s="1"/>
  <c r="F44" i="19"/>
  <c r="F56" i="19" s="1"/>
  <c r="H15" i="45" s="1"/>
  <c r="E44" i="19"/>
  <c r="E56" i="19" s="1"/>
  <c r="G15" i="45" s="1"/>
  <c r="D44" i="19"/>
  <c r="D56" i="19" s="1"/>
  <c r="F15" i="45" s="1"/>
  <c r="C44" i="19"/>
  <c r="C56" i="19" s="1"/>
  <c r="E15" i="45" s="1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I44" i="19"/>
  <c r="I56" i="19" s="1"/>
  <c r="K15" i="45" s="1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55" i="18"/>
  <c r="K54" i="18"/>
  <c r="K53" i="18"/>
  <c r="K52" i="18"/>
  <c r="K51" i="18"/>
  <c r="K50" i="18"/>
  <c r="K49" i="18"/>
  <c r="K48" i="18"/>
  <c r="K47" i="18"/>
  <c r="K46" i="18"/>
  <c r="K45" i="18"/>
  <c r="J44" i="18"/>
  <c r="J56" i="18" s="1"/>
  <c r="L14" i="45" s="1"/>
  <c r="H44" i="18"/>
  <c r="H56" i="18" s="1"/>
  <c r="J14" i="45" s="1"/>
  <c r="G44" i="18"/>
  <c r="G56" i="18" s="1"/>
  <c r="I14" i="45" s="1"/>
  <c r="F44" i="18"/>
  <c r="F56" i="18" s="1"/>
  <c r="H14" i="45" s="1"/>
  <c r="E44" i="18"/>
  <c r="E56" i="18" s="1"/>
  <c r="G14" i="45" s="1"/>
  <c r="D44" i="18"/>
  <c r="D56" i="18" s="1"/>
  <c r="F14" i="45" s="1"/>
  <c r="C44" i="18"/>
  <c r="C56" i="18" s="1"/>
  <c r="E14" i="45" s="1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I44" i="18"/>
  <c r="I56" i="18" s="1"/>
  <c r="K14" i="45" s="1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55" i="17"/>
  <c r="K54" i="17"/>
  <c r="K53" i="17"/>
  <c r="K52" i="17"/>
  <c r="K51" i="17"/>
  <c r="K50" i="17"/>
  <c r="K49" i="17"/>
  <c r="K48" i="17"/>
  <c r="K47" i="17"/>
  <c r="K46" i="17"/>
  <c r="K45" i="17"/>
  <c r="J44" i="17"/>
  <c r="J56" i="17" s="1"/>
  <c r="L13" i="45" s="1"/>
  <c r="H44" i="17"/>
  <c r="H56" i="17" s="1"/>
  <c r="J13" i="45" s="1"/>
  <c r="G44" i="17"/>
  <c r="G56" i="17" s="1"/>
  <c r="I13" i="45" s="1"/>
  <c r="F44" i="17"/>
  <c r="F56" i="17" s="1"/>
  <c r="H13" i="45" s="1"/>
  <c r="E44" i="17"/>
  <c r="E56" i="17" s="1"/>
  <c r="G13" i="45" s="1"/>
  <c r="D44" i="17"/>
  <c r="D56" i="17" s="1"/>
  <c r="F13" i="45" s="1"/>
  <c r="C44" i="17"/>
  <c r="C56" i="17" s="1"/>
  <c r="E13" i="45" s="1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I44" i="17"/>
  <c r="I56" i="17" s="1"/>
  <c r="K13" i="45" s="1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55" i="16"/>
  <c r="K54" i="16"/>
  <c r="K53" i="16"/>
  <c r="K52" i="16"/>
  <c r="K51" i="16"/>
  <c r="K50" i="16"/>
  <c r="K49" i="16"/>
  <c r="K48" i="16"/>
  <c r="K47" i="16"/>
  <c r="K46" i="16"/>
  <c r="K45" i="16"/>
  <c r="J44" i="16"/>
  <c r="J56" i="16" s="1"/>
  <c r="L10" i="45" s="1"/>
  <c r="H44" i="16"/>
  <c r="H56" i="16" s="1"/>
  <c r="J10" i="45" s="1"/>
  <c r="G44" i="16"/>
  <c r="G56" i="16" s="1"/>
  <c r="I10" i="45" s="1"/>
  <c r="F44" i="16"/>
  <c r="F56" i="16" s="1"/>
  <c r="H10" i="45" s="1"/>
  <c r="E44" i="16"/>
  <c r="E56" i="16" s="1"/>
  <c r="G10" i="45" s="1"/>
  <c r="D44" i="16"/>
  <c r="D56" i="16" s="1"/>
  <c r="F10" i="45" s="1"/>
  <c r="C44" i="16"/>
  <c r="C56" i="16" s="1"/>
  <c r="E10" i="45" s="1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I44" i="16"/>
  <c r="I56" i="16" s="1"/>
  <c r="K10" i="45" s="1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55" i="15"/>
  <c r="K54" i="15"/>
  <c r="K53" i="15"/>
  <c r="K52" i="15"/>
  <c r="K51" i="15"/>
  <c r="K50" i="15"/>
  <c r="K49" i="15"/>
  <c r="K48" i="15"/>
  <c r="K47" i="15"/>
  <c r="K46" i="15"/>
  <c r="K45" i="15"/>
  <c r="J44" i="15"/>
  <c r="J56" i="15" s="1"/>
  <c r="L11" i="45" s="1"/>
  <c r="H44" i="15"/>
  <c r="H56" i="15" s="1"/>
  <c r="J11" i="45" s="1"/>
  <c r="G44" i="15"/>
  <c r="G56" i="15" s="1"/>
  <c r="I11" i="45" s="1"/>
  <c r="F44" i="15"/>
  <c r="F56" i="15" s="1"/>
  <c r="H11" i="45" s="1"/>
  <c r="E44" i="15"/>
  <c r="E56" i="15" s="1"/>
  <c r="G11" i="45" s="1"/>
  <c r="D44" i="15"/>
  <c r="D56" i="15" s="1"/>
  <c r="F11" i="45" s="1"/>
  <c r="C44" i="15"/>
  <c r="C56" i="15" s="1"/>
  <c r="E11" i="45" s="1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I44" i="15"/>
  <c r="I56" i="15" s="1"/>
  <c r="K11" i="45" s="1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55" i="14"/>
  <c r="K54" i="14"/>
  <c r="K53" i="14"/>
  <c r="K52" i="14"/>
  <c r="K51" i="14"/>
  <c r="K50" i="14"/>
  <c r="K49" i="14"/>
  <c r="K48" i="14"/>
  <c r="K47" i="14"/>
  <c r="K46" i="14"/>
  <c r="K45" i="14"/>
  <c r="J44" i="14"/>
  <c r="J56" i="14" s="1"/>
  <c r="L12" i="45" s="1"/>
  <c r="H44" i="14"/>
  <c r="H56" i="14" s="1"/>
  <c r="J12" i="45" s="1"/>
  <c r="G44" i="14"/>
  <c r="G56" i="14" s="1"/>
  <c r="I12" i="45" s="1"/>
  <c r="F44" i="14"/>
  <c r="F56" i="14" s="1"/>
  <c r="H12" i="45" s="1"/>
  <c r="E44" i="14"/>
  <c r="E56" i="14" s="1"/>
  <c r="G12" i="45" s="1"/>
  <c r="D44" i="14"/>
  <c r="D56" i="14" s="1"/>
  <c r="F12" i="45" s="1"/>
  <c r="C44" i="14"/>
  <c r="C56" i="14" s="1"/>
  <c r="E12" i="45" s="1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I44" i="14"/>
  <c r="I56" i="14" s="1"/>
  <c r="K12" i="45" s="1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55" i="13"/>
  <c r="K54" i="13"/>
  <c r="K53" i="13"/>
  <c r="K52" i="13"/>
  <c r="K51" i="13"/>
  <c r="K50" i="13"/>
  <c r="K49" i="13"/>
  <c r="K48" i="13"/>
  <c r="K47" i="13"/>
  <c r="K46" i="13"/>
  <c r="K45" i="13"/>
  <c r="J44" i="13"/>
  <c r="J56" i="13" s="1"/>
  <c r="L9" i="45" s="1"/>
  <c r="H44" i="13"/>
  <c r="H56" i="13" s="1"/>
  <c r="J9" i="45" s="1"/>
  <c r="G44" i="13"/>
  <c r="G56" i="13" s="1"/>
  <c r="I9" i="45" s="1"/>
  <c r="F44" i="13"/>
  <c r="F56" i="13" s="1"/>
  <c r="H9" i="45" s="1"/>
  <c r="E44" i="13"/>
  <c r="E56" i="13" s="1"/>
  <c r="G9" i="45" s="1"/>
  <c r="D44" i="13"/>
  <c r="D56" i="13" s="1"/>
  <c r="F9" i="45" s="1"/>
  <c r="C44" i="13"/>
  <c r="C56" i="13" s="1"/>
  <c r="E9" i="45" s="1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I44" i="13"/>
  <c r="I56" i="13" s="1"/>
  <c r="K9" i="45" s="1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55" i="12"/>
  <c r="K54" i="12"/>
  <c r="K53" i="12"/>
  <c r="K52" i="12"/>
  <c r="K51" i="12"/>
  <c r="K50" i="12"/>
  <c r="K49" i="12"/>
  <c r="K48" i="12"/>
  <c r="K47" i="12"/>
  <c r="K46" i="12"/>
  <c r="K45" i="12"/>
  <c r="J44" i="12"/>
  <c r="J56" i="12" s="1"/>
  <c r="L8" i="45" s="1"/>
  <c r="H44" i="12"/>
  <c r="H56" i="12" s="1"/>
  <c r="J8" i="45" s="1"/>
  <c r="G44" i="12"/>
  <c r="G56" i="12" s="1"/>
  <c r="I8" i="45" s="1"/>
  <c r="F44" i="12"/>
  <c r="F56" i="12" s="1"/>
  <c r="H8" i="45" s="1"/>
  <c r="E44" i="12"/>
  <c r="E56" i="12" s="1"/>
  <c r="G8" i="45" s="1"/>
  <c r="D44" i="12"/>
  <c r="D56" i="12" s="1"/>
  <c r="F8" i="45" s="1"/>
  <c r="C44" i="12"/>
  <c r="C56" i="12" s="1"/>
  <c r="E8" i="45" s="1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I44" i="12"/>
  <c r="I56" i="12" s="1"/>
  <c r="K8" i="45" s="1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55" i="11"/>
  <c r="K54" i="11"/>
  <c r="K53" i="11"/>
  <c r="K52" i="11"/>
  <c r="K51" i="11"/>
  <c r="K50" i="11"/>
  <c r="K49" i="11"/>
  <c r="K48" i="11"/>
  <c r="K47" i="11"/>
  <c r="K46" i="11"/>
  <c r="K45" i="11"/>
  <c r="J44" i="11"/>
  <c r="J56" i="11" s="1"/>
  <c r="L7" i="45" s="1"/>
  <c r="H44" i="11"/>
  <c r="H56" i="11" s="1"/>
  <c r="J7" i="45" s="1"/>
  <c r="G44" i="11"/>
  <c r="G56" i="11" s="1"/>
  <c r="I7" i="45" s="1"/>
  <c r="F44" i="11"/>
  <c r="F56" i="11" s="1"/>
  <c r="H7" i="45" s="1"/>
  <c r="E44" i="11"/>
  <c r="E56" i="11" s="1"/>
  <c r="G7" i="45" s="1"/>
  <c r="D44" i="11"/>
  <c r="D56" i="11" s="1"/>
  <c r="F7" i="45" s="1"/>
  <c r="C44" i="11"/>
  <c r="C56" i="11" s="1"/>
  <c r="E7" i="45" s="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I44" i="11"/>
  <c r="I56" i="11" s="1"/>
  <c r="K7" i="45" s="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55" i="10"/>
  <c r="K54" i="10"/>
  <c r="K53" i="10"/>
  <c r="K52" i="10"/>
  <c r="K51" i="10"/>
  <c r="K50" i="10"/>
  <c r="K49" i="10"/>
  <c r="K48" i="10"/>
  <c r="K47" i="10"/>
  <c r="K46" i="10"/>
  <c r="K45" i="10"/>
  <c r="J44" i="10"/>
  <c r="J56" i="10" s="1"/>
  <c r="L5" i="45" s="1"/>
  <c r="H44" i="10"/>
  <c r="H56" i="10" s="1"/>
  <c r="J5" i="45" s="1"/>
  <c r="G44" i="10"/>
  <c r="G56" i="10" s="1"/>
  <c r="I5" i="45" s="1"/>
  <c r="F44" i="10"/>
  <c r="F56" i="10" s="1"/>
  <c r="H5" i="45" s="1"/>
  <c r="E44" i="10"/>
  <c r="E56" i="10" s="1"/>
  <c r="G5" i="45" s="1"/>
  <c r="D44" i="10"/>
  <c r="D56" i="10" s="1"/>
  <c r="F5" i="45" s="1"/>
  <c r="C44" i="10"/>
  <c r="C56" i="10" s="1"/>
  <c r="E5" i="45" s="1"/>
  <c r="K43" i="10"/>
  <c r="I44" i="10"/>
  <c r="I56" i="10" s="1"/>
  <c r="K5" i="45" s="1"/>
  <c r="B11" i="50" l="1"/>
  <c r="H40" i="49"/>
  <c r="C68" i="46"/>
  <c r="M29" i="45"/>
  <c r="L30" i="45"/>
  <c r="K25" i="46"/>
  <c r="C56" i="46"/>
  <c r="K27" i="10"/>
  <c r="K25" i="10"/>
  <c r="K7" i="46"/>
  <c r="F44" i="46"/>
  <c r="F56" i="46" s="1"/>
  <c r="B41" i="49"/>
  <c r="C64" i="46"/>
  <c r="K14" i="46"/>
  <c r="M17" i="45"/>
  <c r="M19" i="45"/>
  <c r="M22" i="45"/>
  <c r="M23" i="45"/>
  <c r="M24" i="45"/>
  <c r="M27" i="45"/>
  <c r="M31" i="45"/>
  <c r="M33" i="45"/>
  <c r="M34" i="45"/>
  <c r="M35" i="45"/>
  <c r="M38" i="45"/>
  <c r="M39" i="45"/>
  <c r="K50" i="35"/>
  <c r="M25" i="45"/>
  <c r="M21" i="45"/>
  <c r="M20" i="45"/>
  <c r="M26" i="45"/>
  <c r="M8" i="45"/>
  <c r="M12" i="45"/>
  <c r="M11" i="45"/>
  <c r="M13" i="45"/>
  <c r="M32" i="45"/>
  <c r="M30" i="45"/>
  <c r="M18" i="45"/>
  <c r="M16" i="45"/>
  <c r="M14" i="45"/>
  <c r="M10" i="45"/>
  <c r="M7" i="45"/>
  <c r="M9" i="45"/>
  <c r="K14" i="10"/>
  <c r="C72" i="44"/>
  <c r="K56" i="44"/>
  <c r="D72" i="44" s="1"/>
  <c r="C62" i="44"/>
  <c r="D64" i="44"/>
  <c r="C64" i="44"/>
  <c r="D68" i="44"/>
  <c r="C68" i="44"/>
  <c r="C75" i="44"/>
  <c r="D63" i="44"/>
  <c r="C63" i="44"/>
  <c r="D67" i="44"/>
  <c r="D69" i="44" s="1"/>
  <c r="C67" i="44"/>
  <c r="C69" i="44" s="1"/>
  <c r="D71" i="44"/>
  <c r="C71" i="44"/>
  <c r="K44" i="44"/>
  <c r="C72" i="43"/>
  <c r="K56" i="43"/>
  <c r="D72" i="43" s="1"/>
  <c r="C62" i="43"/>
  <c r="D64" i="43"/>
  <c r="C64" i="43"/>
  <c r="D68" i="43"/>
  <c r="C68" i="43"/>
  <c r="C75" i="43"/>
  <c r="D63" i="43"/>
  <c r="C63" i="43"/>
  <c r="D67" i="43"/>
  <c r="D69" i="43" s="1"/>
  <c r="C67" i="43"/>
  <c r="C69" i="43" s="1"/>
  <c r="D71" i="43"/>
  <c r="C71" i="43"/>
  <c r="K44" i="43"/>
  <c r="C62" i="42"/>
  <c r="C64" i="42"/>
  <c r="C68" i="42"/>
  <c r="C75" i="42"/>
  <c r="C63" i="42"/>
  <c r="C67" i="42"/>
  <c r="C71" i="42"/>
  <c r="I44" i="42"/>
  <c r="I56" i="42" s="1"/>
  <c r="K37" i="45" s="1"/>
  <c r="M37" i="45" s="1"/>
  <c r="C62" i="41"/>
  <c r="C64" i="41"/>
  <c r="C68" i="41"/>
  <c r="C75" i="41"/>
  <c r="C63" i="41"/>
  <c r="C67" i="41"/>
  <c r="C71" i="41"/>
  <c r="I44" i="41"/>
  <c r="I56" i="41" s="1"/>
  <c r="K36" i="45" s="1"/>
  <c r="M36" i="45" s="1"/>
  <c r="C72" i="40"/>
  <c r="K56" i="40"/>
  <c r="D72" i="40" s="1"/>
  <c r="C62" i="40"/>
  <c r="D64" i="40"/>
  <c r="C64" i="40"/>
  <c r="C68" i="40"/>
  <c r="D75" i="40"/>
  <c r="C75" i="40"/>
  <c r="D63" i="40"/>
  <c r="C63" i="40"/>
  <c r="D67" i="40"/>
  <c r="C67" i="40"/>
  <c r="C69" i="40" s="1"/>
  <c r="D71" i="40"/>
  <c r="C71" i="40"/>
  <c r="K44" i="40"/>
  <c r="C72" i="39"/>
  <c r="K56" i="39"/>
  <c r="D72" i="39" s="1"/>
  <c r="C62" i="39"/>
  <c r="D64" i="39"/>
  <c r="C64" i="39"/>
  <c r="C68" i="39"/>
  <c r="D75" i="39"/>
  <c r="C75" i="39"/>
  <c r="D63" i="39"/>
  <c r="C63" i="39"/>
  <c r="D67" i="39"/>
  <c r="C67" i="39"/>
  <c r="C69" i="39" s="1"/>
  <c r="D71" i="39"/>
  <c r="C71" i="39"/>
  <c r="K44" i="39"/>
  <c r="C72" i="38"/>
  <c r="K56" i="38"/>
  <c r="D72" i="38" s="1"/>
  <c r="C62" i="38"/>
  <c r="D64" i="38"/>
  <c r="C64" i="38"/>
  <c r="C68" i="38"/>
  <c r="D75" i="38"/>
  <c r="C75" i="38"/>
  <c r="D63" i="38"/>
  <c r="C63" i="38"/>
  <c r="D67" i="38"/>
  <c r="C67" i="38"/>
  <c r="C69" i="38" s="1"/>
  <c r="D71" i="38"/>
  <c r="C71" i="38"/>
  <c r="K44" i="38"/>
  <c r="C72" i="37"/>
  <c r="K56" i="37"/>
  <c r="D72" i="37" s="1"/>
  <c r="C62" i="37"/>
  <c r="D64" i="37"/>
  <c r="C64" i="37"/>
  <c r="C68" i="37"/>
  <c r="D75" i="37"/>
  <c r="C75" i="37"/>
  <c r="D63" i="37"/>
  <c r="C63" i="37"/>
  <c r="D67" i="37"/>
  <c r="C67" i="37"/>
  <c r="C69" i="37" s="1"/>
  <c r="C71" i="37"/>
  <c r="K44" i="37"/>
  <c r="C72" i="36"/>
  <c r="K56" i="36"/>
  <c r="D72" i="36" s="1"/>
  <c r="C62" i="36"/>
  <c r="D64" i="36"/>
  <c r="C64" i="36"/>
  <c r="C68" i="36"/>
  <c r="D75" i="36"/>
  <c r="C75" i="36"/>
  <c r="D63" i="36"/>
  <c r="C63" i="36"/>
  <c r="D67" i="36"/>
  <c r="C67" i="36"/>
  <c r="C69" i="36" s="1"/>
  <c r="C71" i="36"/>
  <c r="K44" i="36"/>
  <c r="C72" i="35"/>
  <c r="K56" i="35"/>
  <c r="D72" i="35" s="1"/>
  <c r="C62" i="35"/>
  <c r="D64" i="35"/>
  <c r="C64" i="35"/>
  <c r="C68" i="35"/>
  <c r="D75" i="35"/>
  <c r="C75" i="35"/>
  <c r="D63" i="35"/>
  <c r="C63" i="35"/>
  <c r="D67" i="35"/>
  <c r="C67" i="35"/>
  <c r="C69" i="35" s="1"/>
  <c r="C71" i="35"/>
  <c r="K44" i="35"/>
  <c r="C72" i="34"/>
  <c r="K56" i="34"/>
  <c r="D72" i="34" s="1"/>
  <c r="C62" i="34"/>
  <c r="D64" i="34"/>
  <c r="C64" i="34"/>
  <c r="C68" i="34"/>
  <c r="D75" i="34"/>
  <c r="C75" i="34"/>
  <c r="D63" i="34"/>
  <c r="C63" i="34"/>
  <c r="D67" i="34"/>
  <c r="C67" i="34"/>
  <c r="C69" i="34" s="1"/>
  <c r="C71" i="34"/>
  <c r="K44" i="34"/>
  <c r="C72" i="32"/>
  <c r="K56" i="32"/>
  <c r="D72" i="32" s="1"/>
  <c r="C62" i="32"/>
  <c r="D64" i="32"/>
  <c r="C64" i="32"/>
  <c r="C68" i="32"/>
  <c r="D75" i="32"/>
  <c r="C75" i="32"/>
  <c r="D63" i="32"/>
  <c r="C63" i="32"/>
  <c r="D67" i="32"/>
  <c r="C67" i="32"/>
  <c r="C69" i="32" s="1"/>
  <c r="C71" i="32"/>
  <c r="K44" i="32"/>
  <c r="C72" i="30"/>
  <c r="K56" i="30"/>
  <c r="D72" i="30" s="1"/>
  <c r="C62" i="30"/>
  <c r="D64" i="30"/>
  <c r="C64" i="30"/>
  <c r="C68" i="30"/>
  <c r="D75" i="30"/>
  <c r="C75" i="30"/>
  <c r="D63" i="30"/>
  <c r="C63" i="30"/>
  <c r="D67" i="30"/>
  <c r="C67" i="30"/>
  <c r="C69" i="30" s="1"/>
  <c r="C71" i="30"/>
  <c r="K44" i="30"/>
  <c r="C72" i="29"/>
  <c r="K56" i="29"/>
  <c r="D72" i="29" s="1"/>
  <c r="C62" i="29"/>
  <c r="D64" i="29"/>
  <c r="C64" i="29"/>
  <c r="C68" i="29"/>
  <c r="D75" i="29"/>
  <c r="C75" i="29"/>
  <c r="D63" i="29"/>
  <c r="C63" i="29"/>
  <c r="D67" i="29"/>
  <c r="C67" i="29"/>
  <c r="C69" i="29" s="1"/>
  <c r="C71" i="29"/>
  <c r="K44" i="29"/>
  <c r="C72" i="28"/>
  <c r="K56" i="28"/>
  <c r="D72" i="28" s="1"/>
  <c r="C62" i="28"/>
  <c r="C64" i="28"/>
  <c r="C68" i="28"/>
  <c r="C75" i="28"/>
  <c r="C63" i="28"/>
  <c r="C67" i="28"/>
  <c r="C71" i="28"/>
  <c r="K44" i="28"/>
  <c r="C72" i="27"/>
  <c r="K56" i="27"/>
  <c r="D72" i="27" s="1"/>
  <c r="C62" i="27"/>
  <c r="C64" i="27"/>
  <c r="C68" i="27"/>
  <c r="C75" i="27"/>
  <c r="D63" i="27"/>
  <c r="C63" i="27"/>
  <c r="C67" i="27"/>
  <c r="D71" i="27"/>
  <c r="C71" i="27"/>
  <c r="K44" i="27"/>
  <c r="C72" i="26"/>
  <c r="K56" i="26"/>
  <c r="D72" i="26" s="1"/>
  <c r="C62" i="26"/>
  <c r="C64" i="26"/>
  <c r="C68" i="26"/>
  <c r="C75" i="26"/>
  <c r="D63" i="26"/>
  <c r="C63" i="26"/>
  <c r="C67" i="26"/>
  <c r="C71" i="26"/>
  <c r="C73" i="26" s="1"/>
  <c r="K44" i="26"/>
  <c r="C72" i="25"/>
  <c r="K56" i="25"/>
  <c r="D72" i="25" s="1"/>
  <c r="C62" i="25"/>
  <c r="C64" i="25"/>
  <c r="C68" i="25"/>
  <c r="C75" i="25"/>
  <c r="D63" i="25"/>
  <c r="C63" i="25"/>
  <c r="C67" i="25"/>
  <c r="C71" i="25"/>
  <c r="C73" i="25" s="1"/>
  <c r="K44" i="25"/>
  <c r="C72" i="24"/>
  <c r="K56" i="24"/>
  <c r="D72" i="24" s="1"/>
  <c r="C62" i="24"/>
  <c r="C64" i="24"/>
  <c r="C68" i="24"/>
  <c r="C75" i="24"/>
  <c r="D63" i="24"/>
  <c r="C63" i="24"/>
  <c r="C67" i="24"/>
  <c r="C71" i="24"/>
  <c r="K44" i="24"/>
  <c r="C72" i="23"/>
  <c r="K56" i="23"/>
  <c r="D72" i="23" s="1"/>
  <c r="C62" i="23"/>
  <c r="C64" i="23"/>
  <c r="D68" i="23"/>
  <c r="C68" i="23"/>
  <c r="C75" i="23"/>
  <c r="D63" i="23"/>
  <c r="C63" i="23"/>
  <c r="C67" i="23"/>
  <c r="C71" i="23"/>
  <c r="K44" i="23"/>
  <c r="C72" i="22"/>
  <c r="K56" i="22"/>
  <c r="D72" i="22" s="1"/>
  <c r="C62" i="22"/>
  <c r="C64" i="22"/>
  <c r="C68" i="22"/>
  <c r="C75" i="22"/>
  <c r="C63" i="22"/>
  <c r="C67" i="22"/>
  <c r="C69" i="22" s="1"/>
  <c r="C71" i="22"/>
  <c r="C73" i="22" s="1"/>
  <c r="K44" i="22"/>
  <c r="C72" i="21"/>
  <c r="K56" i="21"/>
  <c r="D72" i="21" s="1"/>
  <c r="C62" i="21"/>
  <c r="D64" i="21"/>
  <c r="C64" i="21"/>
  <c r="D68" i="21"/>
  <c r="C68" i="21"/>
  <c r="D75" i="21"/>
  <c r="C75" i="21"/>
  <c r="D63" i="21"/>
  <c r="C63" i="21"/>
  <c r="D67" i="21"/>
  <c r="D69" i="21" s="1"/>
  <c r="C67" i="21"/>
  <c r="C69" i="21" s="1"/>
  <c r="D71" i="21"/>
  <c r="C71" i="21"/>
  <c r="K44" i="21"/>
  <c r="C72" i="20"/>
  <c r="K56" i="20"/>
  <c r="D72" i="20" s="1"/>
  <c r="C62" i="20"/>
  <c r="D64" i="20"/>
  <c r="C64" i="20"/>
  <c r="D68" i="20"/>
  <c r="C68" i="20"/>
  <c r="D75" i="20"/>
  <c r="C75" i="20"/>
  <c r="D63" i="20"/>
  <c r="C63" i="20"/>
  <c r="D67" i="20"/>
  <c r="D69" i="20" s="1"/>
  <c r="C67" i="20"/>
  <c r="C69" i="20" s="1"/>
  <c r="D71" i="20"/>
  <c r="C71" i="20"/>
  <c r="K44" i="20"/>
  <c r="C72" i="19"/>
  <c r="K56" i="19"/>
  <c r="D72" i="19" s="1"/>
  <c r="C62" i="19"/>
  <c r="C64" i="19"/>
  <c r="C68" i="19"/>
  <c r="C75" i="19"/>
  <c r="C63" i="19"/>
  <c r="C67" i="19"/>
  <c r="C69" i="19" s="1"/>
  <c r="C71" i="19"/>
  <c r="C73" i="19" s="1"/>
  <c r="K44" i="19"/>
  <c r="C72" i="18"/>
  <c r="K56" i="18"/>
  <c r="D72" i="18" s="1"/>
  <c r="C62" i="18"/>
  <c r="C64" i="18"/>
  <c r="C68" i="18"/>
  <c r="C75" i="18"/>
  <c r="C63" i="18"/>
  <c r="C67" i="18"/>
  <c r="C71" i="18"/>
  <c r="C73" i="18" s="1"/>
  <c r="K44" i="18"/>
  <c r="C72" i="17"/>
  <c r="K56" i="17"/>
  <c r="D72" i="17" s="1"/>
  <c r="C62" i="17"/>
  <c r="C64" i="17"/>
  <c r="C68" i="17"/>
  <c r="C75" i="17"/>
  <c r="C63" i="17"/>
  <c r="C67" i="17"/>
  <c r="C69" i="17" s="1"/>
  <c r="C71" i="17"/>
  <c r="C73" i="17" s="1"/>
  <c r="K44" i="17"/>
  <c r="C72" i="16"/>
  <c r="K56" i="16"/>
  <c r="D72" i="16" s="1"/>
  <c r="C62" i="16"/>
  <c r="C64" i="16"/>
  <c r="C68" i="16"/>
  <c r="C75" i="16"/>
  <c r="C63" i="16"/>
  <c r="C67" i="16"/>
  <c r="C69" i="16" s="1"/>
  <c r="C71" i="16"/>
  <c r="C73" i="16" s="1"/>
  <c r="K44" i="16"/>
  <c r="C72" i="15"/>
  <c r="K56" i="15"/>
  <c r="D72" i="15" s="1"/>
  <c r="C62" i="15"/>
  <c r="C64" i="15"/>
  <c r="C68" i="15"/>
  <c r="C75" i="15"/>
  <c r="C63" i="15"/>
  <c r="C67" i="15"/>
  <c r="C69" i="15" s="1"/>
  <c r="C71" i="15"/>
  <c r="C73" i="15" s="1"/>
  <c r="K44" i="15"/>
  <c r="C63" i="14"/>
  <c r="C72" i="14"/>
  <c r="K56" i="14"/>
  <c r="D63" i="14" s="1"/>
  <c r="C62" i="14"/>
  <c r="C64" i="14"/>
  <c r="D68" i="14"/>
  <c r="C68" i="14"/>
  <c r="C75" i="14"/>
  <c r="D67" i="14"/>
  <c r="C67" i="14"/>
  <c r="C69" i="14" s="1"/>
  <c r="C71" i="14"/>
  <c r="C73" i="14" s="1"/>
  <c r="K44" i="14"/>
  <c r="C72" i="13"/>
  <c r="K56" i="13"/>
  <c r="D72" i="13" s="1"/>
  <c r="C62" i="13"/>
  <c r="C64" i="13"/>
  <c r="C68" i="13"/>
  <c r="C75" i="13"/>
  <c r="C63" i="13"/>
  <c r="C67" i="13"/>
  <c r="C69" i="13" s="1"/>
  <c r="C71" i="13"/>
  <c r="C73" i="13" s="1"/>
  <c r="K44" i="13"/>
  <c r="C67" i="12"/>
  <c r="C71" i="12"/>
  <c r="C72" i="12"/>
  <c r="K56" i="12"/>
  <c r="D67" i="12" s="1"/>
  <c r="C62" i="12"/>
  <c r="C64" i="12"/>
  <c r="C68" i="12"/>
  <c r="C75" i="12"/>
  <c r="C63" i="12"/>
  <c r="K44" i="12"/>
  <c r="C72" i="11"/>
  <c r="K56" i="11"/>
  <c r="D72" i="11" s="1"/>
  <c r="C62" i="11"/>
  <c r="C64" i="11"/>
  <c r="C68" i="11"/>
  <c r="C75" i="11"/>
  <c r="C63" i="11"/>
  <c r="C67" i="11"/>
  <c r="C69" i="11" s="1"/>
  <c r="C71" i="11"/>
  <c r="C73" i="11" s="1"/>
  <c r="K44" i="11"/>
  <c r="C72" i="10"/>
  <c r="K56" i="10"/>
  <c r="D72" i="10" s="1"/>
  <c r="C62" i="10"/>
  <c r="C64" i="10"/>
  <c r="C68" i="10"/>
  <c r="C75" i="10"/>
  <c r="C63" i="10"/>
  <c r="C67" i="10"/>
  <c r="C71" i="10"/>
  <c r="C73" i="10" s="1"/>
  <c r="K44" i="10"/>
  <c r="I27" i="8"/>
  <c r="I27" i="46" s="1"/>
  <c r="K27" i="46" l="1"/>
  <c r="I44" i="46"/>
  <c r="D67" i="23"/>
  <c r="D69" i="23" s="1"/>
  <c r="D64" i="23"/>
  <c r="D67" i="24"/>
  <c r="D69" i="24" s="1"/>
  <c r="D64" i="24"/>
  <c r="D67" i="25"/>
  <c r="D64" i="25"/>
  <c r="D67" i="26"/>
  <c r="D64" i="26"/>
  <c r="D67" i="27"/>
  <c r="D64" i="27"/>
  <c r="D71" i="29"/>
  <c r="D68" i="29"/>
  <c r="D71" i="30"/>
  <c r="D68" i="30"/>
  <c r="D71" i="32"/>
  <c r="D68" i="32"/>
  <c r="D71" i="34"/>
  <c r="D68" i="34"/>
  <c r="D69" i="34" s="1"/>
  <c r="D71" i="35"/>
  <c r="D68" i="35"/>
  <c r="D69" i="35" s="1"/>
  <c r="D71" i="36"/>
  <c r="D68" i="36"/>
  <c r="D69" i="36" s="1"/>
  <c r="D71" i="37"/>
  <c r="D68" i="37"/>
  <c r="D68" i="38"/>
  <c r="D68" i="39"/>
  <c r="D68" i="40"/>
  <c r="D69" i="29"/>
  <c r="D69" i="30"/>
  <c r="D69" i="32"/>
  <c r="D69" i="37"/>
  <c r="D69" i="38"/>
  <c r="D69" i="39"/>
  <c r="D69" i="40"/>
  <c r="D71" i="14"/>
  <c r="D64" i="14"/>
  <c r="C73" i="21"/>
  <c r="D75" i="23"/>
  <c r="D75" i="24"/>
  <c r="D75" i="25"/>
  <c r="D75" i="26"/>
  <c r="D75" i="27"/>
  <c r="B39" i="49"/>
  <c r="B42" i="49" s="1"/>
  <c r="C62" i="46"/>
  <c r="C65" i="46" s="1"/>
  <c r="D71" i="23"/>
  <c r="D71" i="24"/>
  <c r="D68" i="24"/>
  <c r="D71" i="25"/>
  <c r="D68" i="25"/>
  <c r="D71" i="26"/>
  <c r="D68" i="26"/>
  <c r="D68" i="27"/>
  <c r="C69" i="28"/>
  <c r="D75" i="43"/>
  <c r="D75" i="44"/>
  <c r="D75" i="14"/>
  <c r="C69" i="23"/>
  <c r="C69" i="24"/>
  <c r="C69" i="25"/>
  <c r="C69" i="26"/>
  <c r="C69" i="27"/>
  <c r="C73" i="32"/>
  <c r="C73" i="35"/>
  <c r="C73" i="36"/>
  <c r="C73" i="37"/>
  <c r="C73" i="39"/>
  <c r="B10" i="50"/>
  <c r="H39" i="49"/>
  <c r="H41" i="49" s="1"/>
  <c r="C67" i="46"/>
  <c r="C69" i="46" s="1"/>
  <c r="D71" i="28"/>
  <c r="D73" i="28" s="1"/>
  <c r="D67" i="28"/>
  <c r="D63" i="28"/>
  <c r="D75" i="28"/>
  <c r="D68" i="28"/>
  <c r="D64" i="28"/>
  <c r="C69" i="42"/>
  <c r="C69" i="41"/>
  <c r="C69" i="18"/>
  <c r="C69" i="10"/>
  <c r="D62" i="39"/>
  <c r="D65" i="39" s="1"/>
  <c r="D62" i="36"/>
  <c r="D65" i="36" s="1"/>
  <c r="C73" i="44"/>
  <c r="D62" i="44"/>
  <c r="D65" i="44" s="1"/>
  <c r="C73" i="40"/>
  <c r="D62" i="40"/>
  <c r="D65" i="40" s="1"/>
  <c r="C73" i="38"/>
  <c r="D62" i="38"/>
  <c r="D65" i="38" s="1"/>
  <c r="D62" i="37"/>
  <c r="D65" i="37" s="1"/>
  <c r="D69" i="27"/>
  <c r="D69" i="26"/>
  <c r="D62" i="26"/>
  <c r="D65" i="26" s="1"/>
  <c r="C73" i="30"/>
  <c r="D62" i="30"/>
  <c r="D65" i="30" s="1"/>
  <c r="C73" i="29"/>
  <c r="D62" i="29"/>
  <c r="D65" i="29" s="1"/>
  <c r="C73" i="28"/>
  <c r="D62" i="28"/>
  <c r="C73" i="27"/>
  <c r="D62" i="27"/>
  <c r="D65" i="27" s="1"/>
  <c r="D69" i="25"/>
  <c r="D62" i="25"/>
  <c r="D65" i="25" s="1"/>
  <c r="C73" i="24"/>
  <c r="D62" i="24"/>
  <c r="D65" i="24" s="1"/>
  <c r="C73" i="23"/>
  <c r="D62" i="23"/>
  <c r="D65" i="23" s="1"/>
  <c r="D71" i="22"/>
  <c r="D73" i="22" s="1"/>
  <c r="D67" i="22"/>
  <c r="D63" i="22"/>
  <c r="D75" i="22"/>
  <c r="D68" i="22"/>
  <c r="D64" i="22"/>
  <c r="D71" i="19"/>
  <c r="D73" i="19" s="1"/>
  <c r="D67" i="19"/>
  <c r="D63" i="19"/>
  <c r="D75" i="19"/>
  <c r="D68" i="19"/>
  <c r="D64" i="19"/>
  <c r="D71" i="18"/>
  <c r="D67" i="18"/>
  <c r="D63" i="18"/>
  <c r="D75" i="18"/>
  <c r="D68" i="18"/>
  <c r="D64" i="18"/>
  <c r="D71" i="17"/>
  <c r="D73" i="17" s="1"/>
  <c r="D67" i="17"/>
  <c r="D63" i="17"/>
  <c r="D75" i="17"/>
  <c r="D68" i="17"/>
  <c r="D64" i="17"/>
  <c r="D69" i="14"/>
  <c r="D71" i="15"/>
  <c r="D73" i="15" s="1"/>
  <c r="D67" i="15"/>
  <c r="D63" i="15"/>
  <c r="D75" i="15"/>
  <c r="D68" i="15"/>
  <c r="D64" i="15"/>
  <c r="D62" i="22"/>
  <c r="D62" i="21"/>
  <c r="D65" i="21" s="1"/>
  <c r="C73" i="20"/>
  <c r="D62" i="20"/>
  <c r="D65" i="20" s="1"/>
  <c r="D62" i="19"/>
  <c r="D62" i="18"/>
  <c r="D62" i="17"/>
  <c r="D62" i="14"/>
  <c r="D65" i="14" s="1"/>
  <c r="D72" i="14"/>
  <c r="D62" i="15"/>
  <c r="D71" i="16"/>
  <c r="D67" i="16"/>
  <c r="D63" i="16"/>
  <c r="D75" i="16"/>
  <c r="D68" i="16"/>
  <c r="D64" i="16"/>
  <c r="D62" i="16"/>
  <c r="D71" i="13"/>
  <c r="D73" i="13" s="1"/>
  <c r="D67" i="13"/>
  <c r="D63" i="13"/>
  <c r="D75" i="13"/>
  <c r="D68" i="13"/>
  <c r="D64" i="13"/>
  <c r="D62" i="13"/>
  <c r="D63" i="12"/>
  <c r="D75" i="12"/>
  <c r="D68" i="12"/>
  <c r="D69" i="12" s="1"/>
  <c r="D64" i="12"/>
  <c r="D62" i="12"/>
  <c r="D72" i="12"/>
  <c r="D71" i="12"/>
  <c r="D71" i="11"/>
  <c r="D73" i="11" s="1"/>
  <c r="D67" i="11"/>
  <c r="D63" i="11"/>
  <c r="D75" i="11"/>
  <c r="D68" i="11"/>
  <c r="D69" i="11" s="1"/>
  <c r="D64" i="11"/>
  <c r="D62" i="11"/>
  <c r="D71" i="10"/>
  <c r="D73" i="10" s="1"/>
  <c r="D67" i="10"/>
  <c r="D63" i="10"/>
  <c r="D75" i="10"/>
  <c r="D68" i="10"/>
  <c r="D64" i="10"/>
  <c r="D73" i="44"/>
  <c r="D76" i="44" s="1"/>
  <c r="C65" i="44"/>
  <c r="C76" i="44" s="1"/>
  <c r="D73" i="43"/>
  <c r="C73" i="43"/>
  <c r="C65" i="43"/>
  <c r="D62" i="43"/>
  <c r="D65" i="43" s="1"/>
  <c r="C72" i="42"/>
  <c r="C73" i="42" s="1"/>
  <c r="K44" i="42"/>
  <c r="K56" i="42"/>
  <c r="D72" i="42" s="1"/>
  <c r="C65" i="42"/>
  <c r="C72" i="41"/>
  <c r="C73" i="41" s="1"/>
  <c r="K44" i="41"/>
  <c r="K56" i="41"/>
  <c r="D72" i="41" s="1"/>
  <c r="C65" i="41"/>
  <c r="D73" i="40"/>
  <c r="C65" i="40"/>
  <c r="D73" i="39"/>
  <c r="C65" i="39"/>
  <c r="C76" i="39" s="1"/>
  <c r="D73" i="38"/>
  <c r="C65" i="38"/>
  <c r="D73" i="37"/>
  <c r="C65" i="37"/>
  <c r="C76" i="37" s="1"/>
  <c r="D73" i="36"/>
  <c r="C65" i="36"/>
  <c r="C76" i="36" s="1"/>
  <c r="D73" i="35"/>
  <c r="C65" i="35"/>
  <c r="C76" i="35" s="1"/>
  <c r="D62" i="35"/>
  <c r="D65" i="35" s="1"/>
  <c r="D73" i="34"/>
  <c r="C73" i="34"/>
  <c r="C65" i="34"/>
  <c r="D62" i="34"/>
  <c r="D65" i="34" s="1"/>
  <c r="D73" i="32"/>
  <c r="C65" i="32"/>
  <c r="C76" i="32" s="1"/>
  <c r="D62" i="32"/>
  <c r="D65" i="32" s="1"/>
  <c r="D73" i="30"/>
  <c r="C65" i="30"/>
  <c r="C76" i="30" s="1"/>
  <c r="D73" i="29"/>
  <c r="C65" i="29"/>
  <c r="C65" i="28"/>
  <c r="D73" i="27"/>
  <c r="D76" i="27" s="1"/>
  <c r="C65" i="27"/>
  <c r="C76" i="27" s="1"/>
  <c r="D73" i="26"/>
  <c r="C65" i="26"/>
  <c r="C76" i="26" s="1"/>
  <c r="D73" i="25"/>
  <c r="C65" i="25"/>
  <c r="C76" i="25" s="1"/>
  <c r="D73" i="24"/>
  <c r="D76" i="24" s="1"/>
  <c r="C65" i="24"/>
  <c r="D73" i="23"/>
  <c r="C65" i="23"/>
  <c r="C76" i="23" s="1"/>
  <c r="C65" i="22"/>
  <c r="C76" i="22" s="1"/>
  <c r="D73" i="21"/>
  <c r="D76" i="21" s="1"/>
  <c r="C65" i="21"/>
  <c r="C76" i="21" s="1"/>
  <c r="D73" i="20"/>
  <c r="C65" i="20"/>
  <c r="C76" i="20" s="1"/>
  <c r="C65" i="19"/>
  <c r="C76" i="19" s="1"/>
  <c r="D73" i="18"/>
  <c r="C65" i="18"/>
  <c r="C76" i="18" s="1"/>
  <c r="C65" i="17"/>
  <c r="C76" i="17" s="1"/>
  <c r="D73" i="16"/>
  <c r="C65" i="16"/>
  <c r="C76" i="16" s="1"/>
  <c r="C65" i="15"/>
  <c r="C76" i="15" s="1"/>
  <c r="D73" i="14"/>
  <c r="C65" i="14"/>
  <c r="C76" i="14" s="1"/>
  <c r="C65" i="13"/>
  <c r="C76" i="13" s="1"/>
  <c r="C65" i="12"/>
  <c r="C73" i="12"/>
  <c r="C69" i="12"/>
  <c r="C65" i="11"/>
  <c r="C76" i="11" s="1"/>
  <c r="C65" i="10"/>
  <c r="C76" i="10" s="1"/>
  <c r="D62" i="10"/>
  <c r="K55" i="8"/>
  <c r="K54" i="8"/>
  <c r="K53" i="8"/>
  <c r="K52" i="8"/>
  <c r="K51" i="8"/>
  <c r="K50" i="8"/>
  <c r="K49" i="8"/>
  <c r="K48" i="8"/>
  <c r="K47" i="8"/>
  <c r="K46" i="8"/>
  <c r="K45" i="8"/>
  <c r="K6" i="8"/>
  <c r="K7" i="8"/>
  <c r="K8" i="8"/>
  <c r="K9" i="8"/>
  <c r="K10" i="8"/>
  <c r="K11" i="8"/>
  <c r="K12" i="8"/>
  <c r="K13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5" i="8"/>
  <c r="I56" i="46" l="1"/>
  <c r="K44" i="46"/>
  <c r="D65" i="28"/>
  <c r="D69" i="28"/>
  <c r="D76" i="37"/>
  <c r="D69" i="22"/>
  <c r="D69" i="18"/>
  <c r="D76" i="43"/>
  <c r="D76" i="30"/>
  <c r="D76" i="29"/>
  <c r="C76" i="29"/>
  <c r="C76" i="28"/>
  <c r="C76" i="24"/>
  <c r="D76" i="20"/>
  <c r="D76" i="39"/>
  <c r="C76" i="38"/>
  <c r="D76" i="38"/>
  <c r="D76" i="40"/>
  <c r="D76" i="36"/>
  <c r="D76" i="35"/>
  <c r="C76" i="34"/>
  <c r="D76" i="34"/>
  <c r="C76" i="42"/>
  <c r="C76" i="41"/>
  <c r="C76" i="40"/>
  <c r="D76" i="32"/>
  <c r="D76" i="26"/>
  <c r="D76" i="25"/>
  <c r="D76" i="23"/>
  <c r="D65" i="22"/>
  <c r="D65" i="19"/>
  <c r="D69" i="19"/>
  <c r="D65" i="18"/>
  <c r="D65" i="17"/>
  <c r="D69" i="17"/>
  <c r="D76" i="14"/>
  <c r="D69" i="15"/>
  <c r="D65" i="15"/>
  <c r="D69" i="16"/>
  <c r="D65" i="16"/>
  <c r="D69" i="13"/>
  <c r="D65" i="13"/>
  <c r="D73" i="12"/>
  <c r="D65" i="12"/>
  <c r="D65" i="11"/>
  <c r="D76" i="11" s="1"/>
  <c r="D65" i="10"/>
  <c r="D69" i="10"/>
  <c r="C76" i="43"/>
  <c r="D64" i="42"/>
  <c r="D68" i="42"/>
  <c r="D75" i="42"/>
  <c r="D63" i="42"/>
  <c r="D67" i="42"/>
  <c r="D71" i="42"/>
  <c r="D73" i="42" s="1"/>
  <c r="D62" i="42"/>
  <c r="D64" i="41"/>
  <c r="D68" i="41"/>
  <c r="D75" i="41"/>
  <c r="D63" i="41"/>
  <c r="D67" i="41"/>
  <c r="D71" i="41"/>
  <c r="D73" i="41" s="1"/>
  <c r="D62" i="41"/>
  <c r="C76" i="12"/>
  <c r="K14" i="8"/>
  <c r="H44" i="8"/>
  <c r="H56" i="8" s="1"/>
  <c r="J44" i="8"/>
  <c r="J56" i="8" s="1"/>
  <c r="G44" i="8"/>
  <c r="G56" i="8" s="1"/>
  <c r="I6" i="45" s="1"/>
  <c r="I40" i="45" s="1"/>
  <c r="E44" i="8"/>
  <c r="E56" i="8" s="1"/>
  <c r="D44" i="8"/>
  <c r="D56" i="8" s="1"/>
  <c r="F6" i="45" s="1"/>
  <c r="F40" i="45" s="1"/>
  <c r="C44" i="8"/>
  <c r="C75" i="8" l="1"/>
  <c r="L6" i="45"/>
  <c r="L40" i="45" s="1"/>
  <c r="B46" i="49" s="1"/>
  <c r="B47" i="49" s="1"/>
  <c r="C71" i="8"/>
  <c r="J6" i="45"/>
  <c r="J40" i="45" s="1"/>
  <c r="C72" i="46"/>
  <c r="K56" i="46"/>
  <c r="D72" i="46" s="1"/>
  <c r="D76" i="28"/>
  <c r="D76" i="22"/>
  <c r="D76" i="18"/>
  <c r="C64" i="8"/>
  <c r="G6" i="45"/>
  <c r="G40" i="45" s="1"/>
  <c r="D65" i="42"/>
  <c r="D69" i="42"/>
  <c r="D65" i="41"/>
  <c r="D69" i="41"/>
  <c r="D76" i="19"/>
  <c r="D76" i="17"/>
  <c r="D76" i="15"/>
  <c r="D76" i="16"/>
  <c r="D76" i="13"/>
  <c r="D76" i="12"/>
  <c r="D76" i="10"/>
  <c r="C56" i="8"/>
  <c r="E6" i="45" s="1"/>
  <c r="E40" i="45" s="1"/>
  <c r="F44" i="8"/>
  <c r="F56" i="8" s="1"/>
  <c r="H6" i="45" s="1"/>
  <c r="H40" i="45" s="1"/>
  <c r="I44" i="8"/>
  <c r="I56" i="8" s="1"/>
  <c r="K6" i="45" s="1"/>
  <c r="K40" i="45" s="1"/>
  <c r="C63" i="8"/>
  <c r="C68" i="8"/>
  <c r="H46" i="49" l="1"/>
  <c r="H47" i="49" s="1"/>
  <c r="C73" i="46"/>
  <c r="C76" i="46" s="1"/>
  <c r="D63" i="46"/>
  <c r="D71" i="46"/>
  <c r="D73" i="46" s="1"/>
  <c r="D75" i="46"/>
  <c r="D64" i="46"/>
  <c r="D68" i="46"/>
  <c r="D62" i="46"/>
  <c r="D67" i="46"/>
  <c r="M40" i="45"/>
  <c r="D76" i="42"/>
  <c r="D76" i="41"/>
  <c r="K44" i="8"/>
  <c r="C62" i="8"/>
  <c r="C65" i="8" s="1"/>
  <c r="K56" i="8"/>
  <c r="C67" i="8"/>
  <c r="C69" i="8" s="1"/>
  <c r="C72" i="8"/>
  <c r="C73" i="8" s="1"/>
  <c r="D65" i="46" l="1"/>
  <c r="D69" i="46"/>
  <c r="C76" i="8"/>
  <c r="D68" i="8"/>
  <c r="D67" i="8"/>
  <c r="D75" i="8"/>
  <c r="D71" i="8"/>
  <c r="D64" i="8"/>
  <c r="D63" i="8"/>
  <c r="D72" i="8"/>
  <c r="D62" i="8"/>
  <c r="D76" i="46" l="1"/>
  <c r="D73" i="8"/>
  <c r="D65" i="8"/>
  <c r="D69" i="8"/>
  <c r="D76" i="8" l="1"/>
  <c r="M5" i="45" l="1"/>
  <c r="M6" i="45"/>
</calcChain>
</file>

<file path=xl/comments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1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2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0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1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2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3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3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4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5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6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7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8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comments9.xml><?xml version="1.0" encoding="utf-8"?>
<comments xmlns="http://schemas.openxmlformats.org/spreadsheetml/2006/main">
  <authors>
    <author>Messer, Charles G  (DOH)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Messer, Charles G  (DOH):</t>
        </r>
        <r>
          <rPr>
            <sz val="9"/>
            <color indexed="81"/>
            <rFont val="Tahoma"/>
            <family val="2"/>
          </rPr>
          <t xml:space="preserve">
INPUT IS TO EACH OF THE 35 LHJ WORKSEETS ONLY.</t>
        </r>
      </text>
    </comment>
  </commentList>
</comments>
</file>

<file path=xl/sharedStrings.xml><?xml version="1.0" encoding="utf-8"?>
<sst xmlns="http://schemas.openxmlformats.org/spreadsheetml/2006/main" count="3486" uniqueCount="161">
  <si>
    <t>Total Expenditures</t>
  </si>
  <si>
    <t>State from DOH</t>
  </si>
  <si>
    <t>County Public Health Assistance</t>
  </si>
  <si>
    <t xml:space="preserve">State from Other </t>
  </si>
  <si>
    <t>Federal through DOH</t>
  </si>
  <si>
    <t>Federal from Other</t>
  </si>
  <si>
    <t>Licenses, Permits &amp; Fees</t>
  </si>
  <si>
    <t>FTE Count</t>
  </si>
  <si>
    <t>Misc/Fund Balance/ Other</t>
  </si>
  <si>
    <t>Administration/Policy Development</t>
  </si>
  <si>
    <t>Child Death Review</t>
  </si>
  <si>
    <t>Oral Health</t>
  </si>
  <si>
    <t>Immunization</t>
  </si>
  <si>
    <t>Tuberculosis</t>
  </si>
  <si>
    <t>HIV/AIDS</t>
  </si>
  <si>
    <t>Other Communicable Disease</t>
  </si>
  <si>
    <t>Cardiovascular Risk Reduction</t>
  </si>
  <si>
    <t>Obesity</t>
  </si>
  <si>
    <t>Drinking Water Quality</t>
  </si>
  <si>
    <t>Vector</t>
  </si>
  <si>
    <t>Food</t>
  </si>
  <si>
    <t>Environmental Water Quality</t>
  </si>
  <si>
    <t>Vital Records</t>
  </si>
  <si>
    <t>Laboratory</t>
  </si>
  <si>
    <t>General Health Education</t>
  </si>
  <si>
    <t>Pharmacy</t>
  </si>
  <si>
    <t>Epidemiology</t>
  </si>
  <si>
    <t>Assessment Activities</t>
  </si>
  <si>
    <t>Miscellaneous</t>
  </si>
  <si>
    <t>CHILD Profile</t>
  </si>
  <si>
    <t>Public Health Sub-Total</t>
  </si>
  <si>
    <t>Corrections Services</t>
  </si>
  <si>
    <t>Emergency Services</t>
  </si>
  <si>
    <t>Juvenile Services</t>
  </si>
  <si>
    <t>Medicaid Outreach</t>
  </si>
  <si>
    <t>Aging Services</t>
  </si>
  <si>
    <t>Coroner Services</t>
  </si>
  <si>
    <t>Mental/Physical Health</t>
  </si>
  <si>
    <t>Substance Abuse</t>
  </si>
  <si>
    <t>Developmental Disabilities</t>
  </si>
  <si>
    <t>Percentage</t>
  </si>
  <si>
    <t>State from Other</t>
  </si>
  <si>
    <t>Total</t>
  </si>
  <si>
    <t>Amount</t>
  </si>
  <si>
    <t>Family Planning Non-Title X</t>
  </si>
  <si>
    <t>Family Planning Title X</t>
  </si>
  <si>
    <t>Other Family &amp; Individual Health</t>
  </si>
  <si>
    <t>Other Non-Communicable Disease</t>
  </si>
  <si>
    <t>Living Environment</t>
  </si>
  <si>
    <t>Other Environmental Health</t>
  </si>
  <si>
    <t>Services Performed by Other Agency</t>
  </si>
  <si>
    <t>Emergency Preparedness and Response</t>
  </si>
  <si>
    <t>Maternal/Infant/Child/Adolescent Health</t>
  </si>
  <si>
    <t>Children with Special Health Care Needs</t>
  </si>
  <si>
    <t>Women, Infant, Children (WIC)</t>
  </si>
  <si>
    <t>Sexually Transmitted Diseases</t>
  </si>
  <si>
    <t>Cancer Prevention and Control</t>
  </si>
  <si>
    <t>Tobacco Prevention and Control</t>
  </si>
  <si>
    <t>Violence and Injury Prevention</t>
  </si>
  <si>
    <t>Solid and Hazardous Waste</t>
  </si>
  <si>
    <t>OSS and Land Development</t>
  </si>
  <si>
    <t>Chemical and Physical</t>
  </si>
  <si>
    <t>CPS/EIP/ARS/MAA</t>
  </si>
  <si>
    <t>Local Government Contributions</t>
  </si>
  <si>
    <t>Federal  from Other</t>
  </si>
  <si>
    <t>562</t>
  </si>
  <si>
    <t>Expenditure Code Title</t>
  </si>
  <si>
    <t>Exp. Code</t>
  </si>
  <si>
    <t>Other Classified Expenditures</t>
  </si>
  <si>
    <t xml:space="preserve">Basis of Accounting: Cash </t>
  </si>
  <si>
    <t>OFM April 2015 Population Estimate</t>
  </si>
  <si>
    <t>State</t>
  </si>
  <si>
    <t>Federal</t>
  </si>
  <si>
    <t>Local</t>
  </si>
  <si>
    <t>Other</t>
  </si>
  <si>
    <t>Total - State Funded Expenditures</t>
  </si>
  <si>
    <t>Total - Federal Funded Expenditures</t>
  </si>
  <si>
    <t>Total - Local Funded Expenditures</t>
  </si>
  <si>
    <t>EXPENDITURE SUMMARY</t>
  </si>
  <si>
    <t>Total - Other Funded Expenditures</t>
  </si>
  <si>
    <t>Adams</t>
  </si>
  <si>
    <t>Benton-Franklin</t>
  </si>
  <si>
    <t>Chelan-Douglas</t>
  </si>
  <si>
    <t>Basis of Accounting</t>
  </si>
  <si>
    <t>FTE's</t>
  </si>
  <si>
    <t>Asotin</t>
  </si>
  <si>
    <t>Clallam</t>
  </si>
  <si>
    <t>Clark</t>
  </si>
  <si>
    <t>Columbia</t>
  </si>
  <si>
    <t>Cowlitz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</si>
  <si>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</si>
  <si>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</si>
  <si>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</si>
  <si>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</si>
  <si>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</si>
  <si>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</si>
  <si>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</si>
  <si>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</si>
  <si>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</si>
  <si>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</si>
  <si>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</si>
  <si>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 xml:space="preserve">NE Tri </t>
  </si>
  <si>
    <t>Okanogan</t>
  </si>
  <si>
    <t>Pacific</t>
  </si>
  <si>
    <t>San Juan</t>
  </si>
  <si>
    <t>Seattle-King</t>
  </si>
  <si>
    <t>Skagit</t>
  </si>
  <si>
    <t>Skamania</t>
  </si>
  <si>
    <t>Snohomish</t>
  </si>
  <si>
    <t>Spokane</t>
  </si>
  <si>
    <t>Tacoma-Pierce</t>
  </si>
  <si>
    <t>Thurston</t>
  </si>
  <si>
    <t>Wahkiakim</t>
  </si>
  <si>
    <t>Walla Walla</t>
  </si>
  <si>
    <t>Whatcom</t>
  </si>
  <si>
    <t>Whitman</t>
  </si>
  <si>
    <t>Yakima</t>
  </si>
  <si>
    <t>Basis of Accounting: Accrual</t>
  </si>
  <si>
    <t xml:space="preserve">Basis of Accounting: Accrual </t>
  </si>
  <si>
    <t>Misc/Fund Balance/Other</t>
  </si>
  <si>
    <t>Total - Other</t>
  </si>
  <si>
    <t>Revenue from State</t>
  </si>
  <si>
    <t>Revenue from Federal</t>
  </si>
  <si>
    <t>Revenue from Local</t>
  </si>
  <si>
    <t>334.04.91</t>
  </si>
  <si>
    <t>336.04.24</t>
  </si>
  <si>
    <t>334's (not DOH)</t>
  </si>
  <si>
    <t>333's</t>
  </si>
  <si>
    <t>331's</t>
  </si>
  <si>
    <t>310's</t>
  </si>
  <si>
    <t>320's</t>
  </si>
  <si>
    <t>200's</t>
  </si>
  <si>
    <t>334.04.93</t>
  </si>
  <si>
    <t>335's</t>
  </si>
  <si>
    <t>339's</t>
  </si>
  <si>
    <t>332's</t>
  </si>
  <si>
    <t>340's (Includes 338 when used)</t>
  </si>
  <si>
    <t>308.00</t>
  </si>
  <si>
    <t>334.04.94</t>
  </si>
  <si>
    <t>336's (except MVET)</t>
  </si>
  <si>
    <t>333's (not DOH)</t>
  </si>
  <si>
    <t>390's</t>
  </si>
  <si>
    <t>350's</t>
  </si>
  <si>
    <t>360's (except 368)</t>
  </si>
  <si>
    <t>334.04.95</t>
  </si>
  <si>
    <t>339's (not DOH)</t>
  </si>
  <si>
    <t>370's</t>
  </si>
  <si>
    <t>*338</t>
  </si>
  <si>
    <t>380's</t>
  </si>
  <si>
    <t>334.04.96</t>
  </si>
  <si>
    <t>334.04.97</t>
  </si>
  <si>
    <t>334.04.98</t>
  </si>
  <si>
    <t>*</t>
  </si>
  <si>
    <t>Effective 2013 SAO has eliminated the 338 serues of BARS revenue coding and determined that such fees-for-</t>
  </si>
  <si>
    <t>service would be revenue assigned under BARS revenue code 340.</t>
  </si>
  <si>
    <t>Local Government Contribution</t>
  </si>
  <si>
    <t>Licenses Permits &amp; Fees</t>
  </si>
  <si>
    <t>Federal from DOH</t>
  </si>
  <si>
    <t>Cash</t>
  </si>
  <si>
    <t>Accrual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</si>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</sst>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* #,##0.0_);_(* \(#,##0.0\);_(* &quot;-&quot;??_);_(@_)"/>
    <numFmt numFmtId="167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Fill="0" applyBorder="0" applyAlignment="0" applyProtection="0"/>
    <xf numFmtId="0" fontId="8" fillId="26" borderId="0" applyNumberFormat="0" applyBorder="0" applyAlignment="0" applyProtection="0"/>
    <xf numFmtId="0" fontId="9" fillId="27" borderId="49" applyNumberFormat="0" applyAlignment="0" applyProtection="0"/>
    <xf numFmtId="0" fontId="10" fillId="28" borderId="50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1" applyNumberFormat="0" applyFill="0" applyAlignment="0" applyProtection="0"/>
    <xf numFmtId="0" fontId="14" fillId="0" borderId="52" applyNumberFormat="0" applyFill="0" applyAlignment="0" applyProtection="0"/>
    <xf numFmtId="0" fontId="15" fillId="0" borderId="5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49" applyNumberFormat="0" applyAlignment="0" applyProtection="0"/>
    <xf numFmtId="0" fontId="18" fillId="0" borderId="54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6" fillId="32" borderId="55" applyNumberFormat="0" applyFont="0" applyAlignment="0" applyProtection="0"/>
    <xf numFmtId="0" fontId="20" fillId="27" borderId="56" applyNumberForma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7" applyNumberFormat="0" applyFill="0" applyAlignment="0" applyProtection="0"/>
    <xf numFmtId="0" fontId="2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43"/>
    <xf numFmtId="3" fontId="1" fillId="0" borderId="0" xfId="43" applyNumberFormat="1"/>
    <xf numFmtId="0" fontId="1" fillId="0" borderId="0" xfId="43" applyBorder="1"/>
    <xf numFmtId="0" fontId="3" fillId="0" borderId="0" xfId="43" applyFont="1" applyBorder="1"/>
    <xf numFmtId="3" fontId="1" fillId="0" borderId="9" xfId="43" applyNumberFormat="1" applyBorder="1"/>
    <xf numFmtId="10" fontId="2" fillId="0" borderId="10" xfId="43" applyNumberFormat="1" applyFont="1" applyBorder="1" applyAlignment="1">
      <alignment horizontal="left" indent="2"/>
    </xf>
    <xf numFmtId="164" fontId="1" fillId="0" borderId="11" xfId="43" applyNumberFormat="1" applyBorder="1"/>
    <xf numFmtId="10" fontId="2" fillId="0" borderId="10" xfId="43" applyNumberFormat="1" applyFont="1" applyFill="1" applyBorder="1" applyAlignment="1">
      <alignment horizontal="left" indent="2"/>
    </xf>
    <xf numFmtId="3" fontId="1" fillId="0" borderId="12" xfId="43" applyNumberFormat="1" applyBorder="1"/>
    <xf numFmtId="164" fontId="1" fillId="0" borderId="13" xfId="43" applyNumberFormat="1" applyBorder="1"/>
    <xf numFmtId="3" fontId="1" fillId="33" borderId="9" xfId="43" applyNumberFormat="1" applyFill="1" applyBorder="1" applyAlignment="1">
      <alignment horizontal="center"/>
    </xf>
    <xf numFmtId="164" fontId="1" fillId="0" borderId="11" xfId="43" applyNumberFormat="1" applyBorder="1" applyAlignment="1">
      <alignment horizontal="center"/>
    </xf>
    <xf numFmtId="3" fontId="3" fillId="0" borderId="0" xfId="43" applyNumberFormat="1" applyFont="1" applyBorder="1"/>
    <xf numFmtId="0" fontId="1" fillId="0" borderId="2" xfId="43" applyFill="1" applyBorder="1"/>
    <xf numFmtId="0" fontId="1" fillId="0" borderId="14" xfId="43" applyFill="1" applyBorder="1"/>
    <xf numFmtId="0" fontId="1" fillId="0" borderId="0" xfId="43" applyFill="1" applyBorder="1"/>
    <xf numFmtId="3" fontId="1" fillId="0" borderId="18" xfId="43" applyNumberFormat="1" applyFill="1" applyBorder="1" applyAlignment="1">
      <alignment horizontal="center"/>
    </xf>
    <xf numFmtId="164" fontId="1" fillId="0" borderId="19" xfId="43" applyNumberFormat="1" applyFill="1" applyBorder="1" applyAlignment="1">
      <alignment horizontal="center"/>
    </xf>
    <xf numFmtId="3" fontId="2" fillId="0" borderId="9" xfId="43" applyNumberFormat="1" applyFont="1" applyFill="1" applyBorder="1"/>
    <xf numFmtId="164" fontId="1" fillId="0" borderId="11" xfId="43" applyNumberFormat="1" applyFill="1" applyBorder="1"/>
    <xf numFmtId="3" fontId="1" fillId="0" borderId="9" xfId="43" applyNumberFormat="1" applyFill="1" applyBorder="1"/>
    <xf numFmtId="3" fontId="1" fillId="0" borderId="12" xfId="43" applyNumberFormat="1" applyFill="1" applyBorder="1"/>
    <xf numFmtId="3" fontId="3" fillId="0" borderId="20" xfId="43" applyNumberFormat="1" applyFont="1" applyFill="1" applyBorder="1"/>
    <xf numFmtId="164" fontId="3" fillId="0" borderId="21" xfId="43" applyNumberFormat="1" applyFont="1" applyFill="1" applyBorder="1"/>
    <xf numFmtId="3" fontId="1" fillId="0" borderId="9" xfId="43" applyNumberFormat="1" applyFill="1" applyBorder="1" applyAlignment="1">
      <alignment horizontal="center"/>
    </xf>
    <xf numFmtId="164" fontId="1" fillId="0" borderId="11" xfId="43" applyNumberFormat="1" applyFill="1" applyBorder="1" applyAlignment="1">
      <alignment horizontal="center"/>
    </xf>
    <xf numFmtId="10" fontId="2" fillId="0" borderId="22" xfId="43" applyNumberFormat="1" applyFont="1" applyFill="1" applyBorder="1" applyAlignment="1">
      <alignment horizontal="left" indent="2"/>
    </xf>
    <xf numFmtId="10" fontId="2" fillId="0" borderId="22" xfId="43" applyNumberFormat="1" applyFont="1" applyBorder="1" applyAlignment="1">
      <alignment horizontal="left" indent="2"/>
    </xf>
    <xf numFmtId="0" fontId="2" fillId="0" borderId="0" xfId="43" applyFont="1" applyFill="1" applyBorder="1"/>
    <xf numFmtId="0" fontId="3" fillId="0" borderId="27" xfId="43" applyFont="1" applyFill="1" applyBorder="1" applyAlignment="1"/>
    <xf numFmtId="0" fontId="1" fillId="0" borderId="22" xfId="43" applyFill="1" applyBorder="1" applyAlignment="1">
      <alignment horizontal="right"/>
    </xf>
    <xf numFmtId="3" fontId="3" fillId="0" borderId="12" xfId="43" applyNumberFormat="1" applyFont="1" applyFill="1" applyBorder="1" applyAlignment="1">
      <alignment horizontal="center"/>
    </xf>
    <xf numFmtId="3" fontId="3" fillId="0" borderId="13" xfId="43" applyNumberFormat="1" applyFont="1" applyFill="1" applyBorder="1" applyAlignment="1">
      <alignment horizontal="center"/>
    </xf>
    <xf numFmtId="0" fontId="1" fillId="0" borderId="25" xfId="43" applyFont="1" applyFill="1" applyBorder="1" applyAlignment="1">
      <alignment horizontal="left"/>
    </xf>
    <xf numFmtId="10" fontId="1" fillId="0" borderId="10" xfId="43" applyNumberFormat="1" applyFont="1" applyFill="1" applyBorder="1" applyAlignment="1">
      <alignment horizontal="left"/>
    </xf>
    <xf numFmtId="0" fontId="24" fillId="0" borderId="38" xfId="0" applyFont="1" applyBorder="1"/>
    <xf numFmtId="3" fontId="24" fillId="0" borderId="39" xfId="0" applyNumberFormat="1" applyFont="1" applyBorder="1"/>
    <xf numFmtId="164" fontId="24" fillId="0" borderId="40" xfId="0" applyNumberFormat="1" applyFont="1" applyBorder="1"/>
    <xf numFmtId="0" fontId="2" fillId="0" borderId="32" xfId="43" applyFont="1" applyFill="1" applyBorder="1" applyAlignment="1">
      <alignment horizontal="center" wrapText="1"/>
    </xf>
    <xf numFmtId="0" fontId="3" fillId="34" borderId="23" xfId="43" applyFont="1" applyFill="1" applyBorder="1"/>
    <xf numFmtId="0" fontId="1" fillId="33" borderId="0" xfId="43" applyFill="1"/>
    <xf numFmtId="0" fontId="2" fillId="33" borderId="24" xfId="43" applyFont="1" applyFill="1" applyBorder="1" applyAlignment="1">
      <alignment horizontal="center" wrapText="1"/>
    </xf>
    <xf numFmtId="0" fontId="0" fillId="33" borderId="0" xfId="0" applyFill="1"/>
    <xf numFmtId="0" fontId="2" fillId="33" borderId="32" xfId="43" applyFont="1" applyFill="1" applyBorder="1" applyAlignment="1">
      <alignment horizontal="center" wrapText="1"/>
    </xf>
    <xf numFmtId="38" fontId="1" fillId="33" borderId="5" xfId="43" applyNumberFormat="1" applyFill="1" applyBorder="1" applyAlignment="1">
      <alignment horizontal="right"/>
    </xf>
    <xf numFmtId="0" fontId="1" fillId="33" borderId="24" xfId="43" applyFont="1" applyFill="1" applyBorder="1" applyAlignment="1">
      <alignment horizontal="center" wrapText="1"/>
    </xf>
    <xf numFmtId="0" fontId="1" fillId="33" borderId="32" xfId="43" applyFill="1" applyBorder="1" applyAlignment="1">
      <alignment horizontal="center" wrapText="1"/>
    </xf>
    <xf numFmtId="0" fontId="0" fillId="33" borderId="0" xfId="0" applyFill="1" applyAlignment="1"/>
    <xf numFmtId="0" fontId="1" fillId="33" borderId="35" xfId="43" applyFont="1" applyFill="1" applyBorder="1" applyAlignment="1">
      <alignment horizontal="center" wrapText="1"/>
    </xf>
    <xf numFmtId="0" fontId="1" fillId="33" borderId="34" xfId="43" applyFont="1" applyFill="1" applyBorder="1" applyAlignment="1">
      <alignment horizontal="center" wrapText="1"/>
    </xf>
    <xf numFmtId="0" fontId="1" fillId="33" borderId="37" xfId="43" applyFill="1" applyBorder="1" applyAlignment="1">
      <alignment horizontal="center" wrapText="1"/>
    </xf>
    <xf numFmtId="38" fontId="1" fillId="33" borderId="41" xfId="43" applyNumberFormat="1" applyFill="1" applyBorder="1" applyAlignment="1">
      <alignment horizontal="right"/>
    </xf>
    <xf numFmtId="38" fontId="1" fillId="0" borderId="60" xfId="43" applyNumberFormat="1" applyFill="1" applyBorder="1" applyAlignment="1">
      <alignment horizontal="right"/>
    </xf>
    <xf numFmtId="3" fontId="3" fillId="0" borderId="63" xfId="43" applyNumberFormat="1" applyFont="1" applyBorder="1"/>
    <xf numFmtId="3" fontId="3" fillId="0" borderId="64" xfId="43" applyNumberFormat="1" applyFont="1" applyBorder="1"/>
    <xf numFmtId="164" fontId="3" fillId="0" borderId="48" xfId="43" applyNumberFormat="1" applyFont="1" applyBorder="1"/>
    <xf numFmtId="164" fontId="1" fillId="0" borderId="65" xfId="43" applyNumberFormat="1" applyFill="1" applyBorder="1"/>
    <xf numFmtId="165" fontId="3" fillId="0" borderId="0" xfId="43" applyNumberFormat="1" applyFont="1" applyBorder="1"/>
    <xf numFmtId="0" fontId="1" fillId="33" borderId="0" xfId="43" applyFill="1" applyBorder="1"/>
    <xf numFmtId="2" fontId="3" fillId="0" borderId="0" xfId="43" applyNumberFormat="1" applyFont="1" applyBorder="1"/>
    <xf numFmtId="38" fontId="25" fillId="33" borderId="75" xfId="43" applyNumberFormat="1" applyFont="1" applyFill="1" applyBorder="1" applyAlignment="1">
      <alignment horizontal="right"/>
    </xf>
    <xf numFmtId="38" fontId="25" fillId="33" borderId="73" xfId="43" applyNumberFormat="1" applyFont="1" applyFill="1" applyBorder="1" applyAlignment="1">
      <alignment horizontal="right"/>
    </xf>
    <xf numFmtId="38" fontId="25" fillId="33" borderId="72" xfId="43" applyNumberFormat="1" applyFont="1" applyFill="1" applyBorder="1" applyAlignment="1">
      <alignment horizontal="right"/>
    </xf>
    <xf numFmtId="38" fontId="25" fillId="0" borderId="75" xfId="43" applyNumberFormat="1" applyFont="1" applyFill="1" applyBorder="1" applyAlignment="1">
      <alignment horizontal="right"/>
    </xf>
    <xf numFmtId="38" fontId="25" fillId="33" borderId="76" xfId="43" applyNumberFormat="1" applyFont="1" applyFill="1" applyBorder="1" applyAlignment="1">
      <alignment horizontal="right"/>
    </xf>
    <xf numFmtId="38" fontId="1" fillId="33" borderId="77" xfId="43" applyNumberFormat="1" applyFill="1" applyBorder="1" applyAlignment="1">
      <alignment horizontal="right"/>
    </xf>
    <xf numFmtId="38" fontId="1" fillId="33" borderId="60" xfId="43" applyNumberFormat="1" applyFill="1" applyBorder="1" applyAlignment="1">
      <alignment horizontal="right"/>
    </xf>
    <xf numFmtId="38" fontId="1" fillId="33" borderId="11" xfId="43" applyNumberFormat="1" applyFill="1" applyBorder="1" applyAlignment="1">
      <alignment horizontal="right"/>
    </xf>
    <xf numFmtId="38" fontId="1" fillId="0" borderId="79" xfId="43" applyNumberFormat="1" applyFill="1" applyBorder="1" applyAlignment="1">
      <alignment horizontal="right"/>
    </xf>
    <xf numFmtId="0" fontId="1" fillId="33" borderId="80" xfId="43" applyFill="1" applyBorder="1" applyAlignment="1">
      <alignment horizontal="center" wrapText="1"/>
    </xf>
    <xf numFmtId="0" fontId="1" fillId="0" borderId="81" xfId="43" applyBorder="1"/>
    <xf numFmtId="0" fontId="1" fillId="0" borderId="83" xfId="43" applyBorder="1"/>
    <xf numFmtId="41" fontId="1" fillId="0" borderId="1" xfId="50" applyNumberFormat="1" applyFont="1" applyFill="1" applyBorder="1" applyAlignment="1">
      <alignment horizontal="left"/>
    </xf>
    <xf numFmtId="0" fontId="3" fillId="33" borderId="69" xfId="43" applyFont="1" applyFill="1" applyBorder="1" applyAlignment="1">
      <alignment horizontal="center"/>
    </xf>
    <xf numFmtId="0" fontId="1" fillId="0" borderId="84" xfId="43" applyFill="1" applyBorder="1" applyAlignment="1">
      <alignment horizontal="center" wrapText="1"/>
    </xf>
    <xf numFmtId="0" fontId="1" fillId="0" borderId="0" xfId="43" applyFill="1" applyBorder="1" applyAlignment="1">
      <alignment horizontal="center" wrapText="1"/>
    </xf>
    <xf numFmtId="166" fontId="1" fillId="0" borderId="0" xfId="50" applyNumberFormat="1" applyFont="1" applyFill="1" applyBorder="1" applyAlignment="1">
      <alignment horizontal="center" wrapText="1"/>
    </xf>
    <xf numFmtId="41" fontId="1" fillId="0" borderId="43" xfId="50" applyNumberFormat="1" applyFont="1" applyFill="1" applyBorder="1" applyAlignment="1">
      <alignment horizontal="left"/>
    </xf>
    <xf numFmtId="2" fontId="1" fillId="0" borderId="5" xfId="43" applyNumberFormat="1" applyFill="1" applyBorder="1" applyAlignment="1">
      <alignment horizontal="left"/>
    </xf>
    <xf numFmtId="0" fontId="1" fillId="0" borderId="78" xfId="43" applyFill="1" applyBorder="1"/>
    <xf numFmtId="0" fontId="1" fillId="33" borderId="86" xfId="43" applyFill="1" applyBorder="1" applyAlignment="1">
      <alignment horizontal="center" wrapText="1"/>
    </xf>
    <xf numFmtId="38" fontId="25" fillId="0" borderId="87" xfId="43" applyNumberFormat="1" applyFont="1" applyFill="1" applyBorder="1" applyAlignment="1">
      <alignment horizontal="right"/>
    </xf>
    <xf numFmtId="0" fontId="1" fillId="33" borderId="69" xfId="43" applyFill="1" applyBorder="1" applyAlignment="1">
      <alignment horizontal="center"/>
    </xf>
    <xf numFmtId="0" fontId="1" fillId="33" borderId="59" xfId="43" applyFill="1" applyBorder="1" applyAlignment="1">
      <alignment horizontal="center" wrapText="1"/>
    </xf>
    <xf numFmtId="0" fontId="3" fillId="0" borderId="3" xfId="43" applyFont="1" applyBorder="1"/>
    <xf numFmtId="0" fontId="1" fillId="0" borderId="90" xfId="43" applyBorder="1"/>
    <xf numFmtId="0" fontId="1" fillId="0" borderId="91" xfId="43" applyBorder="1"/>
    <xf numFmtId="0" fontId="1" fillId="0" borderId="21" xfId="43" applyFill="1" applyBorder="1"/>
    <xf numFmtId="0" fontId="3" fillId="33" borderId="0" xfId="43" applyFont="1" applyFill="1" applyBorder="1" applyAlignment="1">
      <alignment horizontal="right"/>
    </xf>
    <xf numFmtId="0" fontId="1" fillId="0" borderId="92" xfId="43" applyFill="1" applyBorder="1"/>
    <xf numFmtId="38" fontId="1" fillId="0" borderId="77" xfId="43" applyNumberFormat="1" applyFill="1" applyBorder="1" applyAlignment="1">
      <alignment horizontal="right"/>
    </xf>
    <xf numFmtId="2" fontId="1" fillId="0" borderId="93" xfId="43" applyNumberFormat="1" applyFill="1" applyBorder="1" applyAlignment="1">
      <alignment horizontal="left"/>
    </xf>
    <xf numFmtId="2" fontId="1" fillId="0" borderId="94" xfId="43" applyNumberFormat="1" applyFill="1" applyBorder="1" applyAlignment="1">
      <alignment horizontal="left"/>
    </xf>
    <xf numFmtId="2" fontId="1" fillId="0" borderId="96" xfId="43" applyNumberFormat="1" applyFill="1" applyBorder="1" applyAlignment="1">
      <alignment horizontal="left"/>
    </xf>
    <xf numFmtId="2" fontId="1" fillId="0" borderId="97" xfId="43" applyNumberFormat="1" applyFill="1" applyBorder="1" applyAlignment="1">
      <alignment horizontal="left"/>
    </xf>
    <xf numFmtId="2" fontId="3" fillId="34" borderId="98" xfId="43" quotePrefix="1" applyNumberFormat="1" applyFont="1" applyFill="1" applyBorder="1" applyAlignment="1">
      <alignment horizontal="left"/>
    </xf>
    <xf numFmtId="2" fontId="3" fillId="0" borderId="95" xfId="43" applyNumberFormat="1" applyFont="1" applyFill="1" applyBorder="1" applyAlignment="1">
      <alignment horizontal="left"/>
    </xf>
    <xf numFmtId="0" fontId="1" fillId="0" borderId="97" xfId="43" applyFill="1" applyBorder="1" applyAlignment="1">
      <alignment horizontal="center" wrapText="1"/>
    </xf>
    <xf numFmtId="43" fontId="3" fillId="0" borderId="0" xfId="50" applyFont="1" applyBorder="1"/>
    <xf numFmtId="41" fontId="3" fillId="33" borderId="28" xfId="50" applyNumberFormat="1" applyFont="1" applyFill="1" applyBorder="1" applyAlignment="1">
      <alignment horizontal="right"/>
    </xf>
    <xf numFmtId="41" fontId="3" fillId="33" borderId="26" xfId="50" applyNumberFormat="1" applyFont="1" applyFill="1" applyBorder="1" applyAlignment="1">
      <alignment horizontal="right"/>
    </xf>
    <xf numFmtId="41" fontId="3" fillId="33" borderId="29" xfId="50" applyNumberFormat="1" applyFont="1" applyFill="1" applyBorder="1" applyAlignment="1">
      <alignment horizontal="right"/>
    </xf>
    <xf numFmtId="41" fontId="3" fillId="33" borderId="30" xfId="50" applyNumberFormat="1" applyFont="1" applyFill="1" applyBorder="1" applyAlignment="1">
      <alignment horizontal="right"/>
    </xf>
    <xf numFmtId="41" fontId="3" fillId="0" borderId="28" xfId="50" applyNumberFormat="1" applyFont="1" applyFill="1" applyBorder="1" applyAlignment="1">
      <alignment horizontal="right"/>
    </xf>
    <xf numFmtId="41" fontId="3" fillId="33" borderId="27" xfId="50" applyNumberFormat="1" applyFont="1" applyFill="1" applyBorder="1" applyAlignment="1">
      <alignment horizontal="right"/>
    </xf>
    <xf numFmtId="41" fontId="3" fillId="33" borderId="58" xfId="50" applyNumberFormat="1" applyFont="1" applyFill="1" applyBorder="1" applyAlignment="1">
      <alignment horizontal="right"/>
    </xf>
    <xf numFmtId="41" fontId="3" fillId="0" borderId="99" xfId="50" applyNumberFormat="1" applyFont="1" applyFill="1" applyBorder="1" applyAlignment="1">
      <alignment horizontal="right"/>
    </xf>
    <xf numFmtId="3" fontId="1" fillId="33" borderId="5" xfId="43" applyNumberFormat="1" applyFill="1" applyBorder="1" applyAlignment="1">
      <alignment horizontal="right"/>
    </xf>
    <xf numFmtId="3" fontId="1" fillId="33" borderId="1" xfId="43" applyNumberFormat="1" applyFill="1" applyBorder="1" applyAlignment="1">
      <alignment horizontal="right"/>
    </xf>
    <xf numFmtId="3" fontId="1" fillId="33" borderId="6" xfId="43" applyNumberFormat="1" applyFill="1" applyBorder="1" applyAlignment="1">
      <alignment horizontal="right"/>
    </xf>
    <xf numFmtId="3" fontId="1" fillId="0" borderId="5" xfId="43" applyNumberFormat="1" applyFill="1" applyBorder="1" applyAlignment="1">
      <alignment horizontal="right"/>
    </xf>
    <xf numFmtId="3" fontId="1" fillId="33" borderId="41" xfId="43" applyNumberFormat="1" applyFill="1" applyBorder="1" applyAlignment="1">
      <alignment horizontal="right"/>
    </xf>
    <xf numFmtId="3" fontId="1" fillId="0" borderId="79" xfId="43" applyNumberFormat="1" applyFill="1" applyBorder="1" applyAlignment="1">
      <alignment horizontal="right"/>
    </xf>
    <xf numFmtId="3" fontId="0" fillId="35" borderId="5" xfId="0" applyNumberFormat="1" applyFill="1" applyBorder="1"/>
    <xf numFmtId="3" fontId="1" fillId="33" borderId="3" xfId="43" applyNumberFormat="1" applyFill="1" applyBorder="1" applyAlignment="1">
      <alignment horizontal="right"/>
    </xf>
    <xf numFmtId="3" fontId="1" fillId="33" borderId="4" xfId="43" applyNumberFormat="1" applyFill="1" applyBorder="1" applyAlignment="1">
      <alignment horizontal="right"/>
    </xf>
    <xf numFmtId="3" fontId="1" fillId="33" borderId="7" xfId="43" applyNumberFormat="1" applyFill="1" applyBorder="1" applyAlignment="1">
      <alignment horizontal="right"/>
    </xf>
    <xf numFmtId="3" fontId="1" fillId="33" borderId="8" xfId="43" applyNumberFormat="1" applyFill="1" applyBorder="1" applyAlignment="1">
      <alignment horizontal="right"/>
    </xf>
    <xf numFmtId="3" fontId="1" fillId="33" borderId="42" xfId="43" applyNumberFormat="1" applyFill="1" applyBorder="1" applyAlignment="1">
      <alignment horizontal="right"/>
    </xf>
    <xf numFmtId="3" fontId="3" fillId="33" borderId="46" xfId="43" applyNumberFormat="1" applyFont="1" applyFill="1" applyBorder="1" applyAlignment="1">
      <alignment horizontal="right"/>
    </xf>
    <xf numFmtId="3" fontId="3" fillId="33" borderId="67" xfId="43" applyNumberFormat="1" applyFont="1" applyFill="1" applyBorder="1" applyAlignment="1">
      <alignment horizontal="right"/>
    </xf>
    <xf numFmtId="3" fontId="3" fillId="33" borderId="45" xfId="43" applyNumberFormat="1" applyFont="1" applyFill="1" applyBorder="1" applyAlignment="1">
      <alignment horizontal="right"/>
    </xf>
    <xf numFmtId="3" fontId="3" fillId="33" borderId="66" xfId="43" applyNumberFormat="1" applyFont="1" applyFill="1" applyBorder="1" applyAlignment="1">
      <alignment horizontal="right"/>
    </xf>
    <xf numFmtId="3" fontId="3" fillId="34" borderId="46" xfId="43" applyNumberFormat="1" applyFont="1" applyFill="1" applyBorder="1" applyAlignment="1">
      <alignment horizontal="right"/>
    </xf>
    <xf numFmtId="3" fontId="3" fillId="33" borderId="68" xfId="43" applyNumberFormat="1" applyFont="1" applyFill="1" applyBorder="1" applyAlignment="1">
      <alignment horizontal="right"/>
    </xf>
    <xf numFmtId="3" fontId="3" fillId="34" borderId="100" xfId="43" applyNumberFormat="1" applyFont="1" applyFill="1" applyBorder="1" applyAlignment="1">
      <alignment horizontal="right"/>
    </xf>
    <xf numFmtId="3" fontId="1" fillId="33" borderId="31" xfId="43" applyNumberFormat="1" applyFill="1" applyBorder="1" applyAlignment="1">
      <alignment horizontal="right"/>
    </xf>
    <xf numFmtId="3" fontId="1" fillId="33" borderId="43" xfId="43" applyNumberFormat="1" applyFill="1" applyBorder="1" applyAlignment="1">
      <alignment horizontal="right"/>
    </xf>
    <xf numFmtId="3" fontId="1" fillId="33" borderId="47" xfId="43" applyNumberFormat="1" applyFill="1" applyBorder="1" applyAlignment="1">
      <alignment horizontal="right"/>
    </xf>
    <xf numFmtId="3" fontId="1" fillId="33" borderId="33" xfId="43" applyNumberFormat="1" applyFill="1" applyBorder="1" applyAlignment="1">
      <alignment horizontal="right"/>
    </xf>
    <xf numFmtId="3" fontId="1" fillId="0" borderId="4" xfId="43" applyNumberFormat="1" applyFill="1" applyBorder="1" applyAlignment="1">
      <alignment horizontal="right"/>
    </xf>
    <xf numFmtId="3" fontId="1" fillId="0" borderId="101" xfId="43" applyNumberFormat="1" applyFill="1" applyBorder="1" applyAlignment="1">
      <alignment horizontal="right"/>
    </xf>
    <xf numFmtId="3" fontId="3" fillId="33" borderId="28" xfId="43" applyNumberFormat="1" applyFont="1" applyFill="1" applyBorder="1" applyAlignment="1">
      <alignment horizontal="right"/>
    </xf>
    <xf numFmtId="3" fontId="3" fillId="33" borderId="26" xfId="43" applyNumberFormat="1" applyFont="1" applyFill="1" applyBorder="1" applyAlignment="1">
      <alignment horizontal="right"/>
    </xf>
    <xf numFmtId="3" fontId="3" fillId="33" borderId="29" xfId="43" applyNumberFormat="1" applyFont="1" applyFill="1" applyBorder="1" applyAlignment="1">
      <alignment horizontal="right"/>
    </xf>
    <xf numFmtId="3" fontId="3" fillId="33" borderId="30" xfId="43" applyNumberFormat="1" applyFont="1" applyFill="1" applyBorder="1" applyAlignment="1">
      <alignment horizontal="right"/>
    </xf>
    <xf numFmtId="3" fontId="3" fillId="0" borderId="28" xfId="43" applyNumberFormat="1" applyFont="1" applyFill="1" applyBorder="1" applyAlignment="1">
      <alignment horizontal="right"/>
    </xf>
    <xf numFmtId="3" fontId="3" fillId="33" borderId="27" xfId="43" applyNumberFormat="1" applyFont="1" applyFill="1" applyBorder="1" applyAlignment="1">
      <alignment horizontal="right"/>
    </xf>
    <xf numFmtId="3" fontId="3" fillId="33" borderId="58" xfId="43" applyNumberFormat="1" applyFont="1" applyFill="1" applyBorder="1" applyAlignment="1">
      <alignment horizontal="right"/>
    </xf>
    <xf numFmtId="3" fontId="3" fillId="0" borderId="99" xfId="43" applyNumberFormat="1" applyFont="1" applyFill="1" applyBorder="1" applyAlignment="1">
      <alignment horizontal="right"/>
    </xf>
    <xf numFmtId="3" fontId="1" fillId="33" borderId="6" xfId="50" applyNumberFormat="1" applyFont="1" applyFill="1" applyBorder="1" applyAlignment="1">
      <alignment horizontal="right"/>
    </xf>
    <xf numFmtId="3" fontId="1" fillId="0" borderId="60" xfId="43" applyNumberFormat="1" applyFill="1" applyBorder="1" applyAlignment="1">
      <alignment horizontal="right"/>
    </xf>
    <xf numFmtId="3" fontId="3" fillId="34" borderId="61" xfId="43" applyNumberFormat="1" applyFont="1" applyFill="1" applyBorder="1" applyAlignment="1">
      <alignment horizontal="right"/>
    </xf>
    <xf numFmtId="3" fontId="1" fillId="0" borderId="44" xfId="43" applyNumberFormat="1" applyFill="1" applyBorder="1" applyAlignment="1">
      <alignment horizontal="right"/>
    </xf>
    <xf numFmtId="3" fontId="3" fillId="0" borderId="62" xfId="43" applyNumberFormat="1" applyFont="1" applyFill="1" applyBorder="1" applyAlignment="1">
      <alignment horizontal="right"/>
    </xf>
    <xf numFmtId="0" fontId="1" fillId="0" borderId="102" xfId="43" applyBorder="1"/>
    <xf numFmtId="0" fontId="1" fillId="0" borderId="32" xfId="43" applyFill="1" applyBorder="1" applyAlignment="1">
      <alignment horizontal="center" wrapText="1"/>
    </xf>
    <xf numFmtId="2" fontId="1" fillId="0" borderId="103" xfId="43" applyNumberFormat="1" applyFill="1" applyBorder="1" applyAlignment="1">
      <alignment horizontal="left"/>
    </xf>
    <xf numFmtId="2" fontId="1" fillId="0" borderId="4" xfId="43" applyNumberFormat="1" applyFill="1" applyBorder="1" applyAlignment="1">
      <alignment horizontal="left"/>
    </xf>
    <xf numFmtId="2" fontId="3" fillId="34" borderId="46" xfId="43" quotePrefix="1" applyNumberFormat="1" applyFont="1" applyFill="1" applyBorder="1" applyAlignment="1">
      <alignment horizontal="left"/>
    </xf>
    <xf numFmtId="0" fontId="1" fillId="0" borderId="104" xfId="43" applyFill="1" applyBorder="1"/>
    <xf numFmtId="0" fontId="3" fillId="35" borderId="15" xfId="43" applyFont="1" applyFill="1" applyBorder="1" applyAlignment="1">
      <alignment horizontal="centerContinuous"/>
    </xf>
    <xf numFmtId="0" fontId="1" fillId="35" borderId="16" xfId="43" applyFill="1" applyBorder="1" applyAlignment="1">
      <alignment horizontal="centerContinuous"/>
    </xf>
    <xf numFmtId="3" fontId="1" fillId="35" borderId="17" xfId="43" applyNumberFormat="1" applyFill="1" applyBorder="1" applyAlignment="1">
      <alignment horizontal="centerContinuous"/>
    </xf>
    <xf numFmtId="10" fontId="3" fillId="35" borderId="36" xfId="43" applyNumberFormat="1" applyFont="1" applyFill="1" applyBorder="1" applyAlignment="1">
      <alignment horizontal="left"/>
    </xf>
    <xf numFmtId="10" fontId="3" fillId="35" borderId="22" xfId="43" applyNumberFormat="1" applyFont="1" applyFill="1" applyBorder="1" applyAlignment="1">
      <alignment horizontal="left" wrapText="1"/>
    </xf>
    <xf numFmtId="3" fontId="3" fillId="35" borderId="20" xfId="43" applyNumberFormat="1" applyFont="1" applyFill="1" applyBorder="1"/>
    <xf numFmtId="164" fontId="3" fillId="35" borderId="21" xfId="43" applyNumberFormat="1" applyFont="1" applyFill="1" applyBorder="1"/>
    <xf numFmtId="3" fontId="3" fillId="35" borderId="63" xfId="43" applyNumberFormat="1" applyFont="1" applyFill="1" applyBorder="1"/>
    <xf numFmtId="2" fontId="1" fillId="0" borderId="43" xfId="43" applyNumberFormat="1" applyFill="1" applyBorder="1" applyAlignment="1">
      <alignment horizontal="center"/>
    </xf>
    <xf numFmtId="2" fontId="1" fillId="0" borderId="1" xfId="43" applyNumberFormat="1" applyFill="1" applyBorder="1" applyAlignment="1">
      <alignment horizontal="center"/>
    </xf>
    <xf numFmtId="2" fontId="1" fillId="0" borderId="0" xfId="51" applyNumberFormat="1" applyFont="1"/>
    <xf numFmtId="2" fontId="3" fillId="0" borderId="105" xfId="51" applyNumberFormat="1" applyFont="1" applyBorder="1"/>
    <xf numFmtId="2" fontId="1" fillId="0" borderId="105" xfId="51" applyNumberFormat="1" applyFont="1" applyBorder="1" applyAlignment="1">
      <alignment horizontal="center"/>
    </xf>
    <xf numFmtId="2" fontId="1" fillId="0" borderId="105" xfId="51" applyNumberFormat="1" applyFont="1" applyBorder="1"/>
    <xf numFmtId="43" fontId="1" fillId="0" borderId="0" xfId="50" applyFont="1"/>
    <xf numFmtId="167" fontId="1" fillId="0" borderId="105" xfId="50" applyNumberFormat="1" applyFont="1" applyBorder="1"/>
    <xf numFmtId="167" fontId="3" fillId="0" borderId="105" xfId="50" applyNumberFormat="1" applyFont="1" applyBorder="1"/>
    <xf numFmtId="167" fontId="1" fillId="0" borderId="0" xfId="50" applyNumberFormat="1" applyFont="1"/>
    <xf numFmtId="167" fontId="1" fillId="0" borderId="105" xfId="50" applyNumberFormat="1" applyFont="1" applyBorder="1" applyAlignment="1">
      <alignment horizontal="center"/>
    </xf>
    <xf numFmtId="0" fontId="1" fillId="0" borderId="0" xfId="42" applyFont="1" applyFill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1" fillId="0" borderId="106" xfId="42" applyFont="1" applyBorder="1" applyAlignment="1">
      <alignment horizontal="center" wrapText="1"/>
    </xf>
    <xf numFmtId="0" fontId="1" fillId="0" borderId="4" xfId="42" applyFont="1" applyBorder="1" applyAlignment="1">
      <alignment horizontal="center" wrapText="1"/>
    </xf>
    <xf numFmtId="0" fontId="1" fillId="0" borderId="7" xfId="42" applyFont="1" applyBorder="1" applyAlignment="1">
      <alignment horizontal="center" wrapText="1"/>
    </xf>
    <xf numFmtId="0" fontId="1" fillId="0" borderId="8" xfId="42" applyFont="1" applyBorder="1" applyAlignment="1">
      <alignment horizontal="center" wrapText="1"/>
    </xf>
    <xf numFmtId="0" fontId="1" fillId="33" borderId="7" xfId="42" applyFont="1" applyFill="1" applyBorder="1" applyAlignment="1">
      <alignment horizontal="center" wrapText="1"/>
    </xf>
    <xf numFmtId="0" fontId="26" fillId="0" borderId="111" xfId="0" applyFont="1" applyBorder="1" applyAlignment="1">
      <alignment vertical="center"/>
    </xf>
    <xf numFmtId="0" fontId="1" fillId="0" borderId="97" xfId="42" applyFont="1" applyBorder="1" applyAlignment="1">
      <alignment horizontal="center" wrapText="1"/>
    </xf>
    <xf numFmtId="0" fontId="1" fillId="0" borderId="101" xfId="42" applyFont="1" applyBorder="1" applyAlignment="1">
      <alignment horizontal="center" wrapText="1"/>
    </xf>
    <xf numFmtId="43" fontId="1" fillId="0" borderId="101" xfId="50" applyFont="1" applyBorder="1" applyAlignment="1">
      <alignment horizontal="center" wrapText="1"/>
    </xf>
    <xf numFmtId="0" fontId="1" fillId="0" borderId="112" xfId="42" applyFont="1" applyBorder="1" applyAlignment="1">
      <alignment horizontal="center" wrapText="1"/>
    </xf>
    <xf numFmtId="0" fontId="1" fillId="33" borderId="113" xfId="42" applyFont="1" applyFill="1" applyBorder="1" applyAlignment="1">
      <alignment horizontal="center" wrapText="1"/>
    </xf>
    <xf numFmtId="0" fontId="1" fillId="0" borderId="114" xfId="42" applyFont="1" applyBorder="1" applyAlignment="1">
      <alignment horizontal="center" wrapText="1"/>
    </xf>
    <xf numFmtId="0" fontId="1" fillId="0" borderId="115" xfId="42" applyFont="1" applyBorder="1" applyAlignment="1">
      <alignment horizontal="center" wrapText="1"/>
    </xf>
    <xf numFmtId="0" fontId="1" fillId="0" borderId="113" xfId="42" applyFont="1" applyBorder="1" applyAlignment="1">
      <alignment horizontal="center" wrapText="1"/>
    </xf>
    <xf numFmtId="0" fontId="1" fillId="0" borderId="116" xfId="42" applyFont="1" applyBorder="1" applyAlignment="1">
      <alignment horizontal="center" wrapText="1"/>
    </xf>
    <xf numFmtId="0" fontId="1" fillId="0" borderId="117" xfId="42" applyFont="1" applyBorder="1" applyAlignment="1">
      <alignment horizontal="center" wrapText="1"/>
    </xf>
    <xf numFmtId="10" fontId="1" fillId="0" borderId="11" xfId="43" applyNumberFormat="1" applyFill="1" applyBorder="1"/>
    <xf numFmtId="10" fontId="3" fillId="33" borderId="22" xfId="43" applyNumberFormat="1" applyFont="1" applyFill="1" applyBorder="1" applyAlignment="1">
      <alignment horizontal="left" wrapText="1"/>
    </xf>
    <xf numFmtId="10" fontId="3" fillId="33" borderId="36" xfId="43" applyNumberFormat="1" applyFont="1" applyFill="1" applyBorder="1" applyAlignment="1">
      <alignment horizontal="left"/>
    </xf>
    <xf numFmtId="41" fontId="25" fillId="0" borderId="118" xfId="50" applyNumberFormat="1" applyFont="1" applyFill="1" applyBorder="1" applyAlignment="1">
      <alignment horizontal="left"/>
    </xf>
    <xf numFmtId="2" fontId="1" fillId="0" borderId="84" xfId="43" applyNumberFormat="1" applyFill="1" applyBorder="1" applyAlignment="1">
      <alignment horizontal="left"/>
    </xf>
    <xf numFmtId="2" fontId="25" fillId="0" borderId="119" xfId="43" applyNumberFormat="1" applyFont="1" applyFill="1" applyBorder="1" applyAlignment="1">
      <alignment horizontal="left"/>
    </xf>
    <xf numFmtId="0" fontId="0" fillId="0" borderId="0" xfId="0" applyBorder="1"/>
    <xf numFmtId="0" fontId="0" fillId="0" borderId="81" xfId="0" applyBorder="1"/>
    <xf numFmtId="1" fontId="1" fillId="33" borderId="5" xfId="50" applyNumberFormat="1" applyFont="1" applyFill="1" applyBorder="1" applyAlignment="1">
      <alignment horizontal="right"/>
    </xf>
    <xf numFmtId="1" fontId="1" fillId="33" borderId="1" xfId="50" applyNumberFormat="1" applyFont="1" applyFill="1" applyBorder="1" applyAlignment="1">
      <alignment horizontal="right"/>
    </xf>
    <xf numFmtId="1" fontId="1" fillId="33" borderId="6" xfId="50" applyNumberFormat="1" applyFont="1" applyFill="1" applyBorder="1" applyAlignment="1">
      <alignment horizontal="right"/>
    </xf>
    <xf numFmtId="1" fontId="1" fillId="0" borderId="5" xfId="50" applyNumberFormat="1" applyFont="1" applyFill="1" applyBorder="1" applyAlignment="1">
      <alignment horizontal="right"/>
    </xf>
    <xf numFmtId="1" fontId="1" fillId="33" borderId="41" xfId="50" applyNumberFormat="1" applyFont="1" applyFill="1" applyBorder="1" applyAlignment="1">
      <alignment horizontal="right"/>
    </xf>
    <xf numFmtId="1" fontId="1" fillId="0" borderId="79" xfId="50" applyNumberFormat="1" applyFont="1" applyFill="1" applyBorder="1" applyAlignment="1">
      <alignment horizontal="right"/>
    </xf>
    <xf numFmtId="1" fontId="0" fillId="35" borderId="5" xfId="50" applyNumberFormat="1" applyFont="1" applyFill="1" applyBorder="1"/>
    <xf numFmtId="1" fontId="1" fillId="33" borderId="3" xfId="50" applyNumberFormat="1" applyFont="1" applyFill="1" applyBorder="1" applyAlignment="1">
      <alignment horizontal="right"/>
    </xf>
    <xf numFmtId="1" fontId="1" fillId="33" borderId="4" xfId="50" applyNumberFormat="1" applyFont="1" applyFill="1" applyBorder="1" applyAlignment="1">
      <alignment horizontal="right"/>
    </xf>
    <xf numFmtId="1" fontId="1" fillId="33" borderId="7" xfId="50" applyNumberFormat="1" applyFont="1" applyFill="1" applyBorder="1" applyAlignment="1">
      <alignment horizontal="right"/>
    </xf>
    <xf numFmtId="1" fontId="1" fillId="33" borderId="8" xfId="50" applyNumberFormat="1" applyFont="1" applyFill="1" applyBorder="1" applyAlignment="1">
      <alignment horizontal="right"/>
    </xf>
    <xf numFmtId="1" fontId="1" fillId="33" borderId="42" xfId="50" applyNumberFormat="1" applyFont="1" applyFill="1" applyBorder="1" applyAlignment="1">
      <alignment horizontal="right"/>
    </xf>
    <xf numFmtId="1" fontId="3" fillId="33" borderId="46" xfId="50" applyNumberFormat="1" applyFont="1" applyFill="1" applyBorder="1" applyAlignment="1">
      <alignment horizontal="right"/>
    </xf>
    <xf numFmtId="1" fontId="3" fillId="33" borderId="67" xfId="50" applyNumberFormat="1" applyFont="1" applyFill="1" applyBorder="1" applyAlignment="1">
      <alignment horizontal="right"/>
    </xf>
    <xf numFmtId="1" fontId="3" fillId="33" borderId="45" xfId="50" applyNumberFormat="1" applyFont="1" applyFill="1" applyBorder="1" applyAlignment="1">
      <alignment horizontal="right"/>
    </xf>
    <xf numFmtId="1" fontId="3" fillId="33" borderId="66" xfId="50" applyNumberFormat="1" applyFont="1" applyFill="1" applyBorder="1" applyAlignment="1">
      <alignment horizontal="right"/>
    </xf>
    <xf numFmtId="1" fontId="3" fillId="34" borderId="46" xfId="50" applyNumberFormat="1" applyFont="1" applyFill="1" applyBorder="1" applyAlignment="1">
      <alignment horizontal="right"/>
    </xf>
    <xf numFmtId="1" fontId="3" fillId="33" borderId="68" xfId="50" applyNumberFormat="1" applyFont="1" applyFill="1" applyBorder="1" applyAlignment="1">
      <alignment horizontal="right"/>
    </xf>
    <xf numFmtId="1" fontId="3" fillId="34" borderId="100" xfId="50" applyNumberFormat="1" applyFont="1" applyFill="1" applyBorder="1" applyAlignment="1">
      <alignment horizontal="right"/>
    </xf>
    <xf numFmtId="1" fontId="1" fillId="33" borderId="31" xfId="50" applyNumberFormat="1" applyFont="1" applyFill="1" applyBorder="1" applyAlignment="1">
      <alignment horizontal="right"/>
    </xf>
    <xf numFmtId="1" fontId="1" fillId="33" borderId="43" xfId="50" applyNumberFormat="1" applyFont="1" applyFill="1" applyBorder="1" applyAlignment="1">
      <alignment horizontal="right"/>
    </xf>
    <xf numFmtId="1" fontId="1" fillId="33" borderId="47" xfId="50" applyNumberFormat="1" applyFont="1" applyFill="1" applyBorder="1" applyAlignment="1">
      <alignment horizontal="right"/>
    </xf>
    <xf numFmtId="1" fontId="1" fillId="33" borderId="33" xfId="50" applyNumberFormat="1" applyFont="1" applyFill="1" applyBorder="1" applyAlignment="1">
      <alignment horizontal="right"/>
    </xf>
    <xf numFmtId="1" fontId="1" fillId="0" borderId="4" xfId="50" applyNumberFormat="1" applyFont="1" applyFill="1" applyBorder="1" applyAlignment="1">
      <alignment horizontal="right"/>
    </xf>
    <xf numFmtId="1" fontId="1" fillId="0" borderId="101" xfId="50" applyNumberFormat="1" applyFont="1" applyFill="1" applyBorder="1" applyAlignment="1">
      <alignment horizontal="right"/>
    </xf>
    <xf numFmtId="1" fontId="3" fillId="0" borderId="0" xfId="43" applyNumberFormat="1" applyFont="1" applyBorder="1"/>
    <xf numFmtId="3" fontId="27" fillId="0" borderId="79" xfId="43" applyNumberFormat="1" applyFont="1" applyFill="1" applyBorder="1" applyAlignment="1">
      <alignment horizontal="right"/>
    </xf>
    <xf numFmtId="1" fontId="27" fillId="0" borderId="79" xfId="50" applyNumberFormat="1" applyFont="1" applyFill="1" applyBorder="1" applyAlignment="1">
      <alignment horizontal="right"/>
    </xf>
    <xf numFmtId="3" fontId="1" fillId="36" borderId="6" xfId="43" applyNumberFormat="1" applyFill="1" applyBorder="1" applyAlignment="1">
      <alignment horizontal="right"/>
    </xf>
    <xf numFmtId="3" fontId="28" fillId="33" borderId="6" xfId="43" applyNumberFormat="1" applyFont="1" applyFill="1" applyBorder="1" applyAlignment="1">
      <alignment horizontal="right"/>
    </xf>
    <xf numFmtId="167" fontId="0" fillId="0" borderId="0" xfId="50" applyNumberFormat="1" applyFont="1"/>
    <xf numFmtId="0" fontId="22" fillId="0" borderId="0" xfId="0" applyFont="1"/>
    <xf numFmtId="167" fontId="22" fillId="0" borderId="0" xfId="50" applyNumberFormat="1" applyFont="1"/>
    <xf numFmtId="2" fontId="25" fillId="0" borderId="112" xfId="43" applyNumberFormat="1" applyFont="1" applyFill="1" applyBorder="1" applyAlignment="1">
      <alignment horizontal="center"/>
    </xf>
    <xf numFmtId="0" fontId="0" fillId="0" borderId="0" xfId="0" applyFill="1"/>
    <xf numFmtId="166" fontId="0" fillId="0" borderId="0" xfId="50" applyNumberFormat="1" applyFont="1" applyFill="1"/>
    <xf numFmtId="166" fontId="1" fillId="0" borderId="81" xfId="50" applyNumberFormat="1" applyFont="1" applyFill="1" applyBorder="1"/>
    <xf numFmtId="166" fontId="0" fillId="0" borderId="120" xfId="50" applyNumberFormat="1" applyFont="1" applyFill="1" applyBorder="1"/>
    <xf numFmtId="166" fontId="0" fillId="0" borderId="0" xfId="50" applyNumberFormat="1" applyFont="1" applyFill="1" applyBorder="1"/>
    <xf numFmtId="0" fontId="1" fillId="0" borderId="86" xfId="43" applyFill="1" applyBorder="1" applyAlignment="1">
      <alignment horizontal="center" wrapText="1"/>
    </xf>
    <xf numFmtId="0" fontId="0" fillId="37" borderId="0" xfId="0" applyFill="1" applyAlignment="1">
      <alignment horizontal="center"/>
    </xf>
    <xf numFmtId="0" fontId="0" fillId="37" borderId="0" xfId="0" applyFill="1"/>
    <xf numFmtId="0" fontId="1" fillId="37" borderId="82" xfId="43" applyFill="1" applyBorder="1"/>
    <xf numFmtId="0" fontId="1" fillId="37" borderId="85" xfId="43" applyFill="1" applyBorder="1" applyAlignment="1">
      <alignment horizontal="center"/>
    </xf>
    <xf numFmtId="4" fontId="1" fillId="37" borderId="19" xfId="43" applyNumberFormat="1" applyFill="1" applyBorder="1"/>
    <xf numFmtId="4" fontId="1" fillId="37" borderId="0" xfId="43" applyNumberFormat="1" applyFill="1" applyBorder="1"/>
    <xf numFmtId="4" fontId="2" fillId="37" borderId="0" xfId="43" applyNumberFormat="1" applyFont="1" applyFill="1" applyBorder="1"/>
    <xf numFmtId="4" fontId="25" fillId="37" borderId="74" xfId="43" applyNumberFormat="1" applyFont="1" applyFill="1" applyBorder="1"/>
    <xf numFmtId="2" fontId="0" fillId="0" borderId="0" xfId="0" applyNumberFormat="1" applyFill="1"/>
    <xf numFmtId="0" fontId="0" fillId="0" borderId="0" xfId="55" applyNumberFormat="1" applyFont="1" applyFill="1"/>
    <xf numFmtId="0" fontId="0" fillId="0" borderId="0" xfId="0" applyNumberFormat="1" applyFill="1"/>
    <xf numFmtId="0" fontId="29" fillId="0" borderId="0" xfId="0" applyFont="1" applyFill="1"/>
    <xf numFmtId="2" fontId="29" fillId="0" borderId="0" xfId="0" applyNumberFormat="1" applyFont="1" applyFill="1"/>
    <xf numFmtId="0" fontId="3" fillId="0" borderId="88" xfId="43" applyFont="1" applyBorder="1" applyAlignment="1">
      <alignment horizontal="center"/>
    </xf>
    <xf numFmtId="0" fontId="3" fillId="0" borderId="89" xfId="43" applyFont="1" applyBorder="1" applyAlignment="1">
      <alignment horizontal="center"/>
    </xf>
    <xf numFmtId="0" fontId="3" fillId="0" borderId="71" xfId="43" applyFont="1" applyBorder="1" applyAlignment="1">
      <alignment horizontal="center"/>
    </xf>
    <xf numFmtId="0" fontId="3" fillId="0" borderId="70" xfId="43" applyFont="1" applyBorder="1" applyAlignment="1">
      <alignment horizontal="center"/>
    </xf>
    <xf numFmtId="0" fontId="1" fillId="0" borderId="69" xfId="43" applyFont="1" applyBorder="1" applyAlignment="1">
      <alignment horizontal="center"/>
    </xf>
    <xf numFmtId="0" fontId="1" fillId="0" borderId="69" xfId="43" applyBorder="1" applyAlignment="1">
      <alignment horizontal="center"/>
    </xf>
    <xf numFmtId="0" fontId="1" fillId="0" borderId="70" xfId="43" applyFont="1" applyBorder="1" applyAlignment="1">
      <alignment horizontal="center"/>
    </xf>
    <xf numFmtId="0" fontId="1" fillId="0" borderId="71" xfId="43" applyFont="1" applyBorder="1" applyAlignment="1">
      <alignment horizontal="center"/>
    </xf>
    <xf numFmtId="0" fontId="26" fillId="0" borderId="0" xfId="0" applyFont="1" applyAlignment="1">
      <alignment wrapText="1"/>
    </xf>
    <xf numFmtId="0" fontId="1" fillId="0" borderId="107" xfId="42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/>
    </xf>
    <xf numFmtId="0" fontId="1" fillId="0" borderId="110" xfId="42" applyFont="1" applyBorder="1" applyAlignment="1">
      <alignment horizontal="center" vertical="center"/>
    </xf>
    <xf numFmtId="0" fontId="26" fillId="0" borderId="108" xfId="0" applyFont="1" applyBorder="1" applyAlignment="1">
      <alignment vertical="center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26"/>
    <cellStyle name="Calculation" xfId="27" builtinId="22" customBuiltin="1"/>
    <cellStyle name="Check Cell" xfId="28" builtinId="23" customBuiltin="1"/>
    <cellStyle name="Comma" xfId="50" builtinId="3"/>
    <cellStyle name="Comma 2" xfId="29"/>
    <cellStyle name="Comma 2 2" xfId="52"/>
    <cellStyle name="Comma 3" xfId="30"/>
    <cellStyle name="Comma 3 2" xfId="53"/>
    <cellStyle name="Currency" xfId="55" builtinId="4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Hyperlink 2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42"/>
    <cellStyle name="Normal 3" xfId="43"/>
    <cellStyle name="Note" xfId="44" builtinId="10" customBuiltin="1"/>
    <cellStyle name="Output" xfId="45" builtinId="21" customBuiltin="1"/>
    <cellStyle name="Percent" xfId="51" builtinId="5"/>
    <cellStyle name="Percent 2" xfId="46"/>
    <cellStyle name="Percent 2 2" xfId="54"/>
    <cellStyle name="Title" xfId="47" builtinId="15" customBuiltin="1"/>
    <cellStyle name="Total" xfId="48" builtinId="25" customBuiltin="1"/>
    <cellStyle name="Warning Text" xfId="49" builtinId="11" customBuiltin="1"/>
  </cellStyles>
  <dxfs count="1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10161236251505"/>
          <c:y val="8.6307524227436483E-2"/>
          <c:w val="0.3703719145956636"/>
          <c:h val="0.822623446699639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rgbClr val="FF0000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State from DOH
2.5%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County Public Health Assistance</a:t>
                    </a:r>
                  </a:p>
                  <a:p>
                    <a:pPr>
                      <a:defRPr sz="1200"/>
                    </a:pPr>
                    <a:r>
                      <a:rPr lang="en-US" sz="1200" b="1"/>
                      <a:t>9.8%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State from Other
5.5%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Federal from DOH
12.7%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Federal from Other
6.8%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Local Government Contribution</a:t>
                    </a:r>
                    <a:r>
                      <a:rPr lang="en-US" sz="1200"/>
                      <a:t>
</a:t>
                    </a:r>
                    <a:r>
                      <a:rPr lang="en-US" sz="1200" b="1"/>
                      <a:t>23.8%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sz="1200" b="1"/>
                      <a:t>Licenses Permits &amp; Fees</a:t>
                    </a:r>
                    <a:r>
                      <a:rPr lang="en-US" sz="1200"/>
                      <a:t>
</a:t>
                    </a:r>
                    <a:r>
                      <a:rPr lang="en-US" sz="1200" b="1"/>
                      <a:t>35.9</a:t>
                    </a:r>
                    <a:r>
                      <a:rPr lang="en-US" sz="1200"/>
                      <a:t>%</a:t>
                    </a:r>
                  </a:p>
                </c:rich>
              </c:tx>
              <c:numFmt formatCode="0.0%" sourceLinked="0"/>
              <c:spPr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862708981040503E-2"/>
                  <c:y val="2.109704251949261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Misc/Fund Balance/Other
2.9%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Sheet1!$A$1:$A$8</c:f>
              <c:strCache>
                <c:ptCount val="8"/>
                <c:pt idx="0">
                  <c:v>State from DOH</c:v>
                </c:pt>
                <c:pt idx="1">
                  <c:v>County Public Health Assistance</c:v>
                </c:pt>
                <c:pt idx="2">
                  <c:v>State from Other</c:v>
                </c:pt>
                <c:pt idx="3">
                  <c:v>Federal from DOH</c:v>
                </c:pt>
                <c:pt idx="4">
                  <c:v>Federal from Other</c:v>
                </c:pt>
                <c:pt idx="5">
                  <c:v>Local Government Contribution</c:v>
                </c:pt>
                <c:pt idx="6">
                  <c:v>Licenses Permits &amp; Fees</c:v>
                </c:pt>
                <c:pt idx="7">
                  <c:v>Misc/Fund Balance/Other</c:v>
                </c:pt>
              </c:strCache>
            </c:strRef>
          </c:cat>
          <c:val>
            <c:numRef>
              <c:f>Sheet1!$B$1:$B$8</c:f>
              <c:numCache>
                <c:formatCode>_(* #,##0_);_(* \(#,##0\);_(* "-"??_);_(@_)</c:formatCode>
                <c:ptCount val="8"/>
                <c:pt idx="0">
                  <c:v>9261386</c:v>
                </c:pt>
                <c:pt idx="1">
                  <c:v>35965458</c:v>
                </c:pt>
                <c:pt idx="2">
                  <c:v>20196195</c:v>
                </c:pt>
                <c:pt idx="3">
                  <c:v>46727758</c:v>
                </c:pt>
                <c:pt idx="4">
                  <c:v>24881621</c:v>
                </c:pt>
                <c:pt idx="5">
                  <c:v>87220190</c:v>
                </c:pt>
                <c:pt idx="6">
                  <c:v>131876822</c:v>
                </c:pt>
                <c:pt idx="7">
                  <c:v>10813352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('Cowlitz Pgs 22-23'!$B$65,'Cowlitz Pgs 22-23'!$B$69,'Cowlitz Pgs 22-23'!$B$71,'Cowlitz Pgs 22-23'!$B$72,'Cowlitz Pgs 22-23'!$B$75)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('Cowlitz Pgs 22-23'!$C$65,'Cowlitz Pgs 22-23'!$C$69,'Cowlitz Pgs 22-23'!$C$71,'Cowlitz Pgs 22-23'!$C$72,'Cowlitz Pgs 22-23'!$C$75)</c:f>
              <c:numCache>
                <c:formatCode>#,##0</c:formatCode>
                <c:ptCount val="5"/>
                <c:pt idx="0">
                  <c:v>477626.87</c:v>
                </c:pt>
                <c:pt idx="1">
                  <c:v>589019</c:v>
                </c:pt>
                <c:pt idx="2">
                  <c:v>331290.98</c:v>
                </c:pt>
                <c:pt idx="3">
                  <c:v>1037139</c:v>
                </c:pt>
                <c:pt idx="4">
                  <c:v>410804.02999999997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469171483622351"/>
                  <c:y val="-1.88697074927893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1321824495673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450867052023033E-2"/>
                  <c:y val="7.54788299711575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4.151335648413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('Garfield Pgs 24-25'!$B$65,'Garfield Pgs 24-25'!$B$69,'Garfield Pgs 24-25'!$B$71,'Garfield Pgs 24-25'!$B$72,'Garfield Pgs 24-25'!$B$75)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('Garfield Pgs 24-25'!$C$65,'Garfield Pgs 24-25'!$C$69,'Garfield Pgs 24-25'!$C$71,'Garfield Pgs 24-25'!$C$72,'Garfield Pgs 24-25'!$C$75)</c:f>
              <c:numCache>
                <c:formatCode>#,##0</c:formatCode>
                <c:ptCount val="5"/>
                <c:pt idx="0">
                  <c:v>94394</c:v>
                </c:pt>
                <c:pt idx="1">
                  <c:v>65809</c:v>
                </c:pt>
                <c:pt idx="2">
                  <c:v>32502</c:v>
                </c:pt>
                <c:pt idx="3">
                  <c:v>7532</c:v>
                </c:pt>
                <c:pt idx="4">
                  <c:v>30411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('Grant Pgs 26-27'!$B$65,'Grant Pgs 26-27'!$B$69,'Grant Pgs 26-27'!$B$71,'Grant Pgs 26-27'!$B$72,'Grant Pgs 26-27'!$B$75)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('Grant Pgs 26-27'!$C$65,'Grant Pgs 26-27'!$C$69,'Grant Pgs 26-27'!$C$71,'Grant Pgs 26-27'!$C$72,'Grant Pgs 26-27'!$C$75)</c:f>
              <c:numCache>
                <c:formatCode>#,##0</c:formatCode>
                <c:ptCount val="5"/>
                <c:pt idx="0">
                  <c:v>470357</c:v>
                </c:pt>
                <c:pt idx="1">
                  <c:v>744532</c:v>
                </c:pt>
                <c:pt idx="2">
                  <c:v>259501</c:v>
                </c:pt>
                <c:pt idx="3">
                  <c:v>709484</c:v>
                </c:pt>
                <c:pt idx="4">
                  <c:v>19138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8818449253528416E-2"/>
                  <c:y val="3.4119993719294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2048014108181506E-3"/>
                  <c:y val="-0.11752442281090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('Grays Harbor Pgs 28-29'!$B$65,'Grays Harbor Pgs 28-29'!$B$69,'Grays Harbor Pgs 28-29'!$B$71,'Grays Harbor Pgs 28-29'!$B$72,'Grays Harbor Pgs 28-29'!$B$75)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('Grays Harbor Pgs 28-29'!$C$65,'Grays Harbor Pgs 28-29'!$C$69,'Grays Harbor Pgs 28-29'!$C$71,'Grays Harbor Pgs 28-29'!$C$72,'Grays Harbor Pgs 28-29'!$C$75)</c:f>
              <c:numCache>
                <c:formatCode>#,##0</c:formatCode>
                <c:ptCount val="5"/>
                <c:pt idx="0">
                  <c:v>345998</c:v>
                </c:pt>
                <c:pt idx="1">
                  <c:v>1413404</c:v>
                </c:pt>
                <c:pt idx="2">
                  <c:v>735942</c:v>
                </c:pt>
                <c:pt idx="3">
                  <c:v>322928</c:v>
                </c:pt>
                <c:pt idx="4">
                  <c:v>19239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1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Lbls>
            <c:dLbl>
              <c:idx val="0"/>
              <c:layout>
                <c:manualLayout>
                  <c:x val="-9.5785458673759826E-3"/>
                  <c:y val="-2.6598275091388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('Island Pgs 30-31'!$B$65,'Island Pgs 30-31'!$B$69,'Island Pgs 30-31'!$B$71,'Island Pgs 30-31'!$B$72,'Island Pgs 30-31'!$B$75)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('Island Pgs 30-31'!$C$65,'Island Pgs 30-31'!$C$69,'Island Pgs 30-31'!$C$71,'Island Pgs 30-31'!$C$72,'Island Pgs 30-31'!$C$75)</c:f>
              <c:numCache>
                <c:formatCode>#,##0</c:formatCode>
                <c:ptCount val="5"/>
                <c:pt idx="0">
                  <c:v>442134</c:v>
                </c:pt>
                <c:pt idx="1">
                  <c:v>1015505</c:v>
                </c:pt>
                <c:pt idx="2">
                  <c:v>448078</c:v>
                </c:pt>
                <c:pt idx="3">
                  <c:v>1620561</c:v>
                </c:pt>
                <c:pt idx="4">
                  <c:v>2336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1.68350200230690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('Jefferson Pgs 32-33'!$B$65,'Jefferson Pgs 32-33'!$B$69,'Jefferson Pgs 32-33'!$B$71,'Jefferson Pgs 32-33'!$B$72,'Jefferson Pgs 32-33'!$B$75)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('Jefferson Pgs 32-33'!$C$65,'Jefferson Pgs 32-33'!$C$69,'Jefferson Pgs 32-33'!$C$71,'Jefferson Pgs 32-33'!$C$72,'Jefferson Pgs 32-33'!$C$75)</c:f>
              <c:numCache>
                <c:formatCode>#,##0</c:formatCode>
                <c:ptCount val="5"/>
                <c:pt idx="0">
                  <c:v>766400</c:v>
                </c:pt>
                <c:pt idx="1">
                  <c:v>783342</c:v>
                </c:pt>
                <c:pt idx="2">
                  <c:v>780081</c:v>
                </c:pt>
                <c:pt idx="3">
                  <c:v>1567158</c:v>
                </c:pt>
                <c:pt idx="4">
                  <c:v>302735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4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('Kitsap Pgs 34-35'!$B$65,'Kitsap Pgs 34-35'!$B$69,'Kitsap Pgs 34-35'!$B$71,'Kitsap Pgs 34-35'!$B$72,'Kitsap Pgs 34-35'!$B$75)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('Kitsap Pgs 34-35'!$C$65,'Kitsap Pgs 34-35'!$C$69,'Kitsap Pgs 34-35'!$C$71,'Kitsap Pgs 34-35'!$C$72,'Kitsap Pgs 34-35'!$C$75)</c:f>
              <c:numCache>
                <c:formatCode>#,##0</c:formatCode>
                <c:ptCount val="5"/>
                <c:pt idx="0">
                  <c:v>2153785</c:v>
                </c:pt>
                <c:pt idx="1">
                  <c:v>1348047</c:v>
                </c:pt>
                <c:pt idx="2">
                  <c:v>2041232</c:v>
                </c:pt>
                <c:pt idx="3">
                  <c:v>5164291</c:v>
                </c:pt>
                <c:pt idx="4">
                  <c:v>148095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('Kittitas Pgs 36-37'!$B$65,'Kittitas Pgs 36-37'!$B$69,'Kittitas Pgs 36-37'!$B$71,'Kittitas Pgs 36-37'!$B$72,'Kittitas Pgs 36-37'!$B$75)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('Kittitas Pgs 36-37'!$C$65,'Kittitas Pgs 36-37'!$C$69,'Kittitas Pgs 36-37'!$C$71,'Kittitas Pgs 36-37'!$C$72,'Kittitas Pgs 36-37'!$C$75)</c:f>
              <c:numCache>
                <c:formatCode>#,##0</c:formatCode>
                <c:ptCount val="5"/>
                <c:pt idx="0">
                  <c:v>336239</c:v>
                </c:pt>
                <c:pt idx="1">
                  <c:v>220651</c:v>
                </c:pt>
                <c:pt idx="2">
                  <c:v>268062</c:v>
                </c:pt>
                <c:pt idx="3">
                  <c:v>653944</c:v>
                </c:pt>
                <c:pt idx="4">
                  <c:v>-4867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Lbls>
            <c:dLbl>
              <c:idx val="3"/>
              <c:layout>
                <c:manualLayout>
                  <c:x val="0.1090116487005678"/>
                  <c:y val="-4.1702214545804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('Klickitat Pgs 38-39'!$B$65,'Klickitat Pgs 38-39'!$B$69,'Klickitat Pgs 38-39'!$B$71,'Klickitat Pgs 38-39'!$B$72,'Klickitat Pgs 38-39'!$B$75)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('Klickitat Pgs 38-39'!$C$65,'Klickitat Pgs 38-39'!$C$69,'Klickitat Pgs 38-39'!$C$71,'Klickitat Pgs 38-39'!$C$72,'Klickitat Pgs 38-39'!$C$75)</c:f>
              <c:numCache>
                <c:formatCode>#,##0</c:formatCode>
                <c:ptCount val="5"/>
                <c:pt idx="0">
                  <c:v>385284</c:v>
                </c:pt>
                <c:pt idx="1">
                  <c:v>384145</c:v>
                </c:pt>
                <c:pt idx="2">
                  <c:v>41808</c:v>
                </c:pt>
                <c:pt idx="3">
                  <c:v>705153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48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('Lewis Pgs 40-41'!$B$65,'Lewis Pgs 40-41'!$B$69,'Lewis Pgs 40-41'!$B$71,'Lewis Pgs 40-41'!$B$72,'Lewis Pgs 40-41'!$B$75)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('Lewis Pgs 40-41'!$C$65,'Lewis Pgs 40-41'!$C$69,'Lewis Pgs 40-41'!$C$71,'Lewis Pgs 40-41'!$C$72,'Lewis Pgs 40-41'!$C$75)</c:f>
              <c:numCache>
                <c:formatCode>#,##0</c:formatCode>
                <c:ptCount val="5"/>
                <c:pt idx="0">
                  <c:v>1263735</c:v>
                </c:pt>
                <c:pt idx="1">
                  <c:v>1269341</c:v>
                </c:pt>
                <c:pt idx="2">
                  <c:v>679776</c:v>
                </c:pt>
                <c:pt idx="3">
                  <c:v>1892042</c:v>
                </c:pt>
                <c:pt idx="4">
                  <c:v>18121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45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989935018806395E-2"/>
          <c:y val="0.13765945547674635"/>
          <c:w val="0.82276846804405857"/>
          <c:h val="0.79232483200028403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3.472025932655854E-2"/>
                  <c:y val="5.6369785794813977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511653991968954E-2"/>
                  <c:y val="-6.856696464238475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496474265503134E-2"/>
                  <c:y val="-4.31603180380355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('Exp Code Ag Pgs 6&amp;7 Do Not Inpt'!$B$65,'Exp Code Ag Pgs 6&amp;7 Do Not Inpt'!$B$69,'Exp Code Ag Pgs 6&amp;7 Do Not Inpt'!$B$71,'Exp Code Ag Pgs 6&amp;7 Do Not Inpt'!$B$72,'Exp Code Ag Pgs 6&amp;7 Do Not Inpt'!$B$75)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('Exp Code Ag Pgs 6&amp;7 Do Not Inpt'!$C$65,'Exp Code Ag Pgs 6&amp;7 Do Not Inpt'!$C$69,'Exp Code Ag Pgs 6&amp;7 Do Not Inpt'!$C$71,'Exp Code Ag Pgs 6&amp;7 Do Not Inpt'!$C$72,'Exp Code Ag Pgs 6&amp;7 Do Not Inpt'!$C$75)</c:f>
              <c:numCache>
                <c:formatCode>#,##0</c:formatCode>
                <c:ptCount val="5"/>
                <c:pt idx="0">
                  <c:v>65423038.870000005</c:v>
                </c:pt>
                <c:pt idx="1">
                  <c:v>71609379</c:v>
                </c:pt>
                <c:pt idx="2">
                  <c:v>87220189.980000004</c:v>
                </c:pt>
                <c:pt idx="3">
                  <c:v>131876822</c:v>
                </c:pt>
                <c:pt idx="4">
                  <c:v>10813352.030000001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('Lincoln Pgs 42-43'!$B$65,'Lincoln Pgs 42-43'!$B$69,'Lincoln Pgs 42-43'!$B$71,'Lincoln Pgs 42-43'!$B$72,'Lincoln Pgs 42-43'!$B$75)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('Lincoln Pgs 42-43'!$C$65,'Lincoln Pgs 42-43'!$C$69,'Lincoln Pgs 42-43'!$C$71,'Lincoln Pgs 42-43'!$C$72,'Lincoln Pgs 42-43'!$C$75)</c:f>
              <c:numCache>
                <c:formatCode>#,##0</c:formatCode>
                <c:ptCount val="5"/>
                <c:pt idx="0">
                  <c:v>126123</c:v>
                </c:pt>
                <c:pt idx="1">
                  <c:v>172465</c:v>
                </c:pt>
                <c:pt idx="2">
                  <c:v>139011</c:v>
                </c:pt>
                <c:pt idx="3">
                  <c:v>98449</c:v>
                </c:pt>
                <c:pt idx="4">
                  <c:v>45003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0.22574451915263935"/>
                  <c:y val="-3.79111041325491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6061497511761382E-3"/>
                  <c:y val="1.5164441653019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01537437794043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('Mason Pgs 44-45'!$B$65,'Mason Pgs 44-45'!$B$69,'Mason Pgs 44-45'!$B$71,'Mason Pgs 44-45'!$B$72,'Mason Pgs 44-45'!$B$75)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('Mason Pgs 44-45'!$C$65,'Mason Pgs 44-45'!$C$69,'Mason Pgs 44-45'!$C$71,'Mason Pgs 44-45'!$C$72,'Mason Pgs 44-45'!$C$75)</c:f>
              <c:numCache>
                <c:formatCode>#,##0</c:formatCode>
                <c:ptCount val="5"/>
                <c:pt idx="0">
                  <c:v>458164</c:v>
                </c:pt>
                <c:pt idx="1">
                  <c:v>910127</c:v>
                </c:pt>
                <c:pt idx="2">
                  <c:v>232095</c:v>
                </c:pt>
                <c:pt idx="3">
                  <c:v>525067</c:v>
                </c:pt>
                <c:pt idx="4">
                  <c:v>170671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7.913667570447408E-2"/>
                  <c:y val="-5.2955090628259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('Northeast Tri Pgs 46-47'!$B$65,'Northeast Tri Pgs 46-47'!$B$69,'Northeast Tri Pgs 46-47'!$B$71,'Northeast Tri Pgs 46-47'!$B$72,'Northeast Tri Pgs 46-47'!$B$75)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('Northeast Tri Pgs 46-47'!$C$65,'Northeast Tri Pgs 46-47'!$C$69,'Northeast Tri Pgs 46-47'!$C$71,'Northeast Tri Pgs 46-47'!$C$72,'Northeast Tri Pgs 46-47'!$C$75)</c:f>
              <c:numCache>
                <c:formatCode>#,##0</c:formatCode>
                <c:ptCount val="5"/>
                <c:pt idx="0">
                  <c:v>379012</c:v>
                </c:pt>
                <c:pt idx="1">
                  <c:v>529732</c:v>
                </c:pt>
                <c:pt idx="2">
                  <c:v>793390</c:v>
                </c:pt>
                <c:pt idx="3">
                  <c:v>362864</c:v>
                </c:pt>
                <c:pt idx="4">
                  <c:v>103274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3"/>
              <c:layout>
                <c:manualLayout>
                  <c:x val="-7.0226419663397488E-2"/>
                  <c:y val="-4.49817328120489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('Okanogan Pgs 48-49'!$B$65,'Okanogan Pgs 48-49'!$B$69,'Okanogan Pgs 48-49'!$B$71,'Okanogan Pgs 48-49'!$B$72,'Okanogan Pgs 48-49'!$B$75)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('Okanogan Pgs 48-49'!$C$65,'Okanogan Pgs 48-49'!$C$69,'Okanogan Pgs 48-49'!$C$71,'Okanogan Pgs 48-49'!$C$72,'Okanogan Pgs 48-49'!$C$75)</c:f>
              <c:numCache>
                <c:formatCode>#,##0</c:formatCode>
                <c:ptCount val="5"/>
                <c:pt idx="0">
                  <c:v>298605</c:v>
                </c:pt>
                <c:pt idx="1">
                  <c:v>231640</c:v>
                </c:pt>
                <c:pt idx="2">
                  <c:v>120176</c:v>
                </c:pt>
                <c:pt idx="3">
                  <c:v>416520</c:v>
                </c:pt>
                <c:pt idx="4">
                  <c:v>13154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0.10101012013841454"/>
                  <c:y val="2.6659053792512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6695531750866702"/>
                  <c:y val="-6.8551852609318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150085813153242E-3"/>
                  <c:y val="9.521090640183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8084362560732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645025743945973E-2"/>
                  <c:y val="-0.125678396450417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('Pacific Pgs 50-51'!$B$65,'Pacific Pgs 50-51'!$B$69,'Pacific Pgs 50-51'!$B$71,'Pacific Pgs 50-51'!$B$72,'Pacific Pgs 50-51'!$B$75)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('Pacific Pgs 50-51'!$C$65,'Pacific Pgs 50-51'!$C$69,'Pacific Pgs 50-51'!$C$71,'Pacific Pgs 50-51'!$C$72,'Pacific Pgs 50-51'!$C$75)</c:f>
              <c:numCache>
                <c:formatCode>#,##0</c:formatCode>
                <c:ptCount val="5"/>
                <c:pt idx="0">
                  <c:v>333709</c:v>
                </c:pt>
                <c:pt idx="1">
                  <c:v>435528</c:v>
                </c:pt>
                <c:pt idx="2">
                  <c:v>82336</c:v>
                </c:pt>
                <c:pt idx="3">
                  <c:v>15697</c:v>
                </c:pt>
                <c:pt idx="4">
                  <c:v>15426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1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('San Juan Pgs 52-53'!$B$65,'San Juan Pgs 52-53'!$B$69,'San Juan Pgs 52-53'!$B$71,'San Juan Pgs 52-53'!$B$72,'San Juan Pgs 52-53'!$B$75)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('San Juan Pgs 52-53'!$C$65,'San Juan Pgs 52-53'!$C$69,'San Juan Pgs 52-53'!$C$71,'San Juan Pgs 52-53'!$C$72,'San Juan Pgs 52-53'!$C$75)</c:f>
              <c:numCache>
                <c:formatCode>#,##0</c:formatCode>
                <c:ptCount val="5"/>
                <c:pt idx="0">
                  <c:v>1137712</c:v>
                </c:pt>
                <c:pt idx="1">
                  <c:v>651543</c:v>
                </c:pt>
                <c:pt idx="2">
                  <c:v>1186435</c:v>
                </c:pt>
                <c:pt idx="3">
                  <c:v>775017</c:v>
                </c:pt>
                <c:pt idx="4">
                  <c:v>32708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('Seattle-King Pgs 54-55'!$B$65,'Seattle-King Pgs 54-55'!$B$69,'Seattle-King Pgs 54-55'!$B$71,'Seattle-King Pgs 54-55'!$B$72,'Seattle-King Pgs 54-55'!$B$75)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('Seattle-King Pgs 54-55'!$C$65,'Seattle-King Pgs 54-55'!$C$69,'Seattle-King Pgs 54-55'!$C$71,'Seattle-King Pgs 54-55'!$C$72,'Seattle-King Pgs 54-55'!$C$75)</c:f>
              <c:numCache>
                <c:formatCode>#,##0</c:formatCode>
                <c:ptCount val="5"/>
                <c:pt idx="0">
                  <c:v>20526366</c:v>
                </c:pt>
                <c:pt idx="1">
                  <c:v>33274611</c:v>
                </c:pt>
                <c:pt idx="2">
                  <c:v>52966773</c:v>
                </c:pt>
                <c:pt idx="3">
                  <c:v>73371847</c:v>
                </c:pt>
                <c:pt idx="4">
                  <c:v>5368566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6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('Skagit Pgs 56-57'!$B$65,'Skagit Pgs 56-57'!$B$69,'Skagit Pgs 56-57'!$B$71,'Skagit Pgs 56-57'!$B$72,'Skagit Pgs 56-57'!$B$75)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('Skagit Pgs 56-57'!$C$65,'Skagit Pgs 56-57'!$C$69,'Skagit Pgs 56-57'!$C$71,'Skagit Pgs 56-57'!$C$72,'Skagit Pgs 56-57'!$C$75)</c:f>
              <c:numCache>
                <c:formatCode>#,##0</c:formatCode>
                <c:ptCount val="5"/>
                <c:pt idx="0">
                  <c:v>759606</c:v>
                </c:pt>
                <c:pt idx="1">
                  <c:v>826957</c:v>
                </c:pt>
                <c:pt idx="2">
                  <c:v>1213313</c:v>
                </c:pt>
                <c:pt idx="3">
                  <c:v>971588</c:v>
                </c:pt>
                <c:pt idx="4">
                  <c:v>88668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('Skamania Pgs 58-59'!$B$65,'Skamania Pgs 58-59'!$B$69,'Skamania Pgs 58-59'!$B$71,'Skamania Pgs 58-59'!$B$72,'Skamania Pgs 58-59'!$B$75)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('Skamania Pgs 58-59'!$C$65,'Skamania Pgs 58-59'!$C$69,'Skamania Pgs 58-59'!$C$71,'Skamania Pgs 58-59'!$C$72,'Skamania Pgs 58-59'!$C$75)</c:f>
              <c:numCache>
                <c:formatCode>#,##0</c:formatCode>
                <c:ptCount val="5"/>
                <c:pt idx="0">
                  <c:v>257491</c:v>
                </c:pt>
                <c:pt idx="1">
                  <c:v>131335</c:v>
                </c:pt>
                <c:pt idx="2">
                  <c:v>282260</c:v>
                </c:pt>
                <c:pt idx="3">
                  <c:v>1023572</c:v>
                </c:pt>
                <c:pt idx="4">
                  <c:v>122586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5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('Snohomish Pgs 60-61'!$B$65,'Snohomish Pgs 60-61'!$B$69,'Snohomish Pgs 60-61'!$B$71,'Snohomish Pgs 60-61'!$B$72,'Snohomish Pgs 60-61'!$B$75)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('Snohomish Pgs 60-61'!$C$65,'Snohomish Pgs 60-61'!$C$69,'Snohomish Pgs 60-61'!$C$71,'Snohomish Pgs 60-61'!$C$72,'Snohomish Pgs 60-61'!$C$75)</c:f>
              <c:numCache>
                <c:formatCode>#,##0</c:formatCode>
                <c:ptCount val="5"/>
                <c:pt idx="0">
                  <c:v>4033154</c:v>
                </c:pt>
                <c:pt idx="1">
                  <c:v>3055696</c:v>
                </c:pt>
                <c:pt idx="2">
                  <c:v>2936843</c:v>
                </c:pt>
                <c:pt idx="3">
                  <c:v>4811895</c:v>
                </c:pt>
                <c:pt idx="4">
                  <c:v>710834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('Adams Pgs 8-9'!$B$65,'Adams Pgs 8-9'!$B$69,'Adams Pgs 8-9'!$B$71:$B$72,'Adams Pgs 8-9'!$B$75)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('Adams Pgs 8-9'!$C$65,'Adams Pgs 8-9'!$C$69,'Adams Pgs 8-9'!$C$71:$C$72,'Adams Pgs 8-9'!$C$75)</c:f>
              <c:numCache>
                <c:formatCode>#,##0</c:formatCode>
                <c:ptCount val="5"/>
                <c:pt idx="0">
                  <c:v>162023</c:v>
                </c:pt>
                <c:pt idx="1">
                  <c:v>210384</c:v>
                </c:pt>
                <c:pt idx="2">
                  <c:v>115817</c:v>
                </c:pt>
                <c:pt idx="3">
                  <c:v>147286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('Spokane Pgs 62-63'!$B$65,'Spokane Pgs 62-63'!$B$69,'Spokane Pgs 62-63'!$B$71,'Spokane Pgs 62-63'!$B$72,'Spokane Pgs 62-63'!$B$75)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('Spokane Pgs 62-63'!$C$65,'Spokane Pgs 62-63'!$C$69,'Spokane Pgs 62-63'!$C$71,'Spokane Pgs 62-63'!$C$72,'Spokane Pgs 62-63'!$C$75)</c:f>
              <c:numCache>
                <c:formatCode>#,##0</c:formatCode>
                <c:ptCount val="5"/>
                <c:pt idx="0">
                  <c:v>7966669</c:v>
                </c:pt>
                <c:pt idx="1">
                  <c:v>6936851</c:v>
                </c:pt>
                <c:pt idx="2">
                  <c:v>2745896</c:v>
                </c:pt>
                <c:pt idx="3">
                  <c:v>6336271</c:v>
                </c:pt>
                <c:pt idx="4">
                  <c:v>406081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8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('Tacoma-Pierce Pgs 64-65'!$B$65,'Tacoma-Pierce Pgs 64-65'!$B$69,'Tacoma-Pierce Pgs 64-65'!$B$71,'Tacoma-Pierce Pgs 64-65'!$B$72,'Tacoma-Pierce Pgs 64-65'!$B$75)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('Tacoma-Pierce Pgs 64-65'!$C$65,'Tacoma-Pierce Pgs 64-65'!$C$69,'Tacoma-Pierce Pgs 64-65'!$C$71,'Tacoma-Pierce Pgs 64-65'!$C$72,'Tacoma-Pierce Pgs 64-65'!$C$75)</c:f>
              <c:numCache>
                <c:formatCode>#,##0</c:formatCode>
                <c:ptCount val="5"/>
                <c:pt idx="0">
                  <c:v>6877769</c:v>
                </c:pt>
                <c:pt idx="1">
                  <c:v>4409737</c:v>
                </c:pt>
                <c:pt idx="2">
                  <c:v>5380810</c:v>
                </c:pt>
                <c:pt idx="3">
                  <c:v>11916225</c:v>
                </c:pt>
                <c:pt idx="4">
                  <c:v>1066824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('Thurston Pgs 66-67'!$B$65,'Thurston Pgs 66-67'!$B$69,'Thurston Pgs 66-67'!$B$71,'Thurston Pgs 66-67'!$B$72,'Thurston Pgs 66-67'!$B$75)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('Thurston Pgs 66-67'!$C$65,'Thurston Pgs 66-67'!$C$69,'Thurston Pgs 66-67'!$C$71,'Thurston Pgs 66-67'!$C$72,'Thurston Pgs 66-67'!$C$75)</c:f>
              <c:numCache>
                <c:formatCode>#,##0</c:formatCode>
                <c:ptCount val="5"/>
                <c:pt idx="0">
                  <c:v>1200868</c:v>
                </c:pt>
                <c:pt idx="1">
                  <c:v>1094541</c:v>
                </c:pt>
                <c:pt idx="2">
                  <c:v>2742840</c:v>
                </c:pt>
                <c:pt idx="3">
                  <c:v>2908862</c:v>
                </c:pt>
                <c:pt idx="4">
                  <c:v>12911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</c:dPt>
          <c:dPt>
            <c:idx val="1"/>
            <c:bubble3D val="0"/>
            <c:explosion val="0"/>
            <c:spPr>
              <a:solidFill>
                <a:srgbClr val="C00000"/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explosion val="0"/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1352659164034228"/>
                  <c:y val="-1.8955552066274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('Wahkiakum Pgs 68-69'!$B$65,'Wahkiakum Pgs 68-69'!$B$69,'Wahkiakum Pgs 68-69'!$B$71,'Wahkiakum Pgs 68-69'!$B$72,'Wahkiakum Pgs 68-69'!$B$75)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('Wahkiakum Pgs 68-69'!$C$65,'Wahkiakum Pgs 68-69'!$C$69,'Wahkiakum Pgs 68-69'!$C$71,'Wahkiakum Pgs 68-69'!$C$72,'Wahkiakum Pgs 68-69'!$C$75)</c:f>
              <c:numCache>
                <c:formatCode>#,##0</c:formatCode>
                <c:ptCount val="5"/>
                <c:pt idx="0">
                  <c:v>101372</c:v>
                </c:pt>
                <c:pt idx="1">
                  <c:v>69085</c:v>
                </c:pt>
                <c:pt idx="2">
                  <c:v>56696</c:v>
                </c:pt>
                <c:pt idx="3">
                  <c:v>31420</c:v>
                </c:pt>
                <c:pt idx="4">
                  <c:v>16949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3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9.352519751604021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('Walla Walla Pgs 70-71'!$B$65,'Walla Walla Pgs 70-71'!$B$69,'Walla Walla Pgs 70-71'!$B$71,'Walla Walla Pgs 70-71'!$B$72,'Walla Walla Pgs 70-71'!$B$75)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('Walla Walla Pgs 70-71'!$C$65,'Walla Walla Pgs 70-71'!$C$69,'Walla Walla Pgs 70-71'!$C$71,'Walla Walla Pgs 70-71'!$C$72,'Walla Walla Pgs 70-71'!$C$75)</c:f>
              <c:numCache>
                <c:formatCode>#,##0</c:formatCode>
                <c:ptCount val="5"/>
                <c:pt idx="0">
                  <c:v>366535</c:v>
                </c:pt>
                <c:pt idx="1">
                  <c:v>455639</c:v>
                </c:pt>
                <c:pt idx="2">
                  <c:v>385731</c:v>
                </c:pt>
                <c:pt idx="3">
                  <c:v>496073</c:v>
                </c:pt>
                <c:pt idx="4">
                  <c:v>413133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9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('Whatcom Pgs 72-73'!$B$65,'Whatcom Pgs 72-73'!$B$69,'Whatcom Pgs 72-73'!$B$71,'Whatcom Pgs 72-73'!$B$72,'Whatcom Pgs 72-73'!$B$75)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('Whatcom Pgs 72-73'!$C$65,'Whatcom Pgs 72-73'!$C$69,'Whatcom Pgs 72-73'!$C$71,'Whatcom Pgs 72-73'!$C$72,'Whatcom Pgs 72-73'!$C$75)</c:f>
              <c:numCache>
                <c:formatCode>#,##0</c:formatCode>
                <c:ptCount val="5"/>
                <c:pt idx="0">
                  <c:v>6904212</c:v>
                </c:pt>
                <c:pt idx="1">
                  <c:v>1725128</c:v>
                </c:pt>
                <c:pt idx="2">
                  <c:v>6309868</c:v>
                </c:pt>
                <c:pt idx="3">
                  <c:v>3108155</c:v>
                </c:pt>
                <c:pt idx="4">
                  <c:v>5797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71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1.44508697925427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('Whitman Pgs 74-75'!$B$65,'Whitman Pgs 74-75'!$B$69,'Whitman Pgs 74-75'!$B$71,'Whitman Pgs 74-75'!$B$72,'Whitman Pgs 74-75'!$B$75)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('Whitman Pgs 74-75'!$C$65,'Whitman Pgs 74-75'!$C$69,'Whitman Pgs 74-75'!$C$71,'Whitman Pgs 74-75'!$C$72,'Whitman Pgs 74-75'!$C$75)</c:f>
              <c:numCache>
                <c:formatCode>#,##0</c:formatCode>
                <c:ptCount val="5"/>
                <c:pt idx="0">
                  <c:v>218074</c:v>
                </c:pt>
                <c:pt idx="1">
                  <c:v>183443</c:v>
                </c:pt>
                <c:pt idx="2">
                  <c:v>270112</c:v>
                </c:pt>
                <c:pt idx="3">
                  <c:v>263857</c:v>
                </c:pt>
                <c:pt idx="4">
                  <c:v>46609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2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('Yakima Pgs 76-77'!$B$65,'Yakima Pgs 76-77'!$B$69,'Yakima Pgs 76-77'!$B$71,'Yakima Pgs 76-77'!$B$72,'Yakima Pgs 76-77'!$B$75)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('Yakima Pgs 76-77'!$C$65,'Yakima Pgs 76-77'!$C$69,'Yakima Pgs 76-77'!$C$71,'Yakima Pgs 76-77'!$C$72,'Yakima Pgs 76-77'!$C$75)</c:f>
              <c:numCache>
                <c:formatCode>#,##0</c:formatCode>
                <c:ptCount val="5"/>
                <c:pt idx="0">
                  <c:v>1268076</c:v>
                </c:pt>
                <c:pt idx="1">
                  <c:v>491721</c:v>
                </c:pt>
                <c:pt idx="2">
                  <c:v>101251</c:v>
                </c:pt>
                <c:pt idx="3">
                  <c:v>2217831</c:v>
                </c:pt>
                <c:pt idx="4">
                  <c:v>109830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3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7.8571443301732907E-2"/>
                  <c:y val="-2.6537772892784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('Asotin Pgs 10-11'!$B$65,'Asotin Pgs 10-11'!$B$69,'Asotin Pgs 10-11'!$B$71,'Asotin Pgs 10-11'!$B$72,'Asotin Pgs 10-11'!$B$75)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('Asotin Pgs 10-11'!$C$65,'Asotin Pgs 10-11'!$C$69,'Asotin Pgs 10-11'!$C$71,'Asotin Pgs 10-11'!$C$72,'Asotin Pgs 10-11'!$C$75)</c:f>
              <c:numCache>
                <c:formatCode>#,##0</c:formatCode>
                <c:ptCount val="5"/>
                <c:pt idx="0">
                  <c:v>166101</c:v>
                </c:pt>
                <c:pt idx="1">
                  <c:v>225584</c:v>
                </c:pt>
                <c:pt idx="2">
                  <c:v>40060</c:v>
                </c:pt>
                <c:pt idx="3">
                  <c:v>73797</c:v>
                </c:pt>
                <c:pt idx="4">
                  <c:v>48931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52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('Benton-Franklin Pgs 12-13'!$B$65,'Benton-Franklin Pgs 12-13'!$B$69,'Benton-Franklin Pgs 12-13'!$B$71,'Benton-Franklin Pgs 12-13'!$B$72,'Benton-Franklin Pgs 12-13'!$B$75)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('Benton-Franklin Pgs 12-13'!$C$65,'Benton-Franklin Pgs 12-13'!$C$69,'Benton-Franklin Pgs 12-13'!$C$71,'Benton-Franklin Pgs 12-13'!$C$72,'Benton-Franklin Pgs 12-13'!$C$75)</c:f>
              <c:numCache>
                <c:formatCode>#,##0</c:formatCode>
                <c:ptCount val="5"/>
                <c:pt idx="0">
                  <c:v>1843054</c:v>
                </c:pt>
                <c:pt idx="1">
                  <c:v>3519701</c:v>
                </c:pt>
                <c:pt idx="2">
                  <c:v>528407</c:v>
                </c:pt>
                <c:pt idx="3">
                  <c:v>2937110</c:v>
                </c:pt>
                <c:pt idx="4">
                  <c:v>86980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84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('Chelan-Douglas Pgs 14-15'!$B$65,'Chelan-Douglas Pgs 14-15'!$B$69,'Chelan-Douglas Pgs 14-15'!$B$71,'Chelan-Douglas Pgs 14-15'!$B$72,'Chelan-Douglas Pgs 14-15'!$B$75)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('Chelan-Douglas Pgs 14-15'!$C$65,'Chelan-Douglas Pgs 14-15'!$C$69,'Chelan-Douglas Pgs 14-15'!$C$71,'Chelan-Douglas Pgs 14-15'!$C$72,'Chelan-Douglas Pgs 14-15'!$C$75)</c:f>
              <c:numCache>
                <c:formatCode>#,##0</c:formatCode>
                <c:ptCount val="5"/>
                <c:pt idx="0">
                  <c:v>471364</c:v>
                </c:pt>
                <c:pt idx="1">
                  <c:v>871772</c:v>
                </c:pt>
                <c:pt idx="2">
                  <c:v>457819</c:v>
                </c:pt>
                <c:pt idx="3">
                  <c:v>1189416</c:v>
                </c:pt>
                <c:pt idx="4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1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8.6580275950354696E-2"/>
                  <c:y val="-4.939679659829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15007215007215E-3"/>
                  <c:y val="2.2798521506904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('Clallam Pgs 16-17'!$B$65,'Clallam Pgs 16-17'!$B$69,'Clallam Pgs 16-17'!$B$71,'Clallam Pgs 16-17'!$B$72,'Clallam Pgs 16-17'!$B$75)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('Clallam Pgs 16-17'!$C$65,'Clallam Pgs 16-17'!$C$69,'Clallam Pgs 16-17'!$C$71,'Clallam Pgs 16-17'!$C$72,'Clallam Pgs 16-17'!$C$75)</c:f>
              <c:numCache>
                <c:formatCode>#,##0</c:formatCode>
                <c:ptCount val="5"/>
                <c:pt idx="0">
                  <c:v>500333</c:v>
                </c:pt>
                <c:pt idx="1">
                  <c:v>888933</c:v>
                </c:pt>
                <c:pt idx="2">
                  <c:v>1144076</c:v>
                </c:pt>
                <c:pt idx="3">
                  <c:v>681809</c:v>
                </c:pt>
                <c:pt idx="4">
                  <c:v>149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10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2.6303397444502958E-2"/>
                  <c:y val="7.54788299711575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25921332505136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303685330020539"/>
                  <c:y val="-1.88697074927893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912008328157105E-3"/>
                  <c:y val="1.88697074927893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('Clark Pgs 18-19'!$B$65,'Clark Pgs 18-19'!$B$69,'Clark Pgs 18-19'!$B$71,'Clark Pgs 18-19'!$B$72,'Clark Pgs 18-19'!$B$75)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('Clark Pgs 18-19'!$C$65,'Clark Pgs 18-19'!$C$69,'Clark Pgs 18-19'!$C$71,'Clark Pgs 18-19'!$C$72,'Clark Pgs 18-19'!$C$75)</c:f>
              <c:numCache>
                <c:formatCode>#,##0</c:formatCode>
                <c:ptCount val="5"/>
                <c:pt idx="0">
                  <c:v>2209498</c:v>
                </c:pt>
                <c:pt idx="1">
                  <c:v>2350854</c:v>
                </c:pt>
                <c:pt idx="2">
                  <c:v>1305848</c:v>
                </c:pt>
                <c:pt idx="3">
                  <c:v>3472018</c:v>
                </c:pt>
                <c:pt idx="4">
                  <c:v>966929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265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Lbls>
            <c:dLbl>
              <c:idx val="3"/>
              <c:layout>
                <c:manualLayout>
                  <c:x val="-1.4347204996894264E-2"/>
                  <c:y val="-3.76541522449287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8694409993788528E-2"/>
                  <c:y val="2.63579065714500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('Columbia Pgs 20-21'!$B$65,'Columbia Pgs 20-21'!$B$69,'Columbia Pgs 20-21'!$B$71,'Columbia Pgs 20-21'!$B$72,'Columbia Pgs 20-21'!$B$75)</c:f>
              <c:strCache>
                <c:ptCount val="5"/>
                <c:pt idx="0">
                  <c:v>Total - State Funded Expenditures</c:v>
                </c:pt>
                <c:pt idx="1">
                  <c:v>Total - Federal Funded Expenditures</c:v>
                </c:pt>
                <c:pt idx="2">
                  <c:v>Local Government Contributions</c:v>
                </c:pt>
                <c:pt idx="3">
                  <c:v>Licenses, Permits &amp; Fees</c:v>
                </c:pt>
                <c:pt idx="4">
                  <c:v>Total - Other Funded Expenditures</c:v>
                </c:pt>
              </c:strCache>
            </c:strRef>
          </c:cat>
          <c:val>
            <c:numRef>
              <c:f>('Columbia Pgs 20-21'!$C$65,'Columbia Pgs 20-21'!$C$69,'Columbia Pgs 20-21'!$C$71,'Columbia Pgs 20-21'!$C$72,'Columbia Pgs 20-21'!$C$75)</c:f>
              <c:numCache>
                <c:formatCode>#,##0</c:formatCode>
                <c:ptCount val="5"/>
                <c:pt idx="0">
                  <c:v>121196</c:v>
                </c:pt>
                <c:pt idx="1">
                  <c:v>122577</c:v>
                </c:pt>
                <c:pt idx="2">
                  <c:v>64054</c:v>
                </c:pt>
                <c:pt idx="3">
                  <c:v>43944</c:v>
                </c:pt>
                <c:pt idx="4">
                  <c:v>13879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7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746760</xdr:colOff>
      <xdr:row>0</xdr:row>
      <xdr:rowOff>38100</xdr:rowOff>
    </xdr:from>
    <xdr:ext cx="1699260" cy="281940"/>
    <xdr:sp macro="" textlink="">
      <xdr:nvSpPr>
        <xdr:cNvPr id="5" name="TextBox 4"/>
        <xdr:cNvSpPr txBox="1"/>
      </xdr:nvSpPr>
      <xdr:spPr>
        <a:xfrm>
          <a:off x="3870960" y="38100"/>
          <a:ext cx="1699260" cy="281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1661160</xdr:colOff>
      <xdr:row>2</xdr:row>
      <xdr:rowOff>350520</xdr:rowOff>
    </xdr:from>
    <xdr:ext cx="0" cy="0"/>
    <xdr:sp macro="" textlink="">
      <xdr:nvSpPr>
        <xdr:cNvPr id="7" name="TextBox 6"/>
        <xdr:cNvSpPr txBox="1"/>
      </xdr:nvSpPr>
      <xdr:spPr>
        <a:xfrm>
          <a:off x="1661160" y="6858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000" b="1" baseline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269390</xdr:colOff>
      <xdr:row>2</xdr:row>
      <xdr:rowOff>546846</xdr:rowOff>
    </xdr:from>
    <xdr:to>
      <xdr:col>8</xdr:col>
      <xdr:colOff>337970</xdr:colOff>
      <xdr:row>32</xdr:row>
      <xdr:rowOff>119679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58</xdr:row>
      <xdr:rowOff>15240</xdr:rowOff>
    </xdr:from>
    <xdr:to>
      <xdr:col>11</xdr:col>
      <xdr:colOff>7619</xdr:colOff>
      <xdr:row>76</xdr:row>
      <xdr:rowOff>12382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58</xdr:row>
      <xdr:rowOff>0</xdr:rowOff>
    </xdr:from>
    <xdr:to>
      <xdr:col>10</xdr:col>
      <xdr:colOff>800099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57</xdr:row>
      <xdr:rowOff>91440</xdr:rowOff>
    </xdr:from>
    <xdr:to>
      <xdr:col>11</xdr:col>
      <xdr:colOff>30479</xdr:colOff>
      <xdr:row>75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58</xdr:row>
      <xdr:rowOff>0</xdr:rowOff>
    </xdr:from>
    <xdr:to>
      <xdr:col>11</xdr:col>
      <xdr:colOff>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68580</xdr:rowOff>
    </xdr:from>
    <xdr:to>
      <xdr:col>10</xdr:col>
      <xdr:colOff>807720</xdr:colOff>
      <xdr:row>76</xdr:row>
      <xdr:rowOff>88582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58</xdr:row>
      <xdr:rowOff>34290</xdr:rowOff>
    </xdr:from>
    <xdr:to>
      <xdr:col>10</xdr:col>
      <xdr:colOff>792480</xdr:colOff>
      <xdr:row>76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0</xdr:rowOff>
    </xdr:from>
    <xdr:to>
      <xdr:col>10</xdr:col>
      <xdr:colOff>792480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58</xdr:row>
      <xdr:rowOff>15240</xdr:rowOff>
    </xdr:from>
    <xdr:to>
      <xdr:col>10</xdr:col>
      <xdr:colOff>800099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792480</xdr:colOff>
      <xdr:row>57</xdr:row>
      <xdr:rowOff>152400</xdr:rowOff>
    </xdr:from>
    <xdr:to>
      <xdr:col>10</xdr:col>
      <xdr:colOff>754379</xdr:colOff>
      <xdr:row>75</xdr:row>
      <xdr:rowOff>149542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15240</xdr:rowOff>
    </xdr:from>
    <xdr:to>
      <xdr:col>10</xdr:col>
      <xdr:colOff>800099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7620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57</xdr:row>
      <xdr:rowOff>167640</xdr:rowOff>
    </xdr:from>
    <xdr:to>
      <xdr:col>11</xdr:col>
      <xdr:colOff>7619</xdr:colOff>
      <xdr:row>76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58</xdr:row>
      <xdr:rowOff>7620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30480</xdr:rowOff>
    </xdr:from>
    <xdr:to>
      <xdr:col>10</xdr:col>
      <xdr:colOff>761999</xdr:colOff>
      <xdr:row>76</xdr:row>
      <xdr:rowOff>35242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7620</xdr:rowOff>
    </xdr:from>
    <xdr:to>
      <xdr:col>10</xdr:col>
      <xdr:colOff>777239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15240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58</xdr:row>
      <xdr:rowOff>7620</xdr:rowOff>
    </xdr:from>
    <xdr:to>
      <xdr:col>10</xdr:col>
      <xdr:colOff>792481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57</xdr:row>
      <xdr:rowOff>114300</xdr:rowOff>
    </xdr:from>
    <xdr:to>
      <xdr:col>10</xdr:col>
      <xdr:colOff>771525</xdr:colOff>
      <xdr:row>76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30480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58</xdr:row>
      <xdr:rowOff>7620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7620</xdr:rowOff>
    </xdr:from>
    <xdr:to>
      <xdr:col>10</xdr:col>
      <xdr:colOff>777239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58</xdr:row>
      <xdr:rowOff>15240</xdr:rowOff>
    </xdr:from>
    <xdr:to>
      <xdr:col>10</xdr:col>
      <xdr:colOff>822959</xdr:colOff>
      <xdr:row>76</xdr:row>
      <xdr:rowOff>20002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7620</xdr:rowOff>
    </xdr:from>
    <xdr:to>
      <xdr:col>10</xdr:col>
      <xdr:colOff>777239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57</xdr:row>
      <xdr:rowOff>152400</xdr:rowOff>
    </xdr:from>
    <xdr:to>
      <xdr:col>10</xdr:col>
      <xdr:colOff>784859</xdr:colOff>
      <xdr:row>75</xdr:row>
      <xdr:rowOff>187642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57</xdr:row>
      <xdr:rowOff>60960</xdr:rowOff>
    </xdr:from>
    <xdr:to>
      <xdr:col>11</xdr:col>
      <xdr:colOff>7619</xdr:colOff>
      <xdr:row>75</xdr:row>
      <xdr:rowOff>88582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815340</xdr:colOff>
      <xdr:row>57</xdr:row>
      <xdr:rowOff>182880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58</xdr:row>
      <xdr:rowOff>7620</xdr:rowOff>
    </xdr:from>
    <xdr:to>
      <xdr:col>10</xdr:col>
      <xdr:colOff>784859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58</xdr:row>
      <xdr:rowOff>60960</xdr:rowOff>
    </xdr:from>
    <xdr:to>
      <xdr:col>10</xdr:col>
      <xdr:colOff>784859</xdr:colOff>
      <xdr:row>76</xdr:row>
      <xdr:rowOff>65722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7620</xdr:rowOff>
    </xdr:from>
    <xdr:to>
      <xdr:col>11</xdr:col>
      <xdr:colOff>7619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57</xdr:row>
      <xdr:rowOff>175260</xdr:rowOff>
    </xdr:from>
    <xdr:to>
      <xdr:col>11</xdr:col>
      <xdr:colOff>91439</xdr:colOff>
      <xdr:row>75</xdr:row>
      <xdr:rowOff>187642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57</xdr:row>
      <xdr:rowOff>160020</xdr:rowOff>
    </xdr:from>
    <xdr:to>
      <xdr:col>10</xdr:col>
      <xdr:colOff>792479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22860</xdr:rowOff>
    </xdr:from>
    <xdr:to>
      <xdr:col>10</xdr:col>
      <xdr:colOff>815339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58</xdr:row>
      <xdr:rowOff>7620</xdr:rowOff>
    </xdr:from>
    <xdr:to>
      <xdr:col>10</xdr:col>
      <xdr:colOff>761999</xdr:colOff>
      <xdr:row>76</xdr:row>
      <xdr:rowOff>20002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914400</xdr:colOff>
      <xdr:row>0</xdr:row>
      <xdr:rowOff>312420</xdr:rowOff>
    </xdr:from>
    <xdr:ext cx="184731" cy="264560"/>
    <xdr:sp macro="" textlink="">
      <xdr:nvSpPr>
        <xdr:cNvPr id="3" name="TextBox 2"/>
        <xdr:cNvSpPr txBox="1"/>
      </xdr:nvSpPr>
      <xdr:spPr>
        <a:xfrm>
          <a:off x="914400" y="312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0.54704</cdr:x>
      <cdr:y>0.54694</cdr:y>
    </cdr:from>
    <cdr:to>
      <cdr:x>0.55677</cdr:x>
      <cdr:y>0.57023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69845" y="1431608"/>
          <a:ext cx="45719" cy="6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58</xdr:row>
      <xdr:rowOff>22860</xdr:rowOff>
    </xdr:from>
    <xdr:to>
      <xdr:col>10</xdr:col>
      <xdr:colOff>800099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h\user\fr\dxt3303\Desktop\Seattle%20King%20County%20BARS%20Compli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ttle king"/>
      <sheetName val="Sheet2"/>
    </sheetNames>
    <sheetDataSet>
      <sheetData sheetId="0">
        <row r="5">
          <cell r="D5">
            <v>698243</v>
          </cell>
          <cell r="E5">
            <v>128396</v>
          </cell>
          <cell r="F5">
            <v>5450212</v>
          </cell>
          <cell r="G5">
            <v>0</v>
          </cell>
          <cell r="H5">
            <v>2041131</v>
          </cell>
          <cell r="I5">
            <v>421964</v>
          </cell>
          <cell r="J5">
            <v>211173</v>
          </cell>
        </row>
        <row r="6">
          <cell r="H6">
            <v>0</v>
          </cell>
          <cell r="I6">
            <v>0</v>
          </cell>
        </row>
        <row r="7">
          <cell r="D7">
            <v>3103342</v>
          </cell>
          <cell r="E7">
            <v>597725</v>
          </cell>
          <cell r="F7">
            <v>-981305</v>
          </cell>
          <cell r="G7">
            <v>1100257</v>
          </cell>
          <cell r="H7">
            <v>5969706</v>
          </cell>
          <cell r="I7">
            <v>17842503</v>
          </cell>
          <cell r="J7">
            <v>136983</v>
          </cell>
        </row>
        <row r="8">
          <cell r="C8">
            <v>0</v>
          </cell>
          <cell r="E8">
            <v>0</v>
          </cell>
          <cell r="G8">
            <v>208647</v>
          </cell>
          <cell r="H8">
            <v>3528736</v>
          </cell>
          <cell r="I8">
            <v>10093345</v>
          </cell>
          <cell r="J8">
            <v>27895</v>
          </cell>
        </row>
        <row r="9">
          <cell r="C9">
            <v>6741</v>
          </cell>
          <cell r="E9">
            <v>12025</v>
          </cell>
          <cell r="G9">
            <v>248366</v>
          </cell>
          <cell r="H9">
            <v>240747</v>
          </cell>
          <cell r="I9">
            <v>149447</v>
          </cell>
        </row>
        <row r="10">
          <cell r="C10">
            <v>1029170</v>
          </cell>
          <cell r="D10">
            <v>1028958</v>
          </cell>
          <cell r="G10">
            <v>-52805</v>
          </cell>
          <cell r="H10">
            <v>3872044</v>
          </cell>
          <cell r="I10">
            <v>2216801</v>
          </cell>
          <cell r="J10">
            <v>120938</v>
          </cell>
        </row>
        <row r="11">
          <cell r="F11">
            <v>370868</v>
          </cell>
          <cell r="H11">
            <v>0</v>
          </cell>
          <cell r="I11">
            <v>392094</v>
          </cell>
        </row>
        <row r="12">
          <cell r="D12">
            <v>1567454</v>
          </cell>
          <cell r="F12">
            <v>7828097</v>
          </cell>
          <cell r="G12">
            <v>50</v>
          </cell>
          <cell r="H12">
            <v>533812</v>
          </cell>
          <cell r="I12">
            <v>540800</v>
          </cell>
          <cell r="J12">
            <v>150</v>
          </cell>
        </row>
        <row r="13">
          <cell r="D13">
            <v>360491</v>
          </cell>
          <cell r="E13">
            <v>19812</v>
          </cell>
          <cell r="G13">
            <v>2529766</v>
          </cell>
          <cell r="H13">
            <v>4529352</v>
          </cell>
          <cell r="I13">
            <v>9951225</v>
          </cell>
          <cell r="J13">
            <v>1003925</v>
          </cell>
        </row>
        <row r="14">
          <cell r="F14">
            <v>550794</v>
          </cell>
          <cell r="H14">
            <v>126707</v>
          </cell>
          <cell r="I14">
            <v>233585</v>
          </cell>
        </row>
        <row r="15">
          <cell r="C15">
            <v>1109464</v>
          </cell>
          <cell r="D15">
            <v>474383</v>
          </cell>
          <cell r="F15">
            <v>2000624</v>
          </cell>
          <cell r="G15">
            <v>23526</v>
          </cell>
          <cell r="H15">
            <v>772132</v>
          </cell>
          <cell r="I15">
            <v>608754</v>
          </cell>
          <cell r="J15">
            <v>1182</v>
          </cell>
        </row>
        <row r="16">
          <cell r="C16">
            <v>10000</v>
          </cell>
          <cell r="D16">
            <v>743242</v>
          </cell>
          <cell r="F16">
            <v>418163</v>
          </cell>
          <cell r="G16">
            <v>12259</v>
          </cell>
          <cell r="H16">
            <v>3052174</v>
          </cell>
          <cell r="I16">
            <v>522685</v>
          </cell>
          <cell r="J16">
            <v>68257</v>
          </cell>
        </row>
        <row r="17">
          <cell r="C17">
            <v>3348079</v>
          </cell>
          <cell r="D17">
            <v>58404</v>
          </cell>
          <cell r="F17">
            <v>1858061</v>
          </cell>
          <cell r="G17">
            <v>6435087</v>
          </cell>
          <cell r="H17">
            <v>2919941</v>
          </cell>
          <cell r="I17">
            <v>80812</v>
          </cell>
          <cell r="J17">
            <v>110</v>
          </cell>
        </row>
        <row r="18">
          <cell r="G18">
            <v>440822</v>
          </cell>
        </row>
        <row r="20">
          <cell r="D20">
            <v>131376</v>
          </cell>
          <cell r="H20">
            <v>240236</v>
          </cell>
        </row>
        <row r="21">
          <cell r="G21">
            <v>-401</v>
          </cell>
        </row>
        <row r="22">
          <cell r="C22">
            <v>38878</v>
          </cell>
          <cell r="F22">
            <v>86633</v>
          </cell>
          <cell r="I22">
            <v>6420</v>
          </cell>
        </row>
        <row r="23">
          <cell r="D23">
            <v>264239</v>
          </cell>
          <cell r="E23">
            <v>27003</v>
          </cell>
          <cell r="G23">
            <v>30757</v>
          </cell>
          <cell r="H23">
            <v>152896</v>
          </cell>
        </row>
        <row r="24">
          <cell r="C24">
            <v>235026</v>
          </cell>
          <cell r="D24">
            <v>1167922</v>
          </cell>
          <cell r="F24">
            <v>1439284</v>
          </cell>
          <cell r="G24">
            <v>3115567</v>
          </cell>
          <cell r="J24">
            <v>1050209</v>
          </cell>
        </row>
        <row r="25">
          <cell r="C25">
            <v>49254</v>
          </cell>
          <cell r="D25">
            <v>32592</v>
          </cell>
          <cell r="E25">
            <v>5500</v>
          </cell>
          <cell r="F25">
            <v>119126</v>
          </cell>
          <cell r="I25">
            <v>89253</v>
          </cell>
          <cell r="J25">
            <v>533</v>
          </cell>
        </row>
        <row r="26">
          <cell r="E26">
            <v>98603</v>
          </cell>
          <cell r="I26">
            <v>4846105</v>
          </cell>
        </row>
        <row r="27">
          <cell r="C27">
            <v>47196</v>
          </cell>
          <cell r="I27">
            <v>1746956</v>
          </cell>
          <cell r="J27">
            <v>131</v>
          </cell>
        </row>
        <row r="28">
          <cell r="D28">
            <v>60000</v>
          </cell>
          <cell r="H28">
            <v>642913</v>
          </cell>
          <cell r="I28">
            <v>146658</v>
          </cell>
        </row>
        <row r="29">
          <cell r="I29">
            <v>11164684</v>
          </cell>
          <cell r="J29">
            <v>-708</v>
          </cell>
        </row>
        <row r="31">
          <cell r="C31">
            <v>3146</v>
          </cell>
          <cell r="F31">
            <v>23500</v>
          </cell>
          <cell r="I31">
            <v>1202286</v>
          </cell>
        </row>
        <row r="32">
          <cell r="C32">
            <v>6860</v>
          </cell>
          <cell r="D32">
            <v>269303</v>
          </cell>
          <cell r="H32">
            <v>77316</v>
          </cell>
          <cell r="I32">
            <v>3199280</v>
          </cell>
        </row>
        <row r="33">
          <cell r="E33">
            <v>419551</v>
          </cell>
          <cell r="F33">
            <v>100465</v>
          </cell>
        </row>
        <row r="34">
          <cell r="I34">
            <v>1163125</v>
          </cell>
          <cell r="J34">
            <v>1</v>
          </cell>
        </row>
        <row r="35">
          <cell r="D35">
            <v>290015</v>
          </cell>
          <cell r="I35">
            <v>2175161</v>
          </cell>
        </row>
        <row r="36">
          <cell r="C36">
            <v>181274</v>
          </cell>
          <cell r="F36">
            <v>629849</v>
          </cell>
        </row>
        <row r="37">
          <cell r="D37">
            <v>60000</v>
          </cell>
          <cell r="G37">
            <v>-2410886</v>
          </cell>
          <cell r="H37">
            <v>14615420</v>
          </cell>
          <cell r="I37">
            <v>2211373</v>
          </cell>
          <cell r="J37">
            <v>715259</v>
          </cell>
        </row>
        <row r="38">
          <cell r="D38">
            <v>105787</v>
          </cell>
          <cell r="H38">
            <v>141245</v>
          </cell>
          <cell r="I38">
            <v>456916</v>
          </cell>
          <cell r="J38">
            <v>391753</v>
          </cell>
        </row>
        <row r="39">
          <cell r="D39">
            <v>1215189</v>
          </cell>
          <cell r="H39">
            <v>1580010</v>
          </cell>
          <cell r="I39">
            <v>202388</v>
          </cell>
          <cell r="J39">
            <v>800</v>
          </cell>
        </row>
        <row r="40">
          <cell r="D40">
            <v>1003186</v>
          </cell>
          <cell r="E40">
            <v>84530</v>
          </cell>
          <cell r="F40">
            <v>72915</v>
          </cell>
          <cell r="H40">
            <v>1605546</v>
          </cell>
          <cell r="I40">
            <v>-107052</v>
          </cell>
          <cell r="J40">
            <v>404481</v>
          </cell>
        </row>
        <row r="41">
          <cell r="F41">
            <v>2090739</v>
          </cell>
          <cell r="G41">
            <v>256963</v>
          </cell>
          <cell r="I41">
            <v>98522</v>
          </cell>
          <cell r="J41">
            <v>305</v>
          </cell>
        </row>
        <row r="42">
          <cell r="D42">
            <v>51395</v>
          </cell>
          <cell r="F42">
            <v>-824234</v>
          </cell>
          <cell r="H42">
            <v>2028359</v>
          </cell>
          <cell r="I42">
            <v>496011</v>
          </cell>
          <cell r="J42">
            <v>592703</v>
          </cell>
        </row>
        <row r="43">
          <cell r="H43">
            <v>0</v>
          </cell>
          <cell r="I43">
            <v>0</v>
          </cell>
        </row>
        <row r="45">
          <cell r="E45">
            <v>71929</v>
          </cell>
          <cell r="F45">
            <v>27469</v>
          </cell>
          <cell r="G45">
            <v>75376</v>
          </cell>
          <cell r="H45">
            <v>180939</v>
          </cell>
          <cell r="I45">
            <v>296367</v>
          </cell>
          <cell r="J45">
            <v>642496</v>
          </cell>
        </row>
        <row r="47">
          <cell r="H47">
            <v>0</v>
          </cell>
          <cell r="I47">
            <v>0</v>
          </cell>
        </row>
        <row r="48">
          <cell r="H48">
            <v>0</v>
          </cell>
          <cell r="I48">
            <v>0</v>
          </cell>
        </row>
        <row r="49">
          <cell r="H49">
            <v>0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E51">
            <v>310683</v>
          </cell>
          <cell r="H51">
            <v>4115411</v>
          </cell>
          <cell r="I51">
            <v>923379</v>
          </cell>
          <cell r="J51">
            <v>-10</v>
          </cell>
        </row>
        <row r="52">
          <cell r="H52">
            <v>0</v>
          </cell>
          <cell r="I52">
            <v>0</v>
          </cell>
        </row>
        <row r="53">
          <cell r="H53">
            <v>0</v>
          </cell>
          <cell r="I53">
            <v>0</v>
          </cell>
        </row>
        <row r="54">
          <cell r="H54">
            <v>0</v>
          </cell>
          <cell r="I54">
            <v>0</v>
          </cell>
        </row>
        <row r="55">
          <cell r="H55">
            <v>0</v>
          </cell>
          <cell r="I5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8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0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1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6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28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29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0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1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2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3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0.bin"/><Relationship Id="rId4" Type="http://schemas.openxmlformats.org/officeDocument/2006/relationships/comments" Target="../comments35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1.bin"/><Relationship Id="rId4" Type="http://schemas.openxmlformats.org/officeDocument/2006/relationships/comments" Target="../comments36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115020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31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242431</v>
      </c>
      <c r="E5" s="110"/>
      <c r="F5" s="108"/>
      <c r="G5" s="110"/>
      <c r="H5" s="111">
        <v>306721</v>
      </c>
      <c r="I5" s="110">
        <f>69</f>
        <v>69</v>
      </c>
      <c r="J5" s="112">
        <v>1440</v>
      </c>
      <c r="K5" s="113">
        <f>SUM(C5:J5)</f>
        <v>550661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8302</v>
      </c>
      <c r="E7" s="110"/>
      <c r="F7" s="108"/>
      <c r="G7" s="110">
        <v>3915</v>
      </c>
      <c r="H7" s="111">
        <v>3966</v>
      </c>
      <c r="I7" s="110"/>
      <c r="J7" s="112"/>
      <c r="K7" s="113">
        <f t="shared" si="0"/>
        <v>16183</v>
      </c>
      <c r="L7"/>
    </row>
    <row r="8" spans="1:12" x14ac:dyDescent="0.35">
      <c r="A8" s="93">
        <v>562.24</v>
      </c>
      <c r="B8" s="16" t="s">
        <v>11</v>
      </c>
      <c r="C8" s="108"/>
      <c r="D8" s="109">
        <v>3272</v>
      </c>
      <c r="E8" s="110">
        <v>17969</v>
      </c>
      <c r="F8" s="114"/>
      <c r="G8" s="115">
        <v>19513</v>
      </c>
      <c r="H8" s="111">
        <v>1563</v>
      </c>
      <c r="I8" s="110">
        <f>2832</f>
        <v>2832</v>
      </c>
      <c r="J8" s="112"/>
      <c r="K8" s="113">
        <f t="shared" si="0"/>
        <v>45149</v>
      </c>
      <c r="L8"/>
    </row>
    <row r="9" spans="1:12" x14ac:dyDescent="0.35">
      <c r="A9" s="93">
        <v>562.25</v>
      </c>
      <c r="B9" s="29" t="s">
        <v>53</v>
      </c>
      <c r="C9" s="108"/>
      <c r="D9" s="109">
        <v>12946</v>
      </c>
      <c r="E9" s="110"/>
      <c r="F9" s="108">
        <v>54848</v>
      </c>
      <c r="G9" s="110">
        <v>6107</v>
      </c>
      <c r="H9" s="111">
        <v>6185</v>
      </c>
      <c r="I9" s="110">
        <f>1075</f>
        <v>1075</v>
      </c>
      <c r="J9" s="112"/>
      <c r="K9" s="113">
        <f t="shared" si="0"/>
        <v>81161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2865</v>
      </c>
      <c r="E12" s="110"/>
      <c r="F12" s="108">
        <v>219699</v>
      </c>
      <c r="G12" s="110">
        <v>1351</v>
      </c>
      <c r="H12" s="111">
        <v>1369</v>
      </c>
      <c r="I12" s="110"/>
      <c r="J12" s="112"/>
      <c r="K12" s="113">
        <f t="shared" si="0"/>
        <v>225284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44559</v>
      </c>
      <c r="E14" s="110"/>
      <c r="F14" s="108">
        <v>90315</v>
      </c>
      <c r="G14" s="110">
        <v>21020</v>
      </c>
      <c r="H14" s="111">
        <v>21286</v>
      </c>
      <c r="I14" s="110">
        <f>7811</f>
        <v>7811</v>
      </c>
      <c r="J14" s="112"/>
      <c r="K14" s="113">
        <f t="shared" si="0"/>
        <v>184991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33571</v>
      </c>
      <c r="E16" s="110"/>
      <c r="F16" s="108"/>
      <c r="G16" s="110">
        <v>15836</v>
      </c>
      <c r="H16" s="111">
        <v>92037</v>
      </c>
      <c r="I16" s="110"/>
      <c r="J16" s="112"/>
      <c r="K16" s="113">
        <f t="shared" si="0"/>
        <v>141444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47093</v>
      </c>
      <c r="E18" s="110"/>
      <c r="F18" s="108"/>
      <c r="G18" s="110">
        <v>22214</v>
      </c>
      <c r="H18" s="111">
        <v>22497</v>
      </c>
      <c r="I18" s="110"/>
      <c r="J18" s="112"/>
      <c r="K18" s="113">
        <f t="shared" si="0"/>
        <v>91804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>
        <v>16818</v>
      </c>
      <c r="H22" s="111"/>
      <c r="I22" s="110"/>
      <c r="J22" s="112"/>
      <c r="K22" s="113">
        <f t="shared" si="0"/>
        <v>16818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24234+23647</f>
        <v>47881</v>
      </c>
      <c r="J25" s="112"/>
      <c r="K25" s="113">
        <f t="shared" si="0"/>
        <v>47881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48904</v>
      </c>
      <c r="F26" s="108"/>
      <c r="G26" s="110"/>
      <c r="H26" s="111"/>
      <c r="I26" s="110">
        <f>6408+95915</f>
        <v>102323</v>
      </c>
      <c r="J26" s="112"/>
      <c r="K26" s="113">
        <f t="shared" si="0"/>
        <v>151227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262448+120767+5600</f>
        <v>388815</v>
      </c>
      <c r="J27" s="112"/>
      <c r="K27" s="113">
        <f t="shared" si="0"/>
        <v>388815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358143+125106+3100</f>
        <v>486349</v>
      </c>
      <c r="J29" s="112"/>
      <c r="K29" s="113">
        <f t="shared" si="0"/>
        <v>486349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>
        <v>4857</v>
      </c>
      <c r="F30" s="108"/>
      <c r="G30" s="110"/>
      <c r="H30" s="111"/>
      <c r="I30" s="110">
        <v>13605</v>
      </c>
      <c r="J30" s="112"/>
      <c r="K30" s="113">
        <f t="shared" si="0"/>
        <v>18462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56776+1510</f>
        <v>58286</v>
      </c>
      <c r="J31" s="112"/>
      <c r="K31" s="113">
        <f t="shared" si="0"/>
        <v>58286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80170</v>
      </c>
      <c r="J34" s="112"/>
      <c r="K34" s="113">
        <f t="shared" si="0"/>
        <v>80170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4595</v>
      </c>
      <c r="E40" s="110"/>
      <c r="F40" s="108"/>
      <c r="G40" s="110"/>
      <c r="H40" s="111">
        <v>2195</v>
      </c>
      <c r="I40" s="110"/>
      <c r="J40" s="112"/>
      <c r="K40" s="113">
        <f t="shared" si="0"/>
        <v>6790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298597</v>
      </c>
      <c r="G41" s="110">
        <v>1707</v>
      </c>
      <c r="H41" s="111"/>
      <c r="I41" s="110">
        <v>200</v>
      </c>
      <c r="J41" s="112"/>
      <c r="K41" s="113">
        <f t="shared" si="0"/>
        <v>300504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>
        <v>99832</v>
      </c>
      <c r="H42" s="111"/>
      <c r="I42" s="110"/>
      <c r="J42" s="112"/>
      <c r="K42" s="113">
        <f t="shared" si="0"/>
        <v>99832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399634</v>
      </c>
      <c r="E44" s="122">
        <f t="shared" si="1"/>
        <v>71730</v>
      </c>
      <c r="F44" s="120">
        <f t="shared" si="1"/>
        <v>663459</v>
      </c>
      <c r="G44" s="123">
        <f t="shared" si="1"/>
        <v>208313</v>
      </c>
      <c r="H44" s="124">
        <f t="shared" si="1"/>
        <v>457819</v>
      </c>
      <c r="I44" s="122">
        <f t="shared" si="1"/>
        <v>1189416</v>
      </c>
      <c r="J44" s="125">
        <f t="shared" si="1"/>
        <v>1440</v>
      </c>
      <c r="K44" s="126">
        <f>SUM(C44:J44)</f>
        <v>2991811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399634</v>
      </c>
      <c r="E56" s="135">
        <f t="shared" si="2"/>
        <v>71730</v>
      </c>
      <c r="F56" s="133">
        <f t="shared" si="2"/>
        <v>663459</v>
      </c>
      <c r="G56" s="136">
        <f t="shared" si="2"/>
        <v>208313</v>
      </c>
      <c r="H56" s="137">
        <f t="shared" si="2"/>
        <v>457819</v>
      </c>
      <c r="I56" s="138">
        <f t="shared" si="2"/>
        <v>1189416</v>
      </c>
      <c r="J56" s="139">
        <f t="shared" si="2"/>
        <v>1440</v>
      </c>
      <c r="K56" s="140">
        <f>SUM(C56:J56)</f>
        <v>2991811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399634</v>
      </c>
      <c r="D63" s="20">
        <f>D56/$K56</f>
        <v>0.13357595115466853</v>
      </c>
    </row>
    <row r="64" spans="1:12" x14ac:dyDescent="0.35">
      <c r="B64" s="27" t="s">
        <v>41</v>
      </c>
      <c r="C64" s="22">
        <f>E56</f>
        <v>71730</v>
      </c>
      <c r="D64" s="57">
        <f>E56/$K56</f>
        <v>2.3975444972961193E-2</v>
      </c>
    </row>
    <row r="65" spans="2:4" ht="15" thickBot="1" x14ac:dyDescent="0.4">
      <c r="B65" s="192" t="s">
        <v>75</v>
      </c>
      <c r="C65" s="23">
        <f>SUM(C62:C64)</f>
        <v>471364</v>
      </c>
      <c r="D65" s="24">
        <f>SUM(D62:D64)</f>
        <v>0.15755139612762972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663459</v>
      </c>
      <c r="D67" s="7">
        <f>F56/K56</f>
        <v>0.22175832631138798</v>
      </c>
    </row>
    <row r="68" spans="2:4" x14ac:dyDescent="0.35">
      <c r="B68" s="28" t="s">
        <v>5</v>
      </c>
      <c r="C68" s="9">
        <f>G56</f>
        <v>208313</v>
      </c>
      <c r="D68" s="10">
        <f>G56/K56</f>
        <v>6.962772715255075E-2</v>
      </c>
    </row>
    <row r="69" spans="2:4" ht="15" thickBot="1" x14ac:dyDescent="0.4">
      <c r="B69" s="192" t="s">
        <v>76</v>
      </c>
      <c r="C69" s="23">
        <f>SUM(C67:C68)</f>
        <v>871772</v>
      </c>
      <c r="D69" s="24">
        <f>SUM(D67:D68)</f>
        <v>0.29138605346393875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457819</v>
      </c>
      <c r="D71" s="7">
        <f>H56/K56</f>
        <v>0.15302403794892125</v>
      </c>
    </row>
    <row r="72" spans="2:4" x14ac:dyDescent="0.35">
      <c r="B72" s="28" t="s">
        <v>6</v>
      </c>
      <c r="C72" s="9">
        <f>I56</f>
        <v>1189416</v>
      </c>
      <c r="D72" s="10">
        <f>I56/K56</f>
        <v>0.39755719863320244</v>
      </c>
    </row>
    <row r="73" spans="2:4" ht="15" thickBot="1" x14ac:dyDescent="0.4">
      <c r="B73" s="192" t="s">
        <v>77</v>
      </c>
      <c r="C73" s="54">
        <f>SUM(C71:C72)</f>
        <v>1647235</v>
      </c>
      <c r="D73" s="24">
        <f>SUM(D71:D72)</f>
        <v>0.55058123658212366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1440</v>
      </c>
      <c r="D75" s="24">
        <f>J56/K56</f>
        <v>4.8131382630787838E-4</v>
      </c>
    </row>
    <row r="76" spans="2:4" ht="15" thickBot="1" x14ac:dyDescent="0.4">
      <c r="B76" s="36" t="s">
        <v>42</v>
      </c>
      <c r="C76" s="37">
        <f>C65+C69+C73+C75</f>
        <v>2991811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95" priority="3">
      <formula>ROW()=EVEN(ROW())</formula>
    </cfRule>
  </conditionalFormatting>
  <conditionalFormatting sqref="K45:K55">
    <cfRule type="expression" dxfId="94" priority="1">
      <formula>ROW()=EVEN(ROW())</formula>
    </cfRule>
  </conditionalFormatting>
  <conditionalFormatting sqref="K5:K44">
    <cfRule type="expression" dxfId="9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CHELAN-DOUGLAS</oddHeader>
  </headerFooter>
  <rowBreaks count="1" manualBreakCount="1">
    <brk id="44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F68" sqref="F68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72650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24.38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v>80420</v>
      </c>
      <c r="H5" s="111">
        <f>568952+1084</f>
        <v>570036</v>
      </c>
      <c r="I5" s="110">
        <f>40770+20552</f>
        <v>61322</v>
      </c>
      <c r="J5" s="112">
        <f>40+72</f>
        <v>112</v>
      </c>
      <c r="K5" s="113">
        <f>SUM(C5:J5)</f>
        <v>711890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8088</v>
      </c>
      <c r="G7" s="110"/>
      <c r="H7" s="111"/>
      <c r="I7" s="110"/>
      <c r="J7" s="112"/>
      <c r="K7" s="113">
        <f t="shared" si="0"/>
        <v>8088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51461</v>
      </c>
      <c r="G9" s="110"/>
      <c r="H9" s="111"/>
      <c r="I9" s="110"/>
      <c r="J9" s="112"/>
      <c r="K9" s="113">
        <f t="shared" si="0"/>
        <v>51461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21831</v>
      </c>
      <c r="E12" s="110"/>
      <c r="F12" s="108">
        <v>267878</v>
      </c>
      <c r="G12" s="110"/>
      <c r="H12" s="111"/>
      <c r="I12" s="110"/>
      <c r="J12" s="112"/>
      <c r="K12" s="113">
        <f t="shared" si="0"/>
        <v>289709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67197</v>
      </c>
      <c r="E14" s="141"/>
      <c r="F14" s="108">
        <f>11930+2808+2631+2692</f>
        <v>20061</v>
      </c>
      <c r="G14" s="110">
        <f>2361+10495</f>
        <v>12856</v>
      </c>
      <c r="H14" s="111"/>
      <c r="I14" s="110">
        <v>34175</v>
      </c>
      <c r="J14" s="112">
        <v>-5</v>
      </c>
      <c r="K14" s="113">
        <f t="shared" si="0"/>
        <v>134284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21201</v>
      </c>
      <c r="E15" s="110"/>
      <c r="F15" s="108"/>
      <c r="G15" s="110"/>
      <c r="H15" s="111"/>
      <c r="I15" s="110"/>
      <c r="J15" s="112"/>
      <c r="K15" s="113">
        <f t="shared" si="0"/>
        <v>21201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6444</v>
      </c>
      <c r="E16" s="110"/>
      <c r="F16" s="108"/>
      <c r="G16" s="110"/>
      <c r="H16" s="111"/>
      <c r="I16" s="110">
        <v>5466</v>
      </c>
      <c r="J16" s="112">
        <v>42</v>
      </c>
      <c r="K16" s="113">
        <f t="shared" si="0"/>
        <v>11952</v>
      </c>
      <c r="L16"/>
    </row>
    <row r="17" spans="1:12" x14ac:dyDescent="0.35">
      <c r="A17" s="93">
        <v>562.35</v>
      </c>
      <c r="B17" s="16" t="s">
        <v>14</v>
      </c>
      <c r="C17" s="108">
        <f>43048+17500</f>
        <v>60548</v>
      </c>
      <c r="D17" s="109">
        <v>46337</v>
      </c>
      <c r="E17" s="110"/>
      <c r="F17" s="108">
        <v>17500</v>
      </c>
      <c r="G17" s="110">
        <v>9183</v>
      </c>
      <c r="H17" s="111">
        <v>24707</v>
      </c>
      <c r="I17" s="110"/>
      <c r="J17" s="112"/>
      <c r="K17" s="113">
        <f t="shared" si="0"/>
        <v>158275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72038</v>
      </c>
      <c r="E18" s="110"/>
      <c r="F18" s="108"/>
      <c r="G18" s="110"/>
      <c r="H18" s="111"/>
      <c r="I18" s="110">
        <v>1852</v>
      </c>
      <c r="J18" s="112"/>
      <c r="K18" s="113">
        <f t="shared" si="0"/>
        <v>73890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v>42878</v>
      </c>
      <c r="I25" s="110">
        <v>94266</v>
      </c>
      <c r="J25" s="112"/>
      <c r="K25" s="113">
        <f t="shared" si="0"/>
        <v>137144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f>21797+25439+43772</f>
        <v>91008</v>
      </c>
      <c r="F26" s="108"/>
      <c r="G26" s="110"/>
      <c r="H26" s="111">
        <v>24839</v>
      </c>
      <c r="I26" s="110">
        <v>27141</v>
      </c>
      <c r="J26" s="112"/>
      <c r="K26" s="113">
        <f t="shared" si="0"/>
        <v>142988</v>
      </c>
      <c r="L26"/>
    </row>
    <row r="27" spans="1:12" x14ac:dyDescent="0.35">
      <c r="A27" s="93">
        <v>562.54</v>
      </c>
      <c r="B27" s="29" t="s">
        <v>60</v>
      </c>
      <c r="C27" s="108">
        <v>59744</v>
      </c>
      <c r="D27" s="109"/>
      <c r="E27" s="110"/>
      <c r="F27" s="108">
        <f>10067+20404+56702</f>
        <v>87173</v>
      </c>
      <c r="G27" s="110">
        <v>256315</v>
      </c>
      <c r="H27" s="111"/>
      <c r="I27" s="110">
        <f>222989+9471</f>
        <v>232460</v>
      </c>
      <c r="J27" s="112"/>
      <c r="K27" s="113">
        <f t="shared" si="0"/>
        <v>635692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169</v>
      </c>
      <c r="I28" s="110"/>
      <c r="J28" s="112"/>
      <c r="K28" s="113">
        <f t="shared" si="0"/>
        <v>169</v>
      </c>
      <c r="L28"/>
    </row>
    <row r="29" spans="1:12" x14ac:dyDescent="0.35">
      <c r="A29" s="93">
        <v>562.55999999999995</v>
      </c>
      <c r="B29" s="16" t="s">
        <v>20</v>
      </c>
      <c r="C29" s="108">
        <v>4294</v>
      </c>
      <c r="D29" s="109"/>
      <c r="E29" s="110"/>
      <c r="F29" s="108"/>
      <c r="G29" s="110"/>
      <c r="H29" s="111">
        <v>98009</v>
      </c>
      <c r="I29" s="110">
        <v>162241</v>
      </c>
      <c r="J29" s="112"/>
      <c r="K29" s="113">
        <f t="shared" si="0"/>
        <v>264544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5502</v>
      </c>
      <c r="J31" s="112"/>
      <c r="K31" s="113">
        <f t="shared" si="0"/>
        <v>5502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>
        <f>14436+35255</f>
        <v>49691</v>
      </c>
      <c r="F33" s="108"/>
      <c r="G33" s="110"/>
      <c r="H33" s="111">
        <v>291197</v>
      </c>
      <c r="I33" s="110">
        <f>2600+2600+697</f>
        <v>5897</v>
      </c>
      <c r="J33" s="112"/>
      <c r="K33" s="113">
        <f t="shared" si="0"/>
        <v>346785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51487</v>
      </c>
      <c r="J34" s="112"/>
      <c r="K34" s="113">
        <f t="shared" si="0"/>
        <v>51487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77998</v>
      </c>
      <c r="G41" s="110"/>
      <c r="H41" s="111">
        <v>91142</v>
      </c>
      <c r="I41" s="110"/>
      <c r="J41" s="112"/>
      <c r="K41" s="113">
        <f t="shared" si="0"/>
        <v>169140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>
        <v>1099</v>
      </c>
      <c r="I42" s="110"/>
      <c r="J42" s="112"/>
      <c r="K42" s="113">
        <f t="shared" si="0"/>
        <v>1099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124586</v>
      </c>
      <c r="D44" s="121">
        <f t="shared" si="1"/>
        <v>235048</v>
      </c>
      <c r="E44" s="122">
        <f t="shared" si="1"/>
        <v>140699</v>
      </c>
      <c r="F44" s="120">
        <f t="shared" si="1"/>
        <v>530159</v>
      </c>
      <c r="G44" s="123">
        <f t="shared" si="1"/>
        <v>358774</v>
      </c>
      <c r="H44" s="124">
        <f t="shared" si="1"/>
        <v>1144076</v>
      </c>
      <c r="I44" s="122">
        <f t="shared" si="1"/>
        <v>681809</v>
      </c>
      <c r="J44" s="125">
        <f t="shared" si="1"/>
        <v>149</v>
      </c>
      <c r="K44" s="126">
        <f>SUM(C44:J44)</f>
        <v>3215300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124586</v>
      </c>
      <c r="D56" s="134">
        <f t="shared" si="2"/>
        <v>235048</v>
      </c>
      <c r="E56" s="135">
        <f t="shared" si="2"/>
        <v>140699</v>
      </c>
      <c r="F56" s="133">
        <f t="shared" si="2"/>
        <v>530159</v>
      </c>
      <c r="G56" s="136">
        <f t="shared" si="2"/>
        <v>358774</v>
      </c>
      <c r="H56" s="137">
        <f t="shared" si="2"/>
        <v>1144076</v>
      </c>
      <c r="I56" s="138">
        <f t="shared" si="2"/>
        <v>681809</v>
      </c>
      <c r="J56" s="139">
        <f t="shared" si="2"/>
        <v>149</v>
      </c>
      <c r="K56" s="140">
        <f>SUM(C56:J56)</f>
        <v>3215300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124586</v>
      </c>
      <c r="D62" s="20">
        <f>C56/$K56</f>
        <v>3.8747861785836467E-2</v>
      </c>
    </row>
    <row r="63" spans="1:12" x14ac:dyDescent="0.35">
      <c r="B63" s="8" t="s">
        <v>2</v>
      </c>
      <c r="C63" s="21">
        <f>D56</f>
        <v>235048</v>
      </c>
      <c r="D63" s="20">
        <f>D56/$K56</f>
        <v>7.3102976394115629E-2</v>
      </c>
    </row>
    <row r="64" spans="1:12" x14ac:dyDescent="0.35">
      <c r="B64" s="27" t="s">
        <v>41</v>
      </c>
      <c r="C64" s="22">
        <f>E56</f>
        <v>140699</v>
      </c>
      <c r="D64" s="57">
        <f>E56/$K56</f>
        <v>4.3759213759213759E-2</v>
      </c>
    </row>
    <row r="65" spans="2:4" ht="15" thickBot="1" x14ac:dyDescent="0.4">
      <c r="B65" s="192" t="s">
        <v>75</v>
      </c>
      <c r="C65" s="23">
        <f>SUM(C62:C64)</f>
        <v>500333</v>
      </c>
      <c r="D65" s="24">
        <f>SUM(D62:D64)</f>
        <v>0.15561005193916586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530159</v>
      </c>
      <c r="D67" s="7">
        <f>F56/K56</f>
        <v>0.16488632475974249</v>
      </c>
    </row>
    <row r="68" spans="2:4" x14ac:dyDescent="0.35">
      <c r="B68" s="28" t="s">
        <v>5</v>
      </c>
      <c r="C68" s="9">
        <f>G56</f>
        <v>358774</v>
      </c>
      <c r="D68" s="10">
        <f>G56/K56</f>
        <v>0.11158336702640501</v>
      </c>
    </row>
    <row r="69" spans="2:4" ht="15" thickBot="1" x14ac:dyDescent="0.4">
      <c r="B69" s="192" t="s">
        <v>76</v>
      </c>
      <c r="C69" s="23">
        <f>SUM(C67:C68)</f>
        <v>888933</v>
      </c>
      <c r="D69" s="24">
        <f>SUM(D67:D68)</f>
        <v>0.2764696917861475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1144076</v>
      </c>
      <c r="D71" s="7">
        <f>H56/K56</f>
        <v>0.35582247379715737</v>
      </c>
    </row>
    <row r="72" spans="2:4" x14ac:dyDescent="0.35">
      <c r="B72" s="28" t="s">
        <v>6</v>
      </c>
      <c r="C72" s="9">
        <f>I56</f>
        <v>681809</v>
      </c>
      <c r="D72" s="10">
        <f>I56/K56</f>
        <v>0.21205144154511243</v>
      </c>
    </row>
    <row r="73" spans="2:4" ht="15" thickBot="1" x14ac:dyDescent="0.4">
      <c r="B73" s="192" t="s">
        <v>77</v>
      </c>
      <c r="C73" s="54">
        <f>SUM(C71:C72)</f>
        <v>1825885</v>
      </c>
      <c r="D73" s="24">
        <f>SUM(D71:D72)</f>
        <v>0.56787391534226983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149</v>
      </c>
      <c r="D75" s="24">
        <f>J56/K56</f>
        <v>4.6340932416881783E-5</v>
      </c>
    </row>
    <row r="76" spans="2:4" ht="15" thickBot="1" x14ac:dyDescent="0.4">
      <c r="B76" s="36" t="s">
        <v>42</v>
      </c>
      <c r="C76" s="37">
        <f>C65+C69+C73+C75</f>
        <v>3215300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92" priority="3">
      <formula>ROW()=EVEN(ROW())</formula>
    </cfRule>
  </conditionalFormatting>
  <conditionalFormatting sqref="K45:K55">
    <cfRule type="expression" dxfId="91" priority="1">
      <formula>ROW()=EVEN(ROW())</formula>
    </cfRule>
  </conditionalFormatting>
  <conditionalFormatting sqref="K5:K44">
    <cfRule type="expression" dxfId="9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CLALLAM</oddHeader>
  </headerFooter>
  <rowBreaks count="1" manualBreakCount="1">
    <brk id="44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F80" sqref="F80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451820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84.6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>
        <v>5980</v>
      </c>
      <c r="G5" s="110"/>
      <c r="H5" s="111"/>
      <c r="I5" s="110">
        <v>-47</v>
      </c>
      <c r="J5" s="112">
        <f>352977+10000+13440+7870+268-5134</f>
        <v>379421</v>
      </c>
      <c r="K5" s="113">
        <f>SUM(C5:J5)</f>
        <v>385354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428002</v>
      </c>
      <c r="E7" s="110"/>
      <c r="F7" s="108">
        <v>52899</v>
      </c>
      <c r="G7" s="110">
        <v>24937</v>
      </c>
      <c r="H7" s="111"/>
      <c r="I7" s="110">
        <v>18010</v>
      </c>
      <c r="J7" s="112">
        <f>125876+46981</f>
        <v>172857</v>
      </c>
      <c r="K7" s="113">
        <f t="shared" si="0"/>
        <v>696705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21456</v>
      </c>
      <c r="F8" s="114"/>
      <c r="G8" s="115">
        <v>24346</v>
      </c>
      <c r="H8" s="111"/>
      <c r="I8" s="110"/>
      <c r="J8" s="112">
        <v>7503</v>
      </c>
      <c r="K8" s="113">
        <f t="shared" si="0"/>
        <v>53305</v>
      </c>
      <c r="L8"/>
    </row>
    <row r="9" spans="1:12" x14ac:dyDescent="0.35">
      <c r="A9" s="93">
        <v>562.25</v>
      </c>
      <c r="B9" s="29" t="s">
        <v>53</v>
      </c>
      <c r="C9" s="108"/>
      <c r="D9" s="109">
        <v>25225</v>
      </c>
      <c r="E9" s="110"/>
      <c r="F9" s="108">
        <v>132464</v>
      </c>
      <c r="G9" s="110">
        <f>7438+12700</f>
        <v>20138</v>
      </c>
      <c r="H9" s="111">
        <v>15000</v>
      </c>
      <c r="I9" s="110"/>
      <c r="J9" s="112">
        <v>18743</v>
      </c>
      <c r="K9" s="113">
        <f t="shared" si="0"/>
        <v>211570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>
        <f>107057+45146</f>
        <v>152203</v>
      </c>
      <c r="H13" s="111"/>
      <c r="I13" s="110"/>
      <c r="J13" s="112">
        <f>300-35036</f>
        <v>-34736</v>
      </c>
      <c r="K13" s="113">
        <f t="shared" si="0"/>
        <v>117467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72819</v>
      </c>
      <c r="G14" s="110">
        <v>8228</v>
      </c>
      <c r="H14" s="111">
        <v>82519</v>
      </c>
      <c r="I14" s="110">
        <v>16</v>
      </c>
      <c r="J14" s="112">
        <f>59933+734+4378</f>
        <v>65045</v>
      </c>
      <c r="K14" s="113">
        <f t="shared" si="0"/>
        <v>228627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>
        <v>40000</v>
      </c>
      <c r="G15" s="110"/>
      <c r="H15" s="111">
        <v>99074</v>
      </c>
      <c r="I15" s="110">
        <v>338</v>
      </c>
      <c r="J15" s="112">
        <v>60000</v>
      </c>
      <c r="K15" s="113">
        <f t="shared" si="0"/>
        <v>199412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139121</v>
      </c>
      <c r="I16" s="110">
        <v>7797</v>
      </c>
      <c r="J16" s="112">
        <f>110000+7-669</f>
        <v>109338</v>
      </c>
      <c r="K16" s="113">
        <f t="shared" si="0"/>
        <v>256256</v>
      </c>
      <c r="L16"/>
    </row>
    <row r="17" spans="1:12" x14ac:dyDescent="0.35">
      <c r="A17" s="93">
        <v>562.35</v>
      </c>
      <c r="B17" s="16" t="s">
        <v>14</v>
      </c>
      <c r="C17" s="108">
        <f>275632+145068</f>
        <v>420700</v>
      </c>
      <c r="D17" s="109">
        <v>394063</v>
      </c>
      <c r="E17" s="110"/>
      <c r="F17" s="108">
        <f>41934+31334</f>
        <v>73268</v>
      </c>
      <c r="G17" s="110">
        <f>157180+47731+235076</f>
        <v>439987</v>
      </c>
      <c r="H17" s="111"/>
      <c r="I17" s="110">
        <v>71010</v>
      </c>
      <c r="J17" s="112">
        <f>30883+10000+5490-193</f>
        <v>46180</v>
      </c>
      <c r="K17" s="113">
        <f t="shared" si="0"/>
        <v>1445208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>
        <f>12712+43092+4488</f>
        <v>60292</v>
      </c>
      <c r="G18" s="110">
        <v>43130</v>
      </c>
      <c r="H18" s="111">
        <v>436852</v>
      </c>
      <c r="I18" s="110">
        <v>219</v>
      </c>
      <c r="J18" s="112">
        <f>124033-21</f>
        <v>124012</v>
      </c>
      <c r="K18" s="113">
        <f t="shared" si="0"/>
        <v>664505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>
        <v>68551</v>
      </c>
      <c r="E22" s="110"/>
      <c r="F22" s="108"/>
      <c r="G22" s="110"/>
      <c r="H22" s="111"/>
      <c r="I22" s="110"/>
      <c r="J22" s="112">
        <v>5000</v>
      </c>
      <c r="K22" s="113">
        <f t="shared" si="0"/>
        <v>73551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538445</v>
      </c>
      <c r="E24" s="110"/>
      <c r="F24" s="108">
        <f>113056+74859+159046</f>
        <v>346961</v>
      </c>
      <c r="G24" s="110">
        <f>1341+68475</f>
        <v>69816</v>
      </c>
      <c r="H24" s="111"/>
      <c r="I24" s="110"/>
      <c r="J24" s="112">
        <f>700+26547-151080</f>
        <v>-123833</v>
      </c>
      <c r="K24" s="113">
        <f t="shared" si="0"/>
        <v>831389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>
        <v>29520</v>
      </c>
      <c r="H25" s="111">
        <v>91021</v>
      </c>
      <c r="I25" s="110">
        <f>57000+3800+3800+4989+135904</f>
        <v>205493</v>
      </c>
      <c r="J25" s="112">
        <f>1-54059</f>
        <v>-54058</v>
      </c>
      <c r="K25" s="113">
        <f t="shared" si="0"/>
        <v>271976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/>
      <c r="F26" s="108"/>
      <c r="G26" s="110">
        <v>205729</v>
      </c>
      <c r="H26" s="111">
        <v>12648</v>
      </c>
      <c r="I26" s="110">
        <v>68011</v>
      </c>
      <c r="J26" s="112">
        <v>103243</v>
      </c>
      <c r="K26" s="113">
        <f t="shared" si="0"/>
        <v>389631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23688+857613+78920</f>
        <v>960221</v>
      </c>
      <c r="J27" s="112">
        <v>-148031</v>
      </c>
      <c r="K27" s="113">
        <f t="shared" si="0"/>
        <v>812190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>
        <v>4914</v>
      </c>
      <c r="H28" s="111">
        <v>258928</v>
      </c>
      <c r="I28" s="110">
        <f>1152895+139030+76903</f>
        <v>1368828</v>
      </c>
      <c r="J28" s="112">
        <v>10004</v>
      </c>
      <c r="K28" s="113">
        <f t="shared" si="0"/>
        <v>1642674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>
        <v>197125</v>
      </c>
      <c r="J33" s="112">
        <v>27265</v>
      </c>
      <c r="K33" s="113">
        <f t="shared" si="0"/>
        <v>224390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574997</v>
      </c>
      <c r="J34" s="112">
        <v>11737</v>
      </c>
      <c r="K34" s="113">
        <f t="shared" si="0"/>
        <v>586734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234792</v>
      </c>
      <c r="E39" s="110"/>
      <c r="F39" s="108"/>
      <c r="G39" s="110"/>
      <c r="H39" s="111">
        <v>90513</v>
      </c>
      <c r="I39" s="110"/>
      <c r="J39" s="112">
        <v>102005</v>
      </c>
      <c r="K39" s="113">
        <f t="shared" si="0"/>
        <v>427310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78264</v>
      </c>
      <c r="E40" s="110"/>
      <c r="F40" s="108"/>
      <c r="G40" s="110"/>
      <c r="H40" s="111">
        <v>30171</v>
      </c>
      <c r="I40" s="110"/>
      <c r="J40" s="112">
        <v>34002</v>
      </c>
      <c r="K40" s="113">
        <f t="shared" si="0"/>
        <v>142437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f>430184+2650+108680</f>
        <v>541514</v>
      </c>
      <c r="G41" s="110">
        <v>1709</v>
      </c>
      <c r="H41" s="111">
        <v>50001</v>
      </c>
      <c r="I41" s="110"/>
      <c r="J41" s="112">
        <f>47732+3500</f>
        <v>51232</v>
      </c>
      <c r="K41" s="113">
        <f t="shared" si="0"/>
        <v>644456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420700</v>
      </c>
      <c r="D44" s="121">
        <f t="shared" si="1"/>
        <v>1767342</v>
      </c>
      <c r="E44" s="122">
        <f t="shared" si="1"/>
        <v>21456</v>
      </c>
      <c r="F44" s="120">
        <f t="shared" si="1"/>
        <v>1326197</v>
      </c>
      <c r="G44" s="123">
        <f t="shared" si="1"/>
        <v>1024657</v>
      </c>
      <c r="H44" s="124">
        <f t="shared" si="1"/>
        <v>1305848</v>
      </c>
      <c r="I44" s="122">
        <f t="shared" si="1"/>
        <v>3472018</v>
      </c>
      <c r="J44" s="125">
        <f t="shared" si="1"/>
        <v>966929</v>
      </c>
      <c r="K44" s="126">
        <f>SUM(C44:J44)</f>
        <v>10305147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420700</v>
      </c>
      <c r="D56" s="134">
        <f t="shared" si="2"/>
        <v>1767342</v>
      </c>
      <c r="E56" s="135">
        <f t="shared" si="2"/>
        <v>21456</v>
      </c>
      <c r="F56" s="133">
        <f t="shared" si="2"/>
        <v>1326197</v>
      </c>
      <c r="G56" s="136">
        <f t="shared" si="2"/>
        <v>1024657</v>
      </c>
      <c r="H56" s="137">
        <f t="shared" si="2"/>
        <v>1305848</v>
      </c>
      <c r="I56" s="138">
        <f t="shared" si="2"/>
        <v>3472018</v>
      </c>
      <c r="J56" s="139">
        <f t="shared" si="2"/>
        <v>966929</v>
      </c>
      <c r="K56" s="140">
        <f>SUM(C56:J56)</f>
        <v>10305147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420700</v>
      </c>
      <c r="D62" s="20">
        <f>C56/$K56</f>
        <v>4.0824259954758531E-2</v>
      </c>
    </row>
    <row r="63" spans="1:12" x14ac:dyDescent="0.35">
      <c r="B63" s="8" t="s">
        <v>2</v>
      </c>
      <c r="C63" s="21">
        <f>D56</f>
        <v>1767342</v>
      </c>
      <c r="D63" s="20">
        <f>D56/$K56</f>
        <v>0.17150090144274507</v>
      </c>
    </row>
    <row r="64" spans="1:12" x14ac:dyDescent="0.35">
      <c r="B64" s="27" t="s">
        <v>41</v>
      </c>
      <c r="C64" s="22">
        <f>E56</f>
        <v>21456</v>
      </c>
      <c r="D64" s="57">
        <f>E56/$K56</f>
        <v>2.0820663693589233E-3</v>
      </c>
    </row>
    <row r="65" spans="2:4" ht="15" thickBot="1" x14ac:dyDescent="0.4">
      <c r="B65" s="192" t="s">
        <v>75</v>
      </c>
      <c r="C65" s="23">
        <f>SUM(C62:C64)</f>
        <v>2209498</v>
      </c>
      <c r="D65" s="24">
        <f>SUM(D62:D64)</f>
        <v>0.21440722776686252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1326197</v>
      </c>
      <c r="D67" s="7">
        <f>F56/K56</f>
        <v>0.12869268143385049</v>
      </c>
    </row>
    <row r="68" spans="2:4" x14ac:dyDescent="0.35">
      <c r="B68" s="28" t="s">
        <v>5</v>
      </c>
      <c r="C68" s="9">
        <f>G56</f>
        <v>1024657</v>
      </c>
      <c r="D68" s="10">
        <f>G56/K56</f>
        <v>9.9431575308920869E-2</v>
      </c>
    </row>
    <row r="69" spans="2:4" ht="15" thickBot="1" x14ac:dyDescent="0.4">
      <c r="B69" s="192" t="s">
        <v>76</v>
      </c>
      <c r="C69" s="23">
        <f>SUM(C67:C68)</f>
        <v>2350854</v>
      </c>
      <c r="D69" s="24">
        <f>SUM(D67:D68)</f>
        <v>0.22812425674277137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1305848</v>
      </c>
      <c r="D71" s="7">
        <f>H56/K56</f>
        <v>0.12671803711291066</v>
      </c>
    </row>
    <row r="72" spans="2:4" x14ac:dyDescent="0.35">
      <c r="B72" s="28" t="s">
        <v>6</v>
      </c>
      <c r="C72" s="9">
        <f>I56</f>
        <v>3472018</v>
      </c>
      <c r="D72" s="10">
        <f>I56/K56</f>
        <v>0.33692076396387166</v>
      </c>
    </row>
    <row r="73" spans="2:4" ht="15" thickBot="1" x14ac:dyDescent="0.4">
      <c r="B73" s="192" t="s">
        <v>77</v>
      </c>
      <c r="C73" s="54">
        <f>SUM(C71:C72)</f>
        <v>4777866</v>
      </c>
      <c r="D73" s="24">
        <f>SUM(D71:D72)</f>
        <v>0.46363880107678235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966929</v>
      </c>
      <c r="D75" s="24">
        <f>J56/K56</f>
        <v>9.3829714413583815E-2</v>
      </c>
    </row>
    <row r="76" spans="2:4" ht="15" thickBot="1" x14ac:dyDescent="0.4">
      <c r="B76" s="36" t="s">
        <v>42</v>
      </c>
      <c r="C76" s="37">
        <f>C65+C69+C73+C75</f>
        <v>10305147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89" priority="3">
      <formula>ROW()=EVEN(ROW())</formula>
    </cfRule>
  </conditionalFormatting>
  <conditionalFormatting sqref="K45:K55">
    <cfRule type="expression" dxfId="88" priority="1">
      <formula>ROW()=EVEN(ROW())</formula>
    </cfRule>
  </conditionalFormatting>
  <conditionalFormatting sqref="K5:K44">
    <cfRule type="expression" dxfId="8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CLARK</oddHeader>
  </headerFooter>
  <rowBreaks count="1" manualBreakCount="1">
    <brk id="44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4090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4.3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36345</v>
      </c>
      <c r="E5" s="110"/>
      <c r="F5" s="108"/>
      <c r="G5" s="110">
        <v>24007</v>
      </c>
      <c r="H5" s="111">
        <f>15005+14054</f>
        <v>29059</v>
      </c>
      <c r="I5" s="110"/>
      <c r="J5" s="112">
        <f>5440+81+700+304</f>
        <v>6525</v>
      </c>
      <c r="K5" s="113">
        <f>SUM(C5:J5)</f>
        <v>95936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492</v>
      </c>
      <c r="E7" s="110"/>
      <c r="F7" s="108">
        <v>15308</v>
      </c>
      <c r="G7" s="110"/>
      <c r="H7" s="111"/>
      <c r="I7" s="110"/>
      <c r="J7" s="112"/>
      <c r="K7" s="113">
        <f t="shared" si="0"/>
        <v>15800</v>
      </c>
      <c r="L7"/>
    </row>
    <row r="8" spans="1:12" x14ac:dyDescent="0.35">
      <c r="A8" s="93">
        <v>562.24</v>
      </c>
      <c r="B8" s="16" t="s">
        <v>11</v>
      </c>
      <c r="C8" s="108"/>
      <c r="D8" s="109">
        <v>1214</v>
      </c>
      <c r="E8" s="110">
        <v>972</v>
      </c>
      <c r="F8" s="114"/>
      <c r="G8" s="115">
        <v>972</v>
      </c>
      <c r="H8" s="111">
        <v>520</v>
      </c>
      <c r="I8" s="110"/>
      <c r="J8" s="112"/>
      <c r="K8" s="113">
        <f t="shared" si="0"/>
        <v>3678</v>
      </c>
      <c r="L8"/>
    </row>
    <row r="9" spans="1:12" x14ac:dyDescent="0.35">
      <c r="A9" s="93">
        <v>562.25</v>
      </c>
      <c r="B9" s="29" t="s">
        <v>53</v>
      </c>
      <c r="C9" s="108"/>
      <c r="D9" s="109">
        <v>1406</v>
      </c>
      <c r="E9" s="110"/>
      <c r="F9" s="108">
        <v>8752</v>
      </c>
      <c r="G9" s="110">
        <v>13740</v>
      </c>
      <c r="H9" s="111"/>
      <c r="I9" s="110"/>
      <c r="J9" s="112"/>
      <c r="K9" s="113">
        <f t="shared" si="0"/>
        <v>23898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8359</v>
      </c>
      <c r="E12" s="110"/>
      <c r="F12" s="108">
        <f>42306+102</f>
        <v>42408</v>
      </c>
      <c r="G12" s="110"/>
      <c r="H12" s="111">
        <v>3582</v>
      </c>
      <c r="I12" s="110"/>
      <c r="J12" s="112"/>
      <c r="K12" s="113">
        <f t="shared" si="0"/>
        <v>54349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6330</v>
      </c>
      <c r="E13" s="110"/>
      <c r="F13" s="108"/>
      <c r="G13" s="110"/>
      <c r="H13" s="111">
        <v>2713</v>
      </c>
      <c r="I13" s="110">
        <v>21750</v>
      </c>
      <c r="J13" s="112">
        <f>2500+4000</f>
        <v>6500</v>
      </c>
      <c r="K13" s="113">
        <f t="shared" si="0"/>
        <v>37293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23248</v>
      </c>
      <c r="E14" s="110"/>
      <c r="F14" s="108">
        <v>3102</v>
      </c>
      <c r="G14" s="110"/>
      <c r="H14" s="111">
        <v>9964</v>
      </c>
      <c r="I14" s="110">
        <f>2704+3334</f>
        <v>6038</v>
      </c>
      <c r="J14" s="112"/>
      <c r="K14" s="113">
        <f t="shared" si="0"/>
        <v>42352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1543</v>
      </c>
      <c r="E15" s="110"/>
      <c r="F15" s="108"/>
      <c r="G15" s="110"/>
      <c r="H15" s="111">
        <v>662</v>
      </c>
      <c r="I15" s="110"/>
      <c r="J15" s="112"/>
      <c r="K15" s="113">
        <f t="shared" si="0"/>
        <v>2205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4413</v>
      </c>
      <c r="E16" s="110"/>
      <c r="F16" s="108"/>
      <c r="G16" s="110"/>
      <c r="H16" s="111">
        <v>1886</v>
      </c>
      <c r="I16" s="110">
        <v>800</v>
      </c>
      <c r="J16" s="112"/>
      <c r="K16" s="113">
        <f t="shared" si="0"/>
        <v>7099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7840</v>
      </c>
      <c r="E18" s="110"/>
      <c r="F18" s="108"/>
      <c r="G18" s="110"/>
      <c r="H18" s="111">
        <v>3360</v>
      </c>
      <c r="I18" s="110"/>
      <c r="J18" s="112"/>
      <c r="K18" s="113">
        <f t="shared" si="0"/>
        <v>11200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>
        <v>5337</v>
      </c>
      <c r="E22" s="110"/>
      <c r="F22" s="108"/>
      <c r="G22" s="110"/>
      <c r="H22" s="111">
        <v>2288</v>
      </c>
      <c r="I22" s="110"/>
      <c r="J22" s="112">
        <v>133</v>
      </c>
      <c r="K22" s="113">
        <f t="shared" si="0"/>
        <v>7758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81</v>
      </c>
      <c r="E25" s="110">
        <v>233</v>
      </c>
      <c r="F25" s="108"/>
      <c r="G25" s="110"/>
      <c r="H25" s="111"/>
      <c r="I25" s="110">
        <v>250</v>
      </c>
      <c r="J25" s="112"/>
      <c r="K25" s="113">
        <f t="shared" si="0"/>
        <v>564</v>
      </c>
      <c r="L25"/>
    </row>
    <row r="26" spans="1:12" x14ac:dyDescent="0.35">
      <c r="A26" s="93">
        <v>562.53</v>
      </c>
      <c r="B26" s="29" t="s">
        <v>59</v>
      </c>
      <c r="C26" s="108"/>
      <c r="D26" s="109">
        <v>654</v>
      </c>
      <c r="E26" s="110"/>
      <c r="F26" s="108"/>
      <c r="G26" s="110"/>
      <c r="H26" s="111">
        <v>280</v>
      </c>
      <c r="I26" s="110">
        <v>750</v>
      </c>
      <c r="J26" s="112"/>
      <c r="K26" s="113">
        <f t="shared" si="0"/>
        <v>1684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2667</v>
      </c>
      <c r="E27" s="110"/>
      <c r="F27" s="108"/>
      <c r="G27" s="110"/>
      <c r="H27" s="111">
        <v>1143</v>
      </c>
      <c r="I27" s="110">
        <v>2950</v>
      </c>
      <c r="J27" s="112"/>
      <c r="K27" s="113">
        <f t="shared" si="0"/>
        <v>6760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378</v>
      </c>
      <c r="E28" s="110"/>
      <c r="F28" s="108"/>
      <c r="G28" s="110"/>
      <c r="H28" s="111">
        <v>162</v>
      </c>
      <c r="I28" s="110"/>
      <c r="J28" s="112"/>
      <c r="K28" s="113">
        <f t="shared" si="0"/>
        <v>540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>
        <v>1783</v>
      </c>
      <c r="E29" s="110"/>
      <c r="F29" s="108"/>
      <c r="G29" s="110"/>
      <c r="H29" s="111">
        <v>764</v>
      </c>
      <c r="I29" s="110">
        <v>9473</v>
      </c>
      <c r="J29" s="112"/>
      <c r="K29" s="113">
        <f t="shared" si="0"/>
        <v>12020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500</v>
      </c>
      <c r="E31" s="110"/>
      <c r="F31" s="108"/>
      <c r="G31" s="110"/>
      <c r="H31" s="111">
        <v>214</v>
      </c>
      <c r="I31" s="110"/>
      <c r="J31" s="112"/>
      <c r="K31" s="113">
        <f t="shared" si="0"/>
        <v>714</v>
      </c>
      <c r="L31"/>
    </row>
    <row r="32" spans="1:12" x14ac:dyDescent="0.35">
      <c r="A32" s="93">
        <v>562.59</v>
      </c>
      <c r="B32" s="29" t="s">
        <v>49</v>
      </c>
      <c r="C32" s="108"/>
      <c r="D32" s="109">
        <v>306</v>
      </c>
      <c r="E32" s="110"/>
      <c r="F32" s="108"/>
      <c r="G32" s="110"/>
      <c r="H32" s="111">
        <v>131</v>
      </c>
      <c r="I32" s="110"/>
      <c r="J32" s="112"/>
      <c r="K32" s="113">
        <f t="shared" si="0"/>
        <v>437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1799</v>
      </c>
      <c r="E34" s="110"/>
      <c r="F34" s="108"/>
      <c r="G34" s="110"/>
      <c r="H34" s="111">
        <v>771</v>
      </c>
      <c r="I34" s="110">
        <v>1933</v>
      </c>
      <c r="J34" s="112"/>
      <c r="K34" s="113">
        <f t="shared" si="0"/>
        <v>4503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9631</v>
      </c>
      <c r="E40" s="110"/>
      <c r="F40" s="108">
        <v>416</v>
      </c>
      <c r="G40" s="110"/>
      <c r="H40" s="111">
        <v>4127</v>
      </c>
      <c r="I40" s="110"/>
      <c r="J40" s="112">
        <f>76+645</f>
        <v>721</v>
      </c>
      <c r="K40" s="113">
        <f t="shared" si="0"/>
        <v>14895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5665</v>
      </c>
      <c r="E41" s="110"/>
      <c r="F41" s="108">
        <v>13872</v>
      </c>
      <c r="G41" s="110"/>
      <c r="H41" s="111">
        <v>2428</v>
      </c>
      <c r="I41" s="110"/>
      <c r="J41" s="112"/>
      <c r="K41" s="113">
        <f t="shared" si="0"/>
        <v>21965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119991</v>
      </c>
      <c r="E44" s="122">
        <f t="shared" si="1"/>
        <v>1205</v>
      </c>
      <c r="F44" s="120">
        <f t="shared" si="1"/>
        <v>83858</v>
      </c>
      <c r="G44" s="123">
        <f t="shared" si="1"/>
        <v>38719</v>
      </c>
      <c r="H44" s="124">
        <f t="shared" si="1"/>
        <v>64054</v>
      </c>
      <c r="I44" s="122">
        <f t="shared" si="1"/>
        <v>43944</v>
      </c>
      <c r="J44" s="125">
        <f t="shared" si="1"/>
        <v>13879</v>
      </c>
      <c r="K44" s="126">
        <f>SUM(C44:J44)</f>
        <v>365650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119991</v>
      </c>
      <c r="E56" s="135">
        <f t="shared" si="2"/>
        <v>1205</v>
      </c>
      <c r="F56" s="133">
        <f t="shared" si="2"/>
        <v>83858</v>
      </c>
      <c r="G56" s="136">
        <f t="shared" si="2"/>
        <v>38719</v>
      </c>
      <c r="H56" s="137">
        <f t="shared" si="2"/>
        <v>64054</v>
      </c>
      <c r="I56" s="138">
        <f t="shared" si="2"/>
        <v>43944</v>
      </c>
      <c r="J56" s="139">
        <f t="shared" si="2"/>
        <v>13879</v>
      </c>
      <c r="K56" s="140">
        <f>SUM(C56:J56)</f>
        <v>365650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119991</v>
      </c>
      <c r="D63" s="20">
        <f>D56/$K56</f>
        <v>0.32815807466156161</v>
      </c>
    </row>
    <row r="64" spans="1:12" x14ac:dyDescent="0.35">
      <c r="B64" s="27" t="s">
        <v>41</v>
      </c>
      <c r="C64" s="22">
        <f>E56</f>
        <v>1205</v>
      </c>
      <c r="D64" s="57">
        <f>E56/$K56</f>
        <v>3.2955011623136878E-3</v>
      </c>
    </row>
    <row r="65" spans="2:4" ht="15" thickBot="1" x14ac:dyDescent="0.4">
      <c r="B65" s="192" t="s">
        <v>75</v>
      </c>
      <c r="C65" s="23">
        <f>SUM(C62:C64)</f>
        <v>121196</v>
      </c>
      <c r="D65" s="24">
        <f>SUM(D62:D64)</f>
        <v>0.3314535758238753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83858</v>
      </c>
      <c r="D67" s="7">
        <f>F56/K56</f>
        <v>0.22933953233966908</v>
      </c>
    </row>
    <row r="68" spans="2:4" x14ac:dyDescent="0.35">
      <c r="B68" s="28" t="s">
        <v>5</v>
      </c>
      <c r="C68" s="9">
        <f>G56</f>
        <v>38719</v>
      </c>
      <c r="D68" s="10">
        <f>G56/K56</f>
        <v>0.10589087925611924</v>
      </c>
    </row>
    <row r="69" spans="2:4" ht="15" thickBot="1" x14ac:dyDescent="0.4">
      <c r="B69" s="192" t="s">
        <v>76</v>
      </c>
      <c r="C69" s="23">
        <f>SUM(C67:C68)</f>
        <v>122577</v>
      </c>
      <c r="D69" s="24">
        <f>SUM(D67:D68)</f>
        <v>0.33523041159578831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64054</v>
      </c>
      <c r="D71" s="7">
        <f>H56/K56</f>
        <v>0.17517844933679749</v>
      </c>
    </row>
    <row r="72" spans="2:4" x14ac:dyDescent="0.35">
      <c r="B72" s="28" t="s">
        <v>6</v>
      </c>
      <c r="C72" s="9">
        <f>I56</f>
        <v>43944</v>
      </c>
      <c r="D72" s="10">
        <f>I56/K56</f>
        <v>0.12018050047859975</v>
      </c>
    </row>
    <row r="73" spans="2:4" ht="15" thickBot="1" x14ac:dyDescent="0.4">
      <c r="B73" s="192" t="s">
        <v>77</v>
      </c>
      <c r="C73" s="54">
        <f>SUM(C71:C72)</f>
        <v>107998</v>
      </c>
      <c r="D73" s="24">
        <f>SUM(D71:D72)</f>
        <v>0.29535894981539723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13879</v>
      </c>
      <c r="D75" s="24">
        <f>J56/K56</f>
        <v>3.7957062764939146E-2</v>
      </c>
    </row>
    <row r="76" spans="2:4" ht="15" thickBot="1" x14ac:dyDescent="0.4">
      <c r="B76" s="36" t="s">
        <v>42</v>
      </c>
      <c r="C76" s="37">
        <f>C65+C69+C73+C75</f>
        <v>365650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86" priority="3">
      <formula>ROW()=EVEN(ROW())</formula>
    </cfRule>
  </conditionalFormatting>
  <conditionalFormatting sqref="K45:K55">
    <cfRule type="expression" dxfId="85" priority="1">
      <formula>ROW()=EVEN(ROW())</formula>
    </cfRule>
  </conditionalFormatting>
  <conditionalFormatting sqref="K5:K44">
    <cfRule type="expression" dxfId="8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COLUMBIA</oddHeader>
  </headerFooter>
  <rowBreaks count="1" manualBreakCount="1">
    <brk id="44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104280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27.5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148634.87</v>
      </c>
      <c r="E5" s="110"/>
      <c r="F5" s="108"/>
      <c r="G5" s="110">
        <v>15711</v>
      </c>
      <c r="H5" s="111"/>
      <c r="I5" s="110">
        <f>5174+5665+61+4981+27175</f>
        <v>43056</v>
      </c>
      <c r="J5" s="112">
        <f>411.8+117702+266370.23</f>
        <v>384484.02999999997</v>
      </c>
      <c r="K5" s="113">
        <f>SUM(C5:J5)</f>
        <v>591885.89999999991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88146</v>
      </c>
      <c r="E7" s="110"/>
      <c r="F7" s="108">
        <v>114289</v>
      </c>
      <c r="G7" s="110">
        <f>3900+327248</f>
        <v>331148</v>
      </c>
      <c r="H7" s="111">
        <v>59810.98</v>
      </c>
      <c r="I7" s="110">
        <v>3250</v>
      </c>
      <c r="J7" s="112">
        <v>280</v>
      </c>
      <c r="K7" s="113">
        <f t="shared" si="0"/>
        <v>596923.98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20000</v>
      </c>
      <c r="H8" s="111"/>
      <c r="I8" s="110"/>
      <c r="J8" s="112"/>
      <c r="K8" s="113">
        <f t="shared" si="0"/>
        <v>20000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9310</v>
      </c>
      <c r="G14" s="110"/>
      <c r="H14" s="111">
        <v>5432</v>
      </c>
      <c r="I14" s="110"/>
      <c r="J14" s="112"/>
      <c r="K14" s="113">
        <f t="shared" si="0"/>
        <v>14742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>
        <v>29091</v>
      </c>
      <c r="I15" s="110"/>
      <c r="J15" s="112"/>
      <c r="K15" s="113">
        <f t="shared" si="0"/>
        <v>29091</v>
      </c>
      <c r="L15"/>
    </row>
    <row r="16" spans="1:12" x14ac:dyDescent="0.35">
      <c r="A16" s="93">
        <v>562.34</v>
      </c>
      <c r="B16" s="16" t="s">
        <v>13</v>
      </c>
      <c r="C16" s="108">
        <v>2405</v>
      </c>
      <c r="D16" s="109"/>
      <c r="E16" s="110"/>
      <c r="F16" s="108">
        <v>1540</v>
      </c>
      <c r="G16" s="110"/>
      <c r="H16" s="111">
        <v>58265</v>
      </c>
      <c r="I16" s="110"/>
      <c r="J16" s="112"/>
      <c r="K16" s="113">
        <f t="shared" si="0"/>
        <v>62210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94645</v>
      </c>
      <c r="E17" s="110"/>
      <c r="F17" s="108"/>
      <c r="G17" s="110"/>
      <c r="H17" s="111">
        <v>4966</v>
      </c>
      <c r="I17" s="110"/>
      <c r="J17" s="112">
        <v>19276</v>
      </c>
      <c r="K17" s="113">
        <f t="shared" si="0"/>
        <v>118887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>
        <v>126988</v>
      </c>
      <c r="I18" s="110"/>
      <c r="J18" s="112"/>
      <c r="K18" s="113">
        <f t="shared" si="0"/>
        <v>126988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17462</v>
      </c>
      <c r="E24" s="110"/>
      <c r="F24" s="108">
        <v>16451</v>
      </c>
      <c r="G24" s="110">
        <v>54572</v>
      </c>
      <c r="H24" s="111"/>
      <c r="I24" s="110"/>
      <c r="J24" s="112">
        <f>86+2573+2207+1898</f>
        <v>6764</v>
      </c>
      <c r="K24" s="113">
        <f t="shared" si="0"/>
        <v>95249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5250+145+69521+18734</f>
        <v>93650</v>
      </c>
      <c r="J25" s="112"/>
      <c r="K25" s="113">
        <f t="shared" si="0"/>
        <v>93650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86002</v>
      </c>
      <c r="F26" s="108"/>
      <c r="G26" s="110"/>
      <c r="H26" s="111"/>
      <c r="I26" s="110">
        <v>84900</v>
      </c>
      <c r="J26" s="112"/>
      <c r="K26" s="113">
        <f t="shared" si="0"/>
        <v>170902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12640+295029</f>
        <v>307669</v>
      </c>
      <c r="J27" s="112"/>
      <c r="K27" s="113">
        <f t="shared" si="0"/>
        <v>307669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12250</v>
      </c>
      <c r="I28" s="110"/>
      <c r="J28" s="112"/>
      <c r="K28" s="113">
        <f t="shared" si="0"/>
        <v>12250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>
        <v>1195</v>
      </c>
      <c r="H29" s="111">
        <v>3076</v>
      </c>
      <c r="I29" s="110">
        <f>300651+33844+43261</f>
        <v>377756</v>
      </c>
      <c r="J29" s="112"/>
      <c r="K29" s="113">
        <f t="shared" si="0"/>
        <v>382027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>
        <v>6692</v>
      </c>
      <c r="I30" s="110"/>
      <c r="J30" s="112"/>
      <c r="K30" s="113">
        <f t="shared" si="0"/>
        <v>6692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>
        <f>29974+32879</f>
        <v>62853</v>
      </c>
      <c r="J32" s="112"/>
      <c r="K32" s="113">
        <f t="shared" si="0"/>
        <v>62853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>
        <v>28941</v>
      </c>
      <c r="F33" s="108"/>
      <c r="G33" s="110"/>
      <c r="H33" s="111">
        <v>11823</v>
      </c>
      <c r="I33" s="110">
        <v>11823</v>
      </c>
      <c r="J33" s="112"/>
      <c r="K33" s="113">
        <f t="shared" si="0"/>
        <v>52587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52182</v>
      </c>
      <c r="J34" s="112"/>
      <c r="K34" s="113">
        <f t="shared" si="0"/>
        <v>52182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11391</v>
      </c>
      <c r="E39" s="110"/>
      <c r="F39" s="108"/>
      <c r="G39" s="110"/>
      <c r="H39" s="111">
        <v>11391</v>
      </c>
      <c r="I39" s="110"/>
      <c r="J39" s="112"/>
      <c r="K39" s="113">
        <f t="shared" si="0"/>
        <v>22782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24803</v>
      </c>
      <c r="G41" s="110"/>
      <c r="H41" s="111">
        <v>1506</v>
      </c>
      <c r="I41" s="110"/>
      <c r="J41" s="112"/>
      <c r="K41" s="113">
        <f t="shared" si="0"/>
        <v>26309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2405</v>
      </c>
      <c r="D44" s="121">
        <f t="shared" si="1"/>
        <v>360278.87</v>
      </c>
      <c r="E44" s="122">
        <f t="shared" si="1"/>
        <v>114943</v>
      </c>
      <c r="F44" s="120">
        <f t="shared" si="1"/>
        <v>166393</v>
      </c>
      <c r="G44" s="123">
        <f t="shared" si="1"/>
        <v>422626</v>
      </c>
      <c r="H44" s="124">
        <f t="shared" si="1"/>
        <v>331290.98</v>
      </c>
      <c r="I44" s="122">
        <f t="shared" si="1"/>
        <v>1037139</v>
      </c>
      <c r="J44" s="125">
        <f t="shared" si="1"/>
        <v>410804.02999999997</v>
      </c>
      <c r="K44" s="126">
        <f>SUM(C44:J44)</f>
        <v>2845879.88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2405</v>
      </c>
      <c r="D56" s="134">
        <f t="shared" si="2"/>
        <v>360278.87</v>
      </c>
      <c r="E56" s="135">
        <f t="shared" si="2"/>
        <v>114943</v>
      </c>
      <c r="F56" s="133">
        <f t="shared" si="2"/>
        <v>166393</v>
      </c>
      <c r="G56" s="136">
        <f t="shared" si="2"/>
        <v>422626</v>
      </c>
      <c r="H56" s="137">
        <f t="shared" si="2"/>
        <v>331290.98</v>
      </c>
      <c r="I56" s="138">
        <f t="shared" si="2"/>
        <v>1037139</v>
      </c>
      <c r="J56" s="139">
        <f t="shared" si="2"/>
        <v>410804.02999999997</v>
      </c>
      <c r="K56" s="140">
        <f>SUM(C56:J56)</f>
        <v>2845879.88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2405</v>
      </c>
      <c r="D62" s="20">
        <f>C56/$K56</f>
        <v>8.4508134615997918E-4</v>
      </c>
    </row>
    <row r="63" spans="1:12" x14ac:dyDescent="0.35">
      <c r="B63" s="8" t="s">
        <v>2</v>
      </c>
      <c r="C63" s="21">
        <f>D56</f>
        <v>360278.87</v>
      </c>
      <c r="D63" s="20">
        <f>D56/$K56</f>
        <v>0.12659665382644331</v>
      </c>
    </row>
    <row r="64" spans="1:12" x14ac:dyDescent="0.35">
      <c r="B64" s="27" t="s">
        <v>41</v>
      </c>
      <c r="C64" s="22">
        <f>E56</f>
        <v>114943</v>
      </c>
      <c r="D64" s="57">
        <f>E56/$K56</f>
        <v>4.0389266183645113E-2</v>
      </c>
    </row>
    <row r="65" spans="2:4" ht="15" thickBot="1" x14ac:dyDescent="0.4">
      <c r="B65" s="192" t="s">
        <v>75</v>
      </c>
      <c r="C65" s="23">
        <f>SUM(C62:C64)</f>
        <v>477626.87</v>
      </c>
      <c r="D65" s="24">
        <f>SUM(D62:D64)</f>
        <v>0.1678310013562484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166393</v>
      </c>
      <c r="D67" s="7">
        <f>F56/K56</f>
        <v>5.8468033443491649E-2</v>
      </c>
    </row>
    <row r="68" spans="2:4" x14ac:dyDescent="0.35">
      <c r="B68" s="28" t="s">
        <v>5</v>
      </c>
      <c r="C68" s="9">
        <f>G56</f>
        <v>422626</v>
      </c>
      <c r="D68" s="10">
        <f>G56/K56</f>
        <v>0.14850451101962883</v>
      </c>
    </row>
    <row r="69" spans="2:4" ht="15" thickBot="1" x14ac:dyDescent="0.4">
      <c r="B69" s="192" t="s">
        <v>76</v>
      </c>
      <c r="C69" s="23">
        <f>SUM(C67:C68)</f>
        <v>589019</v>
      </c>
      <c r="D69" s="24">
        <f>SUM(D67:D68)</f>
        <v>0.20697254446312047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331290.98</v>
      </c>
      <c r="D71" s="7">
        <f>H56/K56</f>
        <v>0.11641073902247764</v>
      </c>
    </row>
    <row r="72" spans="2:4" x14ac:dyDescent="0.35">
      <c r="B72" s="28" t="s">
        <v>6</v>
      </c>
      <c r="C72" s="9">
        <f>I56</f>
        <v>1037139</v>
      </c>
      <c r="D72" s="10">
        <f>I56/K56</f>
        <v>0.36443526913722024</v>
      </c>
    </row>
    <row r="73" spans="2:4" ht="15" thickBot="1" x14ac:dyDescent="0.4">
      <c r="B73" s="192" t="s">
        <v>77</v>
      </c>
      <c r="C73" s="54">
        <f>SUM(C71:C72)</f>
        <v>1368429.98</v>
      </c>
      <c r="D73" s="24">
        <f>SUM(D71:D72)</f>
        <v>0.48084600815969791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410804.02999999997</v>
      </c>
      <c r="D75" s="24">
        <f>J56/K56</f>
        <v>0.14435044602093325</v>
      </c>
    </row>
    <row r="76" spans="2:4" ht="15" thickBot="1" x14ac:dyDescent="0.4">
      <c r="B76" s="36" t="s">
        <v>42</v>
      </c>
      <c r="C76" s="37">
        <f>C65+C69+C73+C75</f>
        <v>2845879.88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83" priority="3">
      <formula>ROW()=EVEN(ROW())</formula>
    </cfRule>
  </conditionalFormatting>
  <conditionalFormatting sqref="K45:K55">
    <cfRule type="expression" dxfId="82" priority="1">
      <formula>ROW()=EVEN(ROW())</formula>
    </cfRule>
  </conditionalFormatting>
  <conditionalFormatting sqref="K5:K44">
    <cfRule type="expression" dxfId="8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COWLITZ</oddHeader>
  </headerFooter>
  <rowBreaks count="1" manualBreakCount="1">
    <brk id="44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2260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3.16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33154</v>
      </c>
      <c r="E5" s="110">
        <f>189</f>
        <v>189</v>
      </c>
      <c r="F5" s="108">
        <f>7309+880+5973+1204+3681</f>
        <v>19047</v>
      </c>
      <c r="G5" s="110"/>
      <c r="H5" s="111">
        <v>24648</v>
      </c>
      <c r="I5" s="110"/>
      <c r="J5" s="112">
        <f>325+26665+10</f>
        <v>27000</v>
      </c>
      <c r="K5" s="113">
        <f>SUM(C5:J5)</f>
        <v>104038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13955</v>
      </c>
      <c r="G7" s="110"/>
      <c r="H7" s="111"/>
      <c r="I7" s="110"/>
      <c r="J7" s="112"/>
      <c r="K7" s="113">
        <f t="shared" si="0"/>
        <v>13955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2812</v>
      </c>
      <c r="G9" s="110"/>
      <c r="H9" s="111"/>
      <c r="I9" s="110"/>
      <c r="J9" s="112"/>
      <c r="K9" s="113">
        <f t="shared" si="0"/>
        <v>2812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v>18586</v>
      </c>
      <c r="G12" s="110"/>
      <c r="H12" s="111"/>
      <c r="I12" s="110"/>
      <c r="J12" s="112"/>
      <c r="K12" s="113">
        <f t="shared" si="0"/>
        <v>18586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>
        <v>2501</v>
      </c>
      <c r="I13" s="110">
        <v>1138</v>
      </c>
      <c r="J13" s="112">
        <v>245</v>
      </c>
      <c r="K13" s="113">
        <f t="shared" si="0"/>
        <v>3884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2274</v>
      </c>
      <c r="G14" s="110"/>
      <c r="H14" s="111"/>
      <c r="I14" s="110">
        <f>623+18</f>
        <v>641</v>
      </c>
      <c r="J14" s="112"/>
      <c r="K14" s="113">
        <f t="shared" si="0"/>
        <v>2915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/>
      <c r="I16" s="110"/>
      <c r="J16" s="112"/>
      <c r="K16" s="113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v>131</v>
      </c>
      <c r="I25" s="110"/>
      <c r="J25" s="112"/>
      <c r="K25" s="113">
        <f t="shared" si="0"/>
        <v>131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1051</v>
      </c>
      <c r="F26" s="108"/>
      <c r="G26" s="110"/>
      <c r="H26" s="111">
        <v>136</v>
      </c>
      <c r="I26" s="110">
        <v>709</v>
      </c>
      <c r="J26" s="112"/>
      <c r="K26" s="113">
        <f t="shared" si="0"/>
        <v>1896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>
        <v>1048</v>
      </c>
      <c r="I27" s="110">
        <f>657+142+284</f>
        <v>1083</v>
      </c>
      <c r="J27" s="112"/>
      <c r="K27" s="113">
        <f t="shared" si="0"/>
        <v>2131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2314</v>
      </c>
      <c r="I28" s="110">
        <f>546+2537</f>
        <v>3083</v>
      </c>
      <c r="J28" s="112"/>
      <c r="K28" s="113">
        <f t="shared" si="0"/>
        <v>5397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>
        <v>77</v>
      </c>
      <c r="I31" s="110">
        <v>126</v>
      </c>
      <c r="J31" s="112"/>
      <c r="K31" s="113">
        <f t="shared" si="0"/>
        <v>203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1426</v>
      </c>
      <c r="I34" s="110">
        <v>752</v>
      </c>
      <c r="J34" s="112"/>
      <c r="K34" s="113">
        <f t="shared" si="0"/>
        <v>2178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60000</v>
      </c>
      <c r="E40" s="110"/>
      <c r="F40" s="108"/>
      <c r="G40" s="110"/>
      <c r="H40" s="111"/>
      <c r="I40" s="110"/>
      <c r="J40" s="112">
        <v>3166</v>
      </c>
      <c r="K40" s="113">
        <f t="shared" si="0"/>
        <v>63166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9135</v>
      </c>
      <c r="G41" s="110"/>
      <c r="H41" s="111">
        <v>221</v>
      </c>
      <c r="I41" s="110"/>
      <c r="J41" s="112"/>
      <c r="K41" s="113">
        <f t="shared" si="0"/>
        <v>9356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93154</v>
      </c>
      <c r="E44" s="122">
        <f t="shared" si="1"/>
        <v>1240</v>
      </c>
      <c r="F44" s="120">
        <f t="shared" si="1"/>
        <v>65809</v>
      </c>
      <c r="G44" s="123">
        <f t="shared" si="1"/>
        <v>0</v>
      </c>
      <c r="H44" s="124">
        <f t="shared" si="1"/>
        <v>32502</v>
      </c>
      <c r="I44" s="122">
        <f t="shared" si="1"/>
        <v>7532</v>
      </c>
      <c r="J44" s="125">
        <f t="shared" si="1"/>
        <v>30411</v>
      </c>
      <c r="K44" s="126">
        <f>SUM(C44:J44)</f>
        <v>230648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93154</v>
      </c>
      <c r="E56" s="135">
        <f t="shared" si="2"/>
        <v>1240</v>
      </c>
      <c r="F56" s="133">
        <f t="shared" si="2"/>
        <v>65809</v>
      </c>
      <c r="G56" s="136">
        <f t="shared" si="2"/>
        <v>0</v>
      </c>
      <c r="H56" s="137">
        <f t="shared" si="2"/>
        <v>32502</v>
      </c>
      <c r="I56" s="138">
        <f t="shared" si="2"/>
        <v>7532</v>
      </c>
      <c r="J56" s="139">
        <f t="shared" si="2"/>
        <v>30411</v>
      </c>
      <c r="K56" s="140">
        <f>SUM(C56:J56)</f>
        <v>230648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93154</v>
      </c>
      <c r="D63" s="20">
        <f>D56/$K56</f>
        <v>0.40387950469980227</v>
      </c>
    </row>
    <row r="64" spans="1:12" x14ac:dyDescent="0.35">
      <c r="B64" s="27" t="s">
        <v>41</v>
      </c>
      <c r="C64" s="22">
        <f>E56</f>
        <v>1240</v>
      </c>
      <c r="D64" s="57">
        <f>E56/$K56</f>
        <v>5.3761576081301377E-3</v>
      </c>
    </row>
    <row r="65" spans="2:4" ht="15" thickBot="1" x14ac:dyDescent="0.4">
      <c r="B65" s="192" t="s">
        <v>75</v>
      </c>
      <c r="C65" s="23">
        <f>SUM(C62:C64)</f>
        <v>94394</v>
      </c>
      <c r="D65" s="24">
        <f>SUM(D62:D64)</f>
        <v>0.40925566230793242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65809</v>
      </c>
      <c r="D67" s="7">
        <f>F56/K56</f>
        <v>0.28532222260760987</v>
      </c>
    </row>
    <row r="68" spans="2:4" x14ac:dyDescent="0.35">
      <c r="B68" s="28" t="s">
        <v>5</v>
      </c>
      <c r="C68" s="9">
        <f>G56</f>
        <v>0</v>
      </c>
      <c r="D68" s="10">
        <f>G56/K56</f>
        <v>0</v>
      </c>
    </row>
    <row r="69" spans="2:4" ht="15" thickBot="1" x14ac:dyDescent="0.4">
      <c r="B69" s="192" t="s">
        <v>76</v>
      </c>
      <c r="C69" s="23">
        <f>SUM(C67:C68)</f>
        <v>65809</v>
      </c>
      <c r="D69" s="24">
        <f>SUM(D67:D68)</f>
        <v>0.28532222260760987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32502</v>
      </c>
      <c r="D71" s="7">
        <f>H56/K56</f>
        <v>0.14091602788664978</v>
      </c>
    </row>
    <row r="72" spans="2:4" x14ac:dyDescent="0.35">
      <c r="B72" s="28" t="s">
        <v>6</v>
      </c>
      <c r="C72" s="9">
        <f>I56</f>
        <v>7532</v>
      </c>
      <c r="D72" s="10">
        <f>I56/K56</f>
        <v>3.2655821858416291E-2</v>
      </c>
    </row>
    <row r="73" spans="2:4" ht="15" thickBot="1" x14ac:dyDescent="0.4">
      <c r="B73" s="192" t="s">
        <v>77</v>
      </c>
      <c r="C73" s="54">
        <f>SUM(C71:C72)</f>
        <v>40034</v>
      </c>
      <c r="D73" s="24">
        <f>SUM(D71:D72)</f>
        <v>0.17357184974506606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30411</v>
      </c>
      <c r="D75" s="24">
        <f>J56/K56</f>
        <v>0.13185026533939162</v>
      </c>
    </row>
    <row r="76" spans="2:4" ht="15" thickBot="1" x14ac:dyDescent="0.4">
      <c r="B76" s="36" t="s">
        <v>42</v>
      </c>
      <c r="C76" s="37">
        <f>C65+C69+C73+C75</f>
        <v>230648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80" priority="3">
      <formula>ROW()=EVEN(ROW())</formula>
    </cfRule>
  </conditionalFormatting>
  <conditionalFormatting sqref="K45:K55">
    <cfRule type="expression" dxfId="79" priority="1">
      <formula>ROW()=EVEN(ROW())</formula>
    </cfRule>
  </conditionalFormatting>
  <conditionalFormatting sqref="K5:K44">
    <cfRule type="expression" dxfId="7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GARFIELD</oddHeader>
  </headerFooter>
  <rowBreaks count="1" manualBreakCount="1">
    <brk id="44" max="16383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H6" sqref="H5:H6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93930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23.52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f>10000+9479</f>
        <v>19479</v>
      </c>
      <c r="H5" s="111"/>
      <c r="I5" s="110">
        <v>105</v>
      </c>
      <c r="J5" s="112">
        <f>7079-27953</f>
        <v>-20874</v>
      </c>
      <c r="K5" s="113">
        <f>SUM(C5:J5)</f>
        <v>-1290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70257</v>
      </c>
      <c r="G7" s="110"/>
      <c r="H7" s="111"/>
      <c r="I7" s="110"/>
      <c r="J7" s="112">
        <f>4561+138</f>
        <v>4699</v>
      </c>
      <c r="K7" s="113">
        <f t="shared" si="0"/>
        <v>74956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28624</v>
      </c>
      <c r="H8" s="111"/>
      <c r="I8" s="110"/>
      <c r="J8" s="112">
        <f>8000-2212</f>
        <v>5788</v>
      </c>
      <c r="K8" s="113">
        <f t="shared" si="0"/>
        <v>34412</v>
      </c>
      <c r="L8"/>
    </row>
    <row r="9" spans="1:12" x14ac:dyDescent="0.35">
      <c r="A9" s="93">
        <v>562.25</v>
      </c>
      <c r="B9" s="29" t="s">
        <v>53</v>
      </c>
      <c r="C9" s="108"/>
      <c r="D9" s="109">
        <v>333</v>
      </c>
      <c r="E9" s="110"/>
      <c r="F9" s="108">
        <v>64384</v>
      </c>
      <c r="G9" s="110"/>
      <c r="H9" s="111"/>
      <c r="I9" s="110">
        <v>1525</v>
      </c>
      <c r="J9" s="112"/>
      <c r="K9" s="113">
        <f t="shared" si="0"/>
        <v>66242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45200</v>
      </c>
      <c r="E14" s="110"/>
      <c r="F14" s="108">
        <f>24213+4924</f>
        <v>29137</v>
      </c>
      <c r="G14" s="110">
        <v>15921</v>
      </c>
      <c r="H14" s="111"/>
      <c r="I14" s="110">
        <f>1540+105</f>
        <v>1645</v>
      </c>
      <c r="J14" s="112"/>
      <c r="K14" s="113">
        <f t="shared" si="0"/>
        <v>91903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28727</v>
      </c>
      <c r="E15" s="110"/>
      <c r="F15" s="108"/>
      <c r="G15" s="110">
        <v>7921</v>
      </c>
      <c r="H15" s="111">
        <f>15000+15000</f>
        <v>30000</v>
      </c>
      <c r="I15" s="110"/>
      <c r="J15" s="112"/>
      <c r="K15" s="113">
        <f t="shared" si="0"/>
        <v>66648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20000</v>
      </c>
      <c r="E16" s="110"/>
      <c r="F16" s="108"/>
      <c r="G16" s="110">
        <v>5777</v>
      </c>
      <c r="H16" s="111">
        <v>42550</v>
      </c>
      <c r="I16" s="110">
        <f>3150+353</f>
        <v>3503</v>
      </c>
      <c r="J16" s="112"/>
      <c r="K16" s="113">
        <f t="shared" si="0"/>
        <v>71830</v>
      </c>
      <c r="L16"/>
    </row>
    <row r="17" spans="1:12" x14ac:dyDescent="0.35">
      <c r="A17" s="93">
        <v>562.35</v>
      </c>
      <c r="B17" s="16" t="s">
        <v>14</v>
      </c>
      <c r="C17" s="108">
        <f>30387+14242</f>
        <v>44629</v>
      </c>
      <c r="D17" s="109"/>
      <c r="E17" s="110"/>
      <c r="F17" s="108">
        <v>10557</v>
      </c>
      <c r="G17" s="110"/>
      <c r="H17" s="111"/>
      <c r="I17" s="110">
        <v>18311</v>
      </c>
      <c r="J17" s="112"/>
      <c r="K17" s="113">
        <f t="shared" si="0"/>
        <v>73497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70419</v>
      </c>
      <c r="E18" s="110"/>
      <c r="F18" s="108"/>
      <c r="G18" s="110"/>
      <c r="H18" s="111">
        <f>31844+19625</f>
        <v>51469</v>
      </c>
      <c r="I18" s="110"/>
      <c r="J18" s="112">
        <v>13722</v>
      </c>
      <c r="K18" s="113">
        <f t="shared" si="0"/>
        <v>135610</v>
      </c>
      <c r="L18"/>
    </row>
    <row r="19" spans="1:12" x14ac:dyDescent="0.35">
      <c r="A19" s="93">
        <v>562.41</v>
      </c>
      <c r="B19" s="16" t="s">
        <v>16</v>
      </c>
      <c r="C19" s="108"/>
      <c r="D19" s="109">
        <v>16193</v>
      </c>
      <c r="E19" s="110"/>
      <c r="F19" s="108">
        <f>103013+147042</f>
        <v>250055</v>
      </c>
      <c r="G19" s="110"/>
      <c r="H19" s="111"/>
      <c r="I19" s="110"/>
      <c r="J19" s="112">
        <f>1000+3497</f>
        <v>4497</v>
      </c>
      <c r="K19" s="113">
        <f t="shared" si="0"/>
        <v>270745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>
        <v>45430</v>
      </c>
      <c r="D22" s="109">
        <v>86</v>
      </c>
      <c r="E22" s="110"/>
      <c r="F22" s="108">
        <f>8567+53941</f>
        <v>62508</v>
      </c>
      <c r="G22" s="110"/>
      <c r="H22" s="111"/>
      <c r="I22" s="110"/>
      <c r="J22" s="112"/>
      <c r="K22" s="113">
        <f t="shared" si="0"/>
        <v>108024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f>18167+5000</f>
        <v>23167</v>
      </c>
      <c r="I25" s="110">
        <f>25144+16075+10200+10200+3400</f>
        <v>65019</v>
      </c>
      <c r="J25" s="112"/>
      <c r="K25" s="113">
        <f t="shared" si="0"/>
        <v>88186</v>
      </c>
      <c r="L25"/>
    </row>
    <row r="26" spans="1:12" x14ac:dyDescent="0.35">
      <c r="A26" s="93">
        <v>562.53</v>
      </c>
      <c r="B26" s="29" t="s">
        <v>59</v>
      </c>
      <c r="C26" s="108"/>
      <c r="D26" s="109">
        <v>12595</v>
      </c>
      <c r="E26" s="110">
        <v>82537</v>
      </c>
      <c r="F26" s="108"/>
      <c r="G26" s="110"/>
      <c r="H26" s="111">
        <f>6212+5000</f>
        <v>11212</v>
      </c>
      <c r="I26" s="110">
        <v>12730</v>
      </c>
      <c r="J26" s="112"/>
      <c r="K26" s="113">
        <f t="shared" si="0"/>
        <v>119074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3599</v>
      </c>
      <c r="E27" s="110"/>
      <c r="F27" s="108"/>
      <c r="G27" s="110"/>
      <c r="H27" s="111">
        <f>58138+11045+9737</f>
        <v>78920</v>
      </c>
      <c r="I27" s="110">
        <f>17090+178640+28440</f>
        <v>224170</v>
      </c>
      <c r="J27" s="112">
        <f>70+814</f>
        <v>884</v>
      </c>
      <c r="K27" s="113">
        <f t="shared" si="0"/>
        <v>307573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29942</v>
      </c>
      <c r="E28" s="110"/>
      <c r="F28" s="108"/>
      <c r="G28" s="110"/>
      <c r="H28" s="111">
        <v>1455</v>
      </c>
      <c r="I28" s="110"/>
      <c r="J28" s="112"/>
      <c r="K28" s="113">
        <f t="shared" si="0"/>
        <v>31397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>
        <v>29368</v>
      </c>
      <c r="E29" s="110"/>
      <c r="F29" s="108"/>
      <c r="G29" s="110">
        <v>5000</v>
      </c>
      <c r="H29" s="111">
        <v>728</v>
      </c>
      <c r="I29" s="110">
        <f>275686+35410</f>
        <v>311096</v>
      </c>
      <c r="J29" s="112">
        <v>231</v>
      </c>
      <c r="K29" s="113">
        <f t="shared" si="0"/>
        <v>346423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5403</v>
      </c>
      <c r="E31" s="110"/>
      <c r="F31" s="108"/>
      <c r="G31" s="110"/>
      <c r="H31" s="111"/>
      <c r="I31" s="110">
        <f>26367+2904</f>
        <v>29271</v>
      </c>
      <c r="J31" s="112"/>
      <c r="K31" s="113">
        <f t="shared" si="0"/>
        <v>34674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2391</v>
      </c>
      <c r="E34" s="110"/>
      <c r="F34" s="108"/>
      <c r="G34" s="110"/>
      <c r="H34" s="111"/>
      <c r="I34" s="110">
        <v>42109</v>
      </c>
      <c r="J34" s="112"/>
      <c r="K34" s="113">
        <f t="shared" si="0"/>
        <v>44500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>
        <f>48242+1000</f>
        <v>49242</v>
      </c>
      <c r="H36" s="111">
        <v>20000</v>
      </c>
      <c r="I36" s="110"/>
      <c r="J36" s="112">
        <v>-3582</v>
      </c>
      <c r="K36" s="113">
        <f t="shared" si="0"/>
        <v>65660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33505</v>
      </c>
      <c r="E39" s="110"/>
      <c r="F39" s="108"/>
      <c r="G39" s="110"/>
      <c r="H39" s="111"/>
      <c r="I39" s="110"/>
      <c r="J39" s="112">
        <v>4920</v>
      </c>
      <c r="K39" s="113">
        <f t="shared" si="0"/>
        <v>38425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>
        <f>11596+35717</f>
        <v>47313</v>
      </c>
      <c r="K40" s="113">
        <f t="shared" si="0"/>
        <v>47313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124084</v>
      </c>
      <c r="G41" s="110">
        <v>1586</v>
      </c>
      <c r="H41" s="111"/>
      <c r="I41" s="110"/>
      <c r="J41" s="112">
        <v>-38460</v>
      </c>
      <c r="K41" s="113">
        <f t="shared" si="0"/>
        <v>87210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90059</v>
      </c>
      <c r="D44" s="121">
        <f t="shared" si="1"/>
        <v>297761</v>
      </c>
      <c r="E44" s="122">
        <f t="shared" si="1"/>
        <v>82537</v>
      </c>
      <c r="F44" s="120">
        <f t="shared" si="1"/>
        <v>610982</v>
      </c>
      <c r="G44" s="123">
        <f t="shared" si="1"/>
        <v>133550</v>
      </c>
      <c r="H44" s="124">
        <f t="shared" si="1"/>
        <v>259501</v>
      </c>
      <c r="I44" s="122">
        <f t="shared" si="1"/>
        <v>709484</v>
      </c>
      <c r="J44" s="125">
        <f t="shared" si="1"/>
        <v>19138</v>
      </c>
      <c r="K44" s="126">
        <f>SUM(C44:J44)</f>
        <v>2203012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90059</v>
      </c>
      <c r="D56" s="134">
        <f t="shared" si="2"/>
        <v>297761</v>
      </c>
      <c r="E56" s="135">
        <f t="shared" si="2"/>
        <v>82537</v>
      </c>
      <c r="F56" s="133">
        <f t="shared" si="2"/>
        <v>610982</v>
      </c>
      <c r="G56" s="136">
        <f t="shared" si="2"/>
        <v>133550</v>
      </c>
      <c r="H56" s="137">
        <f t="shared" si="2"/>
        <v>259501</v>
      </c>
      <c r="I56" s="138">
        <f t="shared" si="2"/>
        <v>709484</v>
      </c>
      <c r="J56" s="139">
        <f t="shared" si="2"/>
        <v>19138</v>
      </c>
      <c r="K56" s="140">
        <f>SUM(C56:J56)</f>
        <v>2203012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90059</v>
      </c>
      <c r="D62" s="20">
        <f>C56/$K56</f>
        <v>4.0879940735683691E-2</v>
      </c>
    </row>
    <row r="63" spans="1:12" x14ac:dyDescent="0.35">
      <c r="B63" s="8" t="s">
        <v>2</v>
      </c>
      <c r="C63" s="21">
        <f>D56</f>
        <v>297761</v>
      </c>
      <c r="D63" s="20">
        <f>D56/$K56</f>
        <v>0.13516086158404947</v>
      </c>
    </row>
    <row r="64" spans="1:12" x14ac:dyDescent="0.35">
      <c r="B64" s="27" t="s">
        <v>41</v>
      </c>
      <c r="C64" s="22">
        <f>E56</f>
        <v>82537</v>
      </c>
      <c r="D64" s="57">
        <f>E56/$K56</f>
        <v>3.7465524472858072E-2</v>
      </c>
    </row>
    <row r="65" spans="2:4" ht="15" thickBot="1" x14ac:dyDescent="0.4">
      <c r="B65" s="192" t="s">
        <v>75</v>
      </c>
      <c r="C65" s="23">
        <f>SUM(C62:C64)</f>
        <v>470357</v>
      </c>
      <c r="D65" s="24">
        <f>SUM(D62:D64)</f>
        <v>0.21350632679259124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610982</v>
      </c>
      <c r="D67" s="7">
        <f>F56/K56</f>
        <v>0.27733938807414577</v>
      </c>
    </row>
    <row r="68" spans="2:4" x14ac:dyDescent="0.35">
      <c r="B68" s="28" t="s">
        <v>5</v>
      </c>
      <c r="C68" s="9">
        <f>G56</f>
        <v>133550</v>
      </c>
      <c r="D68" s="10">
        <f>G56/K56</f>
        <v>6.0621549042855868E-2</v>
      </c>
    </row>
    <row r="69" spans="2:4" ht="15" thickBot="1" x14ac:dyDescent="0.4">
      <c r="B69" s="192" t="s">
        <v>76</v>
      </c>
      <c r="C69" s="23">
        <f>SUM(C67:C68)</f>
        <v>744532</v>
      </c>
      <c r="D69" s="24">
        <f>SUM(D67:D68)</f>
        <v>0.33796093711700165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259501</v>
      </c>
      <c r="D71" s="7">
        <f>H56/K56</f>
        <v>0.11779372967555329</v>
      </c>
    </row>
    <row r="72" spans="2:4" x14ac:dyDescent="0.35">
      <c r="B72" s="28" t="s">
        <v>6</v>
      </c>
      <c r="C72" s="9">
        <f>I56</f>
        <v>709484</v>
      </c>
      <c r="D72" s="10">
        <f>I56/K56</f>
        <v>0.32205180906867509</v>
      </c>
    </row>
    <row r="73" spans="2:4" ht="15" thickBot="1" x14ac:dyDescent="0.4">
      <c r="B73" s="192" t="s">
        <v>77</v>
      </c>
      <c r="C73" s="54">
        <f>SUM(C71:C72)</f>
        <v>968985</v>
      </c>
      <c r="D73" s="24">
        <f>SUM(D71:D72)</f>
        <v>0.43984553874422838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19138</v>
      </c>
      <c r="D75" s="24">
        <f>J56/K56</f>
        <v>8.6871973461787773E-3</v>
      </c>
    </row>
    <row r="76" spans="2:4" ht="15" thickBot="1" x14ac:dyDescent="0.4">
      <c r="B76" s="36" t="s">
        <v>42</v>
      </c>
      <c r="C76" s="37">
        <f>C65+C69+C73+C75</f>
        <v>2203012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77" priority="3">
      <formula>ROW()=EVEN(ROW())</formula>
    </cfRule>
  </conditionalFormatting>
  <conditionalFormatting sqref="K45:K55">
    <cfRule type="expression" dxfId="76" priority="1">
      <formula>ROW()=EVEN(ROW())</formula>
    </cfRule>
  </conditionalFormatting>
  <conditionalFormatting sqref="K5:K44">
    <cfRule type="expression" dxfId="7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GRANT</oddHeader>
  </headerFooter>
  <rowBreaks count="1" manualBreakCount="1">
    <brk id="44" max="16383" man="1"/>
  </row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73110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26.2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/>
      <c r="H5" s="111">
        <v>8873</v>
      </c>
      <c r="I5" s="110"/>
      <c r="J5" s="112"/>
      <c r="K5" s="113">
        <f>SUM(C5:J5)</f>
        <v>8873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37717</v>
      </c>
      <c r="G7" s="110"/>
      <c r="H7" s="111">
        <f>79990+18804</f>
        <v>98794</v>
      </c>
      <c r="I7" s="110">
        <v>40670</v>
      </c>
      <c r="J7" s="112"/>
      <c r="K7" s="113">
        <f t="shared" si="0"/>
        <v>177181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12267</v>
      </c>
      <c r="F8" s="114"/>
      <c r="G8" s="115">
        <v>12267</v>
      </c>
      <c r="H8" s="111">
        <v>5605</v>
      </c>
      <c r="I8" s="110"/>
      <c r="J8" s="112"/>
      <c r="K8" s="113">
        <f t="shared" si="0"/>
        <v>30139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32703</v>
      </c>
      <c r="G9" s="110"/>
      <c r="H9" s="111">
        <v>9374</v>
      </c>
      <c r="I9" s="110"/>
      <c r="J9" s="112"/>
      <c r="K9" s="113">
        <f t="shared" si="0"/>
        <v>42077</v>
      </c>
      <c r="L9"/>
    </row>
    <row r="10" spans="1:12" x14ac:dyDescent="0.35">
      <c r="A10" s="93">
        <v>562.26</v>
      </c>
      <c r="B10" s="29" t="s">
        <v>44</v>
      </c>
      <c r="C10" s="108">
        <v>106275</v>
      </c>
      <c r="D10" s="109"/>
      <c r="E10" s="110"/>
      <c r="F10" s="108"/>
      <c r="G10" s="110"/>
      <c r="H10" s="111">
        <v>147065</v>
      </c>
      <c r="I10" s="110">
        <f>210022+27440</f>
        <v>237462</v>
      </c>
      <c r="J10" s="112"/>
      <c r="K10" s="113">
        <f t="shared" si="0"/>
        <v>490802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>
        <v>55424</v>
      </c>
      <c r="G11" s="110"/>
      <c r="H11" s="111"/>
      <c r="I11" s="110"/>
      <c r="J11" s="112"/>
      <c r="K11" s="113">
        <f t="shared" si="0"/>
        <v>55424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99310</v>
      </c>
      <c r="E12" s="110"/>
      <c r="F12" s="108">
        <f>346158+240</f>
        <v>346398</v>
      </c>
      <c r="G12" s="110"/>
      <c r="H12" s="111"/>
      <c r="I12" s="110"/>
      <c r="J12" s="112"/>
      <c r="K12" s="113">
        <f t="shared" si="0"/>
        <v>445708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7041</v>
      </c>
      <c r="E13" s="110"/>
      <c r="F13" s="108"/>
      <c r="G13" s="110">
        <v>385127</v>
      </c>
      <c r="H13" s="111">
        <f>19935+66417</f>
        <v>86352</v>
      </c>
      <c r="I13" s="110">
        <v>5224</v>
      </c>
      <c r="J13" s="112"/>
      <c r="K13" s="113">
        <f t="shared" si="0"/>
        <v>483744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29067</v>
      </c>
      <c r="G14" s="110"/>
      <c r="H14" s="111">
        <v>47203</v>
      </c>
      <c r="I14" s="110">
        <f>1543+7663</f>
        <v>9206</v>
      </c>
      <c r="J14" s="112"/>
      <c r="K14" s="113">
        <f t="shared" si="0"/>
        <v>85476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57</v>
      </c>
      <c r="I16" s="110"/>
      <c r="J16" s="112"/>
      <c r="K16" s="113">
        <f t="shared" si="0"/>
        <v>57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>
        <v>62835</v>
      </c>
      <c r="I17" s="110"/>
      <c r="J17" s="112"/>
      <c r="K17" s="113">
        <f t="shared" si="0"/>
        <v>62835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>
        <v>106790</v>
      </c>
      <c r="I18" s="110"/>
      <c r="J18" s="112"/>
      <c r="K18" s="113">
        <f t="shared" si="0"/>
        <v>106790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>
        <v>165260</v>
      </c>
      <c r="G23" s="110"/>
      <c r="H23" s="111">
        <v>106</v>
      </c>
      <c r="I23" s="110"/>
      <c r="J23" s="112"/>
      <c r="K23" s="113">
        <f t="shared" si="0"/>
        <v>165366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>
        <v>2300</v>
      </c>
      <c r="F24" s="108">
        <v>12795</v>
      </c>
      <c r="G24" s="110">
        <f>44135+58897</f>
        <v>103032</v>
      </c>
      <c r="H24" s="111">
        <v>97987</v>
      </c>
      <c r="I24" s="110"/>
      <c r="J24" s="112"/>
      <c r="K24" s="113">
        <f t="shared" si="0"/>
        <v>216114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/>
      <c r="J25" s="112"/>
      <c r="K25" s="113">
        <f t="shared" si="0"/>
        <v>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/>
      <c r="F26" s="108"/>
      <c r="G26" s="110"/>
      <c r="H26" s="111"/>
      <c r="I26" s="110"/>
      <c r="J26" s="112"/>
      <c r="K26" s="113">
        <f t="shared" si="0"/>
        <v>0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/>
      <c r="J27" s="112"/>
      <c r="K27" s="113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15608</v>
      </c>
      <c r="I34" s="110">
        <v>30366</v>
      </c>
      <c r="J34" s="112"/>
      <c r="K34" s="113">
        <f t="shared" si="0"/>
        <v>45974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12815</v>
      </c>
      <c r="E36" s="110"/>
      <c r="F36" s="108"/>
      <c r="G36" s="110"/>
      <c r="H36" s="111"/>
      <c r="I36" s="110"/>
      <c r="J36" s="112"/>
      <c r="K36" s="113">
        <f t="shared" si="0"/>
        <v>12815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105990</v>
      </c>
      <c r="E40" s="110"/>
      <c r="F40" s="108">
        <v>950</v>
      </c>
      <c r="G40" s="110"/>
      <c r="H40" s="111"/>
      <c r="I40" s="110"/>
      <c r="J40" s="112">
        <v>15739</v>
      </c>
      <c r="K40" s="113">
        <f t="shared" si="0"/>
        <v>122679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65245</v>
      </c>
      <c r="G41" s="110"/>
      <c r="H41" s="111">
        <v>7763</v>
      </c>
      <c r="I41" s="110"/>
      <c r="J41" s="112">
        <v>3500</v>
      </c>
      <c r="K41" s="113">
        <f t="shared" si="0"/>
        <v>76508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>
        <v>167419</v>
      </c>
      <c r="G42" s="110"/>
      <c r="H42" s="111">
        <v>41530</v>
      </c>
      <c r="I42" s="110"/>
      <c r="J42" s="112"/>
      <c r="K42" s="113">
        <f t="shared" si="0"/>
        <v>208949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106275</v>
      </c>
      <c r="D44" s="121">
        <f t="shared" si="1"/>
        <v>225156</v>
      </c>
      <c r="E44" s="122">
        <f t="shared" si="1"/>
        <v>14567</v>
      </c>
      <c r="F44" s="120">
        <f t="shared" si="1"/>
        <v>912978</v>
      </c>
      <c r="G44" s="123">
        <f t="shared" si="1"/>
        <v>500426</v>
      </c>
      <c r="H44" s="124">
        <f t="shared" si="1"/>
        <v>735942</v>
      </c>
      <c r="I44" s="122">
        <f t="shared" si="1"/>
        <v>322928</v>
      </c>
      <c r="J44" s="125">
        <f t="shared" si="1"/>
        <v>19239</v>
      </c>
      <c r="K44" s="126">
        <f>SUM(C44:J44)</f>
        <v>2837511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106275</v>
      </c>
      <c r="D56" s="134">
        <f t="shared" si="2"/>
        <v>225156</v>
      </c>
      <c r="E56" s="135">
        <f t="shared" si="2"/>
        <v>14567</v>
      </c>
      <c r="F56" s="133">
        <f t="shared" si="2"/>
        <v>912978</v>
      </c>
      <c r="G56" s="136">
        <f t="shared" si="2"/>
        <v>500426</v>
      </c>
      <c r="H56" s="137">
        <f t="shared" si="2"/>
        <v>735942</v>
      </c>
      <c r="I56" s="138">
        <f t="shared" si="2"/>
        <v>322928</v>
      </c>
      <c r="J56" s="139">
        <f t="shared" si="2"/>
        <v>19239</v>
      </c>
      <c r="K56" s="140">
        <f>SUM(C56:J56)</f>
        <v>2837511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106275</v>
      </c>
      <c r="D62" s="20">
        <f>C56/$K56</f>
        <v>3.7453599298822103E-2</v>
      </c>
    </row>
    <row r="63" spans="1:12" x14ac:dyDescent="0.35">
      <c r="B63" s="8" t="s">
        <v>2</v>
      </c>
      <c r="C63" s="21">
        <f>D56</f>
        <v>225156</v>
      </c>
      <c r="D63" s="20">
        <f>D56/$K56</f>
        <v>7.9349824546935677E-2</v>
      </c>
    </row>
    <row r="64" spans="1:12" x14ac:dyDescent="0.35">
      <c r="B64" s="27" t="s">
        <v>41</v>
      </c>
      <c r="C64" s="22">
        <f>E56</f>
        <v>14567</v>
      </c>
      <c r="D64" s="57">
        <f>E56/$K56</f>
        <v>5.1337245917284554E-3</v>
      </c>
    </row>
    <row r="65" spans="2:4" ht="15" thickBot="1" x14ac:dyDescent="0.4">
      <c r="B65" s="192" t="s">
        <v>75</v>
      </c>
      <c r="C65" s="23">
        <f>SUM(C62:C64)</f>
        <v>345998</v>
      </c>
      <c r="D65" s="24">
        <f>SUM(D62:D64)</f>
        <v>0.12193714843748624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912978</v>
      </c>
      <c r="D67" s="7">
        <f>F56/K56</f>
        <v>0.32175311390863331</v>
      </c>
    </row>
    <row r="68" spans="2:4" x14ac:dyDescent="0.35">
      <c r="B68" s="28" t="s">
        <v>5</v>
      </c>
      <c r="C68" s="9">
        <f>G56</f>
        <v>500426</v>
      </c>
      <c r="D68" s="10">
        <f>G56/K56</f>
        <v>0.17636090221324252</v>
      </c>
    </row>
    <row r="69" spans="2:4" ht="15" thickBot="1" x14ac:dyDescent="0.4">
      <c r="B69" s="192" t="s">
        <v>76</v>
      </c>
      <c r="C69" s="23">
        <f>SUM(C67:C68)</f>
        <v>1413404</v>
      </c>
      <c r="D69" s="24">
        <f>SUM(D67:D68)</f>
        <v>0.49811401612187584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735942</v>
      </c>
      <c r="D71" s="7">
        <f>H56/K56</f>
        <v>0.2593618139277698</v>
      </c>
    </row>
    <row r="72" spans="2:4" x14ac:dyDescent="0.35">
      <c r="B72" s="28" t="s">
        <v>6</v>
      </c>
      <c r="C72" s="9">
        <f>I56</f>
        <v>322928</v>
      </c>
      <c r="D72" s="10">
        <f>I56/K56</f>
        <v>0.11380678348031073</v>
      </c>
    </row>
    <row r="73" spans="2:4" ht="15" thickBot="1" x14ac:dyDescent="0.4">
      <c r="B73" s="192" t="s">
        <v>77</v>
      </c>
      <c r="C73" s="54">
        <f>SUM(C71:C72)</f>
        <v>1058870</v>
      </c>
      <c r="D73" s="24">
        <f>SUM(D71:D72)</f>
        <v>0.3731685974080805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19239</v>
      </c>
      <c r="D75" s="24">
        <f>J56/K56</f>
        <v>6.7802380325574065E-3</v>
      </c>
    </row>
    <row r="76" spans="2:4" ht="15" thickBot="1" x14ac:dyDescent="0.4">
      <c r="B76" s="36" t="s">
        <v>42</v>
      </c>
      <c r="C76" s="37">
        <f>C65+C69+C73+C75</f>
        <v>2837511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74" priority="3">
      <formula>ROW()=EVEN(ROW())</formula>
    </cfRule>
  </conditionalFormatting>
  <conditionalFormatting sqref="K45:K55">
    <cfRule type="expression" dxfId="73" priority="1">
      <formula>ROW()=EVEN(ROW())</formula>
    </cfRule>
  </conditionalFormatting>
  <conditionalFormatting sqref="K5:K44">
    <cfRule type="expression" dxfId="7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GRAYS HARBOR</oddHeader>
  </headerFooter>
  <rowBreaks count="1" manualBreakCount="1">
    <brk id="44" max="16383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80600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34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v>108947</v>
      </c>
      <c r="H5" s="111">
        <f>111133+44072</f>
        <v>155205</v>
      </c>
      <c r="I5" s="110">
        <f>80+22687</f>
        <v>22767</v>
      </c>
      <c r="J5" s="112">
        <v>1067</v>
      </c>
      <c r="K5" s="113">
        <f>SUM(C5:J5)</f>
        <v>287986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52389</v>
      </c>
      <c r="G7" s="110"/>
      <c r="H7" s="111">
        <f>6101+55012</f>
        <v>61113</v>
      </c>
      <c r="I7" s="110">
        <v>12715</v>
      </c>
      <c r="J7" s="112"/>
      <c r="K7" s="113">
        <f t="shared" si="0"/>
        <v>126217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9425</v>
      </c>
      <c r="F8" s="114"/>
      <c r="G8" s="115">
        <v>9425</v>
      </c>
      <c r="H8" s="111"/>
      <c r="I8" s="110"/>
      <c r="J8" s="112"/>
      <c r="K8" s="113">
        <f t="shared" si="0"/>
        <v>18850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37065</v>
      </c>
      <c r="E12" s="110"/>
      <c r="F12" s="108">
        <f>225085+11549+400</f>
        <v>237034</v>
      </c>
      <c r="G12" s="110"/>
      <c r="H12" s="111">
        <v>39419</v>
      </c>
      <c r="I12" s="110"/>
      <c r="J12" s="112"/>
      <c r="K12" s="113">
        <f t="shared" si="0"/>
        <v>313518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>
        <f>3155+68623</f>
        <v>71778</v>
      </c>
      <c r="I13" s="110">
        <v>275</v>
      </c>
      <c r="J13" s="112"/>
      <c r="K13" s="113">
        <f t="shared" si="0"/>
        <v>72053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f>3491+5651+11006</f>
        <v>20148</v>
      </c>
      <c r="G14" s="110"/>
      <c r="H14" s="111">
        <f>65000+1640</f>
        <v>66640</v>
      </c>
      <c r="I14" s="110">
        <f>6663+29244</f>
        <v>35907</v>
      </c>
      <c r="J14" s="112"/>
      <c r="K14" s="113">
        <f t="shared" si="0"/>
        <v>122695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15184</v>
      </c>
      <c r="E15" s="110"/>
      <c r="F15" s="108"/>
      <c r="G15" s="110"/>
      <c r="H15" s="111"/>
      <c r="I15" s="110"/>
      <c r="J15" s="112"/>
      <c r="K15" s="113">
        <f t="shared" si="0"/>
        <v>15184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5600</v>
      </c>
      <c r="E16" s="110"/>
      <c r="F16" s="108"/>
      <c r="G16" s="110"/>
      <c r="H16" s="111">
        <v>25000</v>
      </c>
      <c r="I16" s="110">
        <f>824+1216</f>
        <v>2040</v>
      </c>
      <c r="J16" s="112"/>
      <c r="K16" s="113">
        <f t="shared" si="0"/>
        <v>32640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f>24101+49723</f>
        <v>73824</v>
      </c>
      <c r="E18" s="110"/>
      <c r="F18" s="108"/>
      <c r="G18" s="110"/>
      <c r="H18" s="111">
        <v>27000</v>
      </c>
      <c r="I18" s="110"/>
      <c r="J18" s="112"/>
      <c r="K18" s="113">
        <f t="shared" si="0"/>
        <v>100824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f>25126+11007</f>
        <v>36133</v>
      </c>
      <c r="E24" s="110"/>
      <c r="F24" s="108"/>
      <c r="G24" s="110"/>
      <c r="H24" s="111"/>
      <c r="I24" s="110"/>
      <c r="J24" s="112"/>
      <c r="K24" s="113">
        <f t="shared" si="0"/>
        <v>36133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78420+14750+800</f>
        <v>93970</v>
      </c>
      <c r="J25" s="112"/>
      <c r="K25" s="113">
        <f t="shared" si="0"/>
        <v>93970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f>65476+16702</f>
        <v>82178</v>
      </c>
      <c r="F26" s="108"/>
      <c r="G26" s="110"/>
      <c r="H26" s="111"/>
      <c r="I26" s="110">
        <f>98200+7628</f>
        <v>105828</v>
      </c>
      <c r="J26" s="112"/>
      <c r="K26" s="113">
        <f t="shared" si="0"/>
        <v>188006</v>
      </c>
      <c r="L26"/>
    </row>
    <row r="27" spans="1:12" x14ac:dyDescent="0.35">
      <c r="A27" s="93">
        <v>562.54</v>
      </c>
      <c r="B27" s="29" t="s">
        <v>60</v>
      </c>
      <c r="C27" s="108">
        <v>55595</v>
      </c>
      <c r="D27" s="109"/>
      <c r="E27" s="110"/>
      <c r="F27" s="108">
        <v>90922</v>
      </c>
      <c r="G27" s="110"/>
      <c r="H27" s="111"/>
      <c r="I27" s="110">
        <f>11730+331715+41305+12739+179489</f>
        <v>576978</v>
      </c>
      <c r="J27" s="112"/>
      <c r="K27" s="113">
        <f t="shared" si="0"/>
        <v>723495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>
        <v>272554</v>
      </c>
      <c r="J28" s="112"/>
      <c r="K28" s="113">
        <f t="shared" si="0"/>
        <v>272554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27229</v>
      </c>
      <c r="J31" s="112">
        <v>405</v>
      </c>
      <c r="K31" s="113">
        <f t="shared" si="0"/>
        <v>27634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>
        <v>2870</v>
      </c>
      <c r="D33" s="109"/>
      <c r="E33" s="110"/>
      <c r="F33" s="108">
        <f>12200+137207</f>
        <v>149407</v>
      </c>
      <c r="G33" s="110"/>
      <c r="H33" s="111">
        <v>1923</v>
      </c>
      <c r="I33" s="110">
        <v>194837</v>
      </c>
      <c r="J33" s="112"/>
      <c r="K33" s="113">
        <f t="shared" si="0"/>
        <v>349037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25348</v>
      </c>
      <c r="J34" s="112"/>
      <c r="K34" s="113">
        <f t="shared" si="0"/>
        <v>25348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>
        <v>18032</v>
      </c>
      <c r="G36" s="110"/>
      <c r="H36" s="111"/>
      <c r="I36" s="110"/>
      <c r="J36" s="112"/>
      <c r="K36" s="113">
        <f t="shared" si="0"/>
        <v>18032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87418</v>
      </c>
      <c r="E40" s="110"/>
      <c r="F40" s="108"/>
      <c r="G40" s="110"/>
      <c r="H40" s="111"/>
      <c r="I40" s="110"/>
      <c r="J40" s="112"/>
      <c r="K40" s="113">
        <f t="shared" si="0"/>
        <v>87418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35812</v>
      </c>
      <c r="G41" s="110"/>
      <c r="H41" s="111"/>
      <c r="I41" s="110"/>
      <c r="J41" s="112"/>
      <c r="K41" s="113">
        <f t="shared" si="0"/>
        <v>35812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>
        <v>864</v>
      </c>
      <c r="K42" s="113">
        <f t="shared" si="0"/>
        <v>864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58465</v>
      </c>
      <c r="D44" s="121">
        <f t="shared" si="1"/>
        <v>255224</v>
      </c>
      <c r="E44" s="122">
        <f t="shared" si="1"/>
        <v>91603</v>
      </c>
      <c r="F44" s="120">
        <f t="shared" si="1"/>
        <v>603744</v>
      </c>
      <c r="G44" s="123">
        <f t="shared" si="1"/>
        <v>118372</v>
      </c>
      <c r="H44" s="124">
        <f t="shared" si="1"/>
        <v>448078</v>
      </c>
      <c r="I44" s="122">
        <f t="shared" si="1"/>
        <v>1370448</v>
      </c>
      <c r="J44" s="125">
        <f t="shared" si="1"/>
        <v>2336</v>
      </c>
      <c r="K44" s="126">
        <f>SUM(C44:J44)</f>
        <v>2948270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/>
      <c r="I47" s="110">
        <v>15191</v>
      </c>
      <c r="J47" s="112"/>
      <c r="K47" s="113">
        <f t="shared" si="0"/>
        <v>15191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>
        <v>5571</v>
      </c>
      <c r="F49" s="108"/>
      <c r="G49" s="110"/>
      <c r="H49" s="111">
        <v>0</v>
      </c>
      <c r="I49" s="110">
        <v>0</v>
      </c>
      <c r="J49" s="112"/>
      <c r="K49" s="113">
        <f t="shared" si="0"/>
        <v>5571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>
        <f>13481+17790</f>
        <v>31271</v>
      </c>
      <c r="F55" s="116"/>
      <c r="G55" s="118">
        <f>46519+34584+64702+51961+893+94730</f>
        <v>293389</v>
      </c>
      <c r="H55" s="131">
        <v>0</v>
      </c>
      <c r="I55" s="118">
        <f>23189+6143+205590</f>
        <v>234922</v>
      </c>
      <c r="J55" s="119"/>
      <c r="K55" s="132">
        <f t="shared" si="0"/>
        <v>559582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58465</v>
      </c>
      <c r="D56" s="134">
        <f t="shared" si="2"/>
        <v>255224</v>
      </c>
      <c r="E56" s="135">
        <f t="shared" si="2"/>
        <v>128445</v>
      </c>
      <c r="F56" s="133">
        <f t="shared" si="2"/>
        <v>603744</v>
      </c>
      <c r="G56" s="136">
        <f t="shared" si="2"/>
        <v>411761</v>
      </c>
      <c r="H56" s="137">
        <f t="shared" si="2"/>
        <v>448078</v>
      </c>
      <c r="I56" s="138">
        <f t="shared" si="2"/>
        <v>1620561</v>
      </c>
      <c r="J56" s="139">
        <f t="shared" si="2"/>
        <v>2336</v>
      </c>
      <c r="K56" s="140">
        <f>SUM(C56:J56)</f>
        <v>3528614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58465</v>
      </c>
      <c r="D62" s="20">
        <f>C56/$K56</f>
        <v>1.6568828440855249E-2</v>
      </c>
    </row>
    <row r="63" spans="1:12" x14ac:dyDescent="0.35">
      <c r="B63" s="8" t="s">
        <v>2</v>
      </c>
      <c r="C63" s="21">
        <f>D56</f>
        <v>255224</v>
      </c>
      <c r="D63" s="20">
        <f>D56/$K56</f>
        <v>7.2329815615989737E-2</v>
      </c>
    </row>
    <row r="64" spans="1:12" x14ac:dyDescent="0.35">
      <c r="B64" s="27" t="s">
        <v>41</v>
      </c>
      <c r="C64" s="22">
        <f>E56</f>
        <v>128445</v>
      </c>
      <c r="D64" s="57">
        <f>E56/$K56</f>
        <v>3.6400977834356495E-2</v>
      </c>
    </row>
    <row r="65" spans="2:4" ht="15" thickBot="1" x14ac:dyDescent="0.4">
      <c r="B65" s="192" t="s">
        <v>75</v>
      </c>
      <c r="C65" s="23">
        <f>SUM(C62:C64)</f>
        <v>442134</v>
      </c>
      <c r="D65" s="24">
        <f>SUM(D62:D64)</f>
        <v>0.12529962189120147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603744</v>
      </c>
      <c r="D67" s="7">
        <f>F56/K56</f>
        <v>0.17109947418448149</v>
      </c>
    </row>
    <row r="68" spans="2:4" x14ac:dyDescent="0.35">
      <c r="B68" s="28" t="s">
        <v>5</v>
      </c>
      <c r="C68" s="9">
        <f>G56</f>
        <v>411761</v>
      </c>
      <c r="D68" s="10">
        <f>G56/K56</f>
        <v>0.11669199294680574</v>
      </c>
    </row>
    <row r="69" spans="2:4" ht="15" thickBot="1" x14ac:dyDescent="0.4">
      <c r="B69" s="192" t="s">
        <v>76</v>
      </c>
      <c r="C69" s="23">
        <f>SUM(C67:C68)</f>
        <v>1015505</v>
      </c>
      <c r="D69" s="24">
        <f>SUM(D67:D68)</f>
        <v>0.28779146713128723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448078</v>
      </c>
      <c r="D71" s="7">
        <f>H56/K56</f>
        <v>0.12698413598086955</v>
      </c>
    </row>
    <row r="72" spans="2:4" x14ac:dyDescent="0.35">
      <c r="B72" s="28" t="s">
        <v>6</v>
      </c>
      <c r="C72" s="9">
        <f>I56</f>
        <v>1620561</v>
      </c>
      <c r="D72" s="10">
        <f>I56/K56</f>
        <v>0.45926275869222305</v>
      </c>
    </row>
    <row r="73" spans="2:4" ht="15" thickBot="1" x14ac:dyDescent="0.4">
      <c r="B73" s="192" t="s">
        <v>77</v>
      </c>
      <c r="C73" s="54">
        <f>SUM(C71:C72)</f>
        <v>2068639</v>
      </c>
      <c r="D73" s="24">
        <f>SUM(D71:D72)</f>
        <v>0.58624689467309254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2336</v>
      </c>
      <c r="D75" s="24">
        <f>J56/K56</f>
        <v>6.6201630441867546E-4</v>
      </c>
    </row>
    <row r="76" spans="2:4" ht="15" thickBot="1" x14ac:dyDescent="0.4">
      <c r="B76" s="36" t="s">
        <v>42</v>
      </c>
      <c r="C76" s="37">
        <f>C65+C69+C73+C75</f>
        <v>3528614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71" priority="3">
      <formula>ROW()=EVEN(ROW())</formula>
    </cfRule>
  </conditionalFormatting>
  <conditionalFormatting sqref="K45:K55">
    <cfRule type="expression" dxfId="70" priority="1">
      <formula>ROW()=EVEN(ROW())</formula>
    </cfRule>
  </conditionalFormatting>
  <conditionalFormatting sqref="K5:K44">
    <cfRule type="expression" dxfId="6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ISLAND</oddHeader>
  </headerFooter>
  <rowBreaks count="1" manualBreakCount="1">
    <brk id="44" max="16383" man="1"/>
  </row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30880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33.590000000000003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115093</v>
      </c>
      <c r="E5" s="110">
        <v>18448</v>
      </c>
      <c r="F5" s="108"/>
      <c r="G5" s="110">
        <f>34000+1484+54639</f>
        <v>90123</v>
      </c>
      <c r="H5" s="111">
        <f>42641+333+2342+2408+345028+46995</f>
        <v>439747</v>
      </c>
      <c r="I5" s="110">
        <f>60389+67420+147838+28640+31523+61+191+2083+7534+10570</f>
        <v>356249</v>
      </c>
      <c r="J5" s="112">
        <f>549+23</f>
        <v>572</v>
      </c>
      <c r="K5" s="113">
        <f>SUM(C5:J5)</f>
        <v>1020232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>
        <v>142323</v>
      </c>
      <c r="F7" s="108"/>
      <c r="G7" s="110"/>
      <c r="H7" s="111">
        <v>92022</v>
      </c>
      <c r="I7" s="110">
        <f>33678+37109+13825+26730</f>
        <v>111342</v>
      </c>
      <c r="J7" s="112">
        <f>525+168+9054</f>
        <v>9747</v>
      </c>
      <c r="K7" s="113">
        <f t="shared" si="0"/>
        <v>355434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36700</v>
      </c>
      <c r="G9" s="110">
        <v>2559</v>
      </c>
      <c r="H9" s="111">
        <v>620</v>
      </c>
      <c r="I9" s="110"/>
      <c r="J9" s="112"/>
      <c r="K9" s="113">
        <f t="shared" si="0"/>
        <v>39879</v>
      </c>
      <c r="L9"/>
    </row>
    <row r="10" spans="1:12" x14ac:dyDescent="0.35">
      <c r="A10" s="93">
        <v>562.26</v>
      </c>
      <c r="B10" s="29" t="s">
        <v>44</v>
      </c>
      <c r="C10" s="108">
        <v>78658</v>
      </c>
      <c r="D10" s="109"/>
      <c r="E10" s="110"/>
      <c r="F10" s="108"/>
      <c r="G10" s="110"/>
      <c r="H10" s="111">
        <v>9553</v>
      </c>
      <c r="I10" s="110">
        <f>6875+56497+156123</f>
        <v>219495</v>
      </c>
      <c r="J10" s="112">
        <f>3197+64095</f>
        <v>67292</v>
      </c>
      <c r="K10" s="113">
        <f t="shared" si="0"/>
        <v>374998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>
        <v>24858</v>
      </c>
      <c r="G11" s="226"/>
      <c r="H11" s="111">
        <v>1419</v>
      </c>
      <c r="I11" s="110"/>
      <c r="J11" s="112">
        <v>9602</v>
      </c>
      <c r="K11" s="113">
        <f t="shared" si="0"/>
        <v>35879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94792+135</f>
        <v>94927</v>
      </c>
      <c r="G12" s="110">
        <v>28146</v>
      </c>
      <c r="H12" s="111">
        <v>7961</v>
      </c>
      <c r="I12" s="110"/>
      <c r="J12" s="112"/>
      <c r="K12" s="113">
        <f t="shared" si="0"/>
        <v>131034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>
        <v>18193</v>
      </c>
      <c r="F13" s="108"/>
      <c r="G13" s="110">
        <v>11258</v>
      </c>
      <c r="H13" s="111">
        <v>7486</v>
      </c>
      <c r="I13" s="110">
        <f>63772+23946+645+2975+1851+1260+43119+4887+5463</f>
        <v>147918</v>
      </c>
      <c r="J13" s="112"/>
      <c r="K13" s="113">
        <f t="shared" si="0"/>
        <v>184855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38987</v>
      </c>
      <c r="E14" s="110"/>
      <c r="F14" s="108">
        <v>9326</v>
      </c>
      <c r="G14" s="110">
        <v>1023</v>
      </c>
      <c r="H14" s="111">
        <v>70517</v>
      </c>
      <c r="I14" s="110">
        <f>27572+39062+19408</f>
        <v>86042</v>
      </c>
      <c r="J14" s="112"/>
      <c r="K14" s="113">
        <f t="shared" si="0"/>
        <v>205895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>
        <v>11467</v>
      </c>
      <c r="I15" s="110">
        <f>2494+4661+4806</f>
        <v>11961</v>
      </c>
      <c r="J15" s="112"/>
      <c r="K15" s="113">
        <f t="shared" si="0"/>
        <v>23428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536</v>
      </c>
      <c r="I16" s="110">
        <f>1651+490+800</f>
        <v>2941</v>
      </c>
      <c r="J16" s="112">
        <v>1934</v>
      </c>
      <c r="K16" s="113">
        <f t="shared" si="0"/>
        <v>5411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>
        <v>3360</v>
      </c>
      <c r="I17" s="110"/>
      <c r="J17" s="112">
        <v>2630</v>
      </c>
      <c r="K17" s="113">
        <f t="shared" si="0"/>
        <v>5990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30000</v>
      </c>
      <c r="E18" s="110"/>
      <c r="F18" s="108"/>
      <c r="G18" s="110"/>
      <c r="H18" s="111">
        <v>69471</v>
      </c>
      <c r="I18" s="110"/>
      <c r="J18" s="112"/>
      <c r="K18" s="113">
        <f t="shared" si="0"/>
        <v>99471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>
        <v>1292</v>
      </c>
      <c r="H20" s="111">
        <v>138</v>
      </c>
      <c r="I20" s="110"/>
      <c r="J20" s="112"/>
      <c r="K20" s="113">
        <f t="shared" si="0"/>
        <v>1430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>
        <v>5000</v>
      </c>
      <c r="J22" s="112"/>
      <c r="K22" s="113">
        <f t="shared" si="0"/>
        <v>5000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v>11746</v>
      </c>
      <c r="I25" s="110">
        <f>10315+10314+2400+2400+2250</f>
        <v>27679</v>
      </c>
      <c r="J25" s="112">
        <v>3436</v>
      </c>
      <c r="K25" s="113">
        <f t="shared" si="0"/>
        <v>42861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219932</v>
      </c>
      <c r="F26" s="108"/>
      <c r="G26" s="110">
        <v>163</v>
      </c>
      <c r="H26" s="111">
        <f>2146+17670</f>
        <v>19816</v>
      </c>
      <c r="I26" s="110">
        <f>3314+3537</f>
        <v>6851</v>
      </c>
      <c r="J26" s="112">
        <f>2250+11484</f>
        <v>13734</v>
      </c>
      <c r="K26" s="113">
        <f t="shared" si="0"/>
        <v>260496</v>
      </c>
      <c r="L26"/>
    </row>
    <row r="27" spans="1:12" x14ac:dyDescent="0.35">
      <c r="A27" s="93">
        <v>562.54</v>
      </c>
      <c r="B27" s="29" t="s">
        <v>60</v>
      </c>
      <c r="C27" s="108">
        <v>69350</v>
      </c>
      <c r="D27" s="109"/>
      <c r="E27" s="110"/>
      <c r="F27" s="108">
        <v>154653</v>
      </c>
      <c r="G27" s="110"/>
      <c r="H27" s="111">
        <v>5661</v>
      </c>
      <c r="I27" s="110">
        <f>83152+46190+31971+51255</f>
        <v>212568</v>
      </c>
      <c r="J27" s="112"/>
      <c r="K27" s="113">
        <f t="shared" si="0"/>
        <v>442232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1172</v>
      </c>
      <c r="I28" s="110"/>
      <c r="J28" s="112"/>
      <c r="K28" s="113">
        <f t="shared" si="0"/>
        <v>1172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>
        <v>5183</v>
      </c>
      <c r="I29" s="110">
        <f>81067+11765+15178</f>
        <v>108010</v>
      </c>
      <c r="J29" s="112">
        <v>7975</v>
      </c>
      <c r="K29" s="113">
        <f t="shared" si="0"/>
        <v>121168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>
        <v>204</v>
      </c>
      <c r="I31" s="110">
        <f>4662+344+913</f>
        <v>5919</v>
      </c>
      <c r="J31" s="112"/>
      <c r="K31" s="113">
        <f t="shared" si="0"/>
        <v>6123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>
        <v>473</v>
      </c>
      <c r="G32" s="110">
        <v>171889</v>
      </c>
      <c r="H32" s="111">
        <v>10413</v>
      </c>
      <c r="I32" s="110"/>
      <c r="J32" s="112">
        <v>168480</v>
      </c>
      <c r="K32" s="113">
        <f t="shared" si="0"/>
        <v>351255</v>
      </c>
      <c r="L32"/>
    </row>
    <row r="33" spans="1:12" x14ac:dyDescent="0.35">
      <c r="A33" s="93">
        <v>562.6</v>
      </c>
      <c r="B33" s="16" t="s">
        <v>21</v>
      </c>
      <c r="C33" s="108">
        <v>5955</v>
      </c>
      <c r="D33" s="109"/>
      <c r="E33" s="110"/>
      <c r="F33" s="108"/>
      <c r="G33" s="110"/>
      <c r="H33" s="111"/>
      <c r="I33" s="110"/>
      <c r="J33" s="112"/>
      <c r="K33" s="113">
        <f t="shared" si="0"/>
        <v>5955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12397</v>
      </c>
      <c r="J34" s="112"/>
      <c r="K34" s="113">
        <f t="shared" si="0"/>
        <v>12397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>
        <v>11432</v>
      </c>
      <c r="J40" s="112">
        <v>2113</v>
      </c>
      <c r="K40" s="113">
        <f t="shared" si="0"/>
        <v>13545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44662</v>
      </c>
      <c r="G41" s="110"/>
      <c r="H41" s="111"/>
      <c r="I41" s="110"/>
      <c r="J41" s="112"/>
      <c r="K41" s="113">
        <f t="shared" si="0"/>
        <v>44662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153963</v>
      </c>
      <c r="D44" s="121">
        <f t="shared" si="1"/>
        <v>184080</v>
      </c>
      <c r="E44" s="122">
        <f t="shared" si="1"/>
        <v>398896</v>
      </c>
      <c r="F44" s="120">
        <f t="shared" si="1"/>
        <v>365599</v>
      </c>
      <c r="G44" s="123">
        <f t="shared" si="1"/>
        <v>306453</v>
      </c>
      <c r="H44" s="124">
        <f t="shared" si="1"/>
        <v>768492</v>
      </c>
      <c r="I44" s="122">
        <f t="shared" si="1"/>
        <v>1325804</v>
      </c>
      <c r="J44" s="125">
        <f t="shared" si="1"/>
        <v>287515</v>
      </c>
      <c r="K44" s="126">
        <f>SUM(C44:J44)</f>
        <v>3790802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>
        <v>29461</v>
      </c>
      <c r="F49" s="108"/>
      <c r="G49" s="110"/>
      <c r="H49" s="111">
        <v>613</v>
      </c>
      <c r="I49" s="110">
        <v>0</v>
      </c>
      <c r="J49" s="112">
        <v>3833</v>
      </c>
      <c r="K49" s="113">
        <f t="shared" si="0"/>
        <v>33907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>
        <f>52762+25525+33003</f>
        <v>111290</v>
      </c>
      <c r="H53" s="111">
        <v>7212</v>
      </c>
      <c r="I53" s="110">
        <v>0</v>
      </c>
      <c r="J53" s="112">
        <v>7518</v>
      </c>
      <c r="K53" s="113">
        <f t="shared" si="0"/>
        <v>126020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3764</v>
      </c>
      <c r="I54" s="110">
        <f>112372+128982</f>
        <v>241354</v>
      </c>
      <c r="J54" s="112">
        <f>775+3094</f>
        <v>3869</v>
      </c>
      <c r="K54" s="113">
        <f t="shared" si="0"/>
        <v>248987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153963</v>
      </c>
      <c r="D56" s="134">
        <f t="shared" si="2"/>
        <v>184080</v>
      </c>
      <c r="E56" s="135">
        <f t="shared" si="2"/>
        <v>428357</v>
      </c>
      <c r="F56" s="133">
        <f t="shared" si="2"/>
        <v>365599</v>
      </c>
      <c r="G56" s="136">
        <f t="shared" si="2"/>
        <v>417743</v>
      </c>
      <c r="H56" s="137">
        <f t="shared" si="2"/>
        <v>780081</v>
      </c>
      <c r="I56" s="138">
        <f t="shared" si="2"/>
        <v>1567158</v>
      </c>
      <c r="J56" s="139">
        <f t="shared" si="2"/>
        <v>302735</v>
      </c>
      <c r="K56" s="140">
        <f>SUM(C56:J56)</f>
        <v>4199716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153963</v>
      </c>
      <c r="D62" s="20">
        <f>C56/$K56</f>
        <v>3.666033607986826E-2</v>
      </c>
    </row>
    <row r="63" spans="1:12" x14ac:dyDescent="0.35">
      <c r="B63" s="8" t="s">
        <v>2</v>
      </c>
      <c r="C63" s="21">
        <f>D56</f>
        <v>184080</v>
      </c>
      <c r="D63" s="20">
        <f>D56/$K56</f>
        <v>4.3831535275242424E-2</v>
      </c>
    </row>
    <row r="64" spans="1:12" x14ac:dyDescent="0.35">
      <c r="B64" s="27" t="s">
        <v>41</v>
      </c>
      <c r="C64" s="22">
        <f>E56</f>
        <v>428357</v>
      </c>
      <c r="D64" s="57">
        <f>E56/$K56</f>
        <v>0.10199665882169175</v>
      </c>
    </row>
    <row r="65" spans="2:4" ht="15" thickBot="1" x14ac:dyDescent="0.4">
      <c r="B65" s="192" t="s">
        <v>75</v>
      </c>
      <c r="C65" s="23">
        <f>SUM(C62:C64)</f>
        <v>766400</v>
      </c>
      <c r="D65" s="24">
        <f>SUM(D62:D64)</f>
        <v>0.18248853017680244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365599</v>
      </c>
      <c r="D67" s="7">
        <f>F56/K56</f>
        <v>8.7053267411415433E-2</v>
      </c>
    </row>
    <row r="68" spans="2:4" x14ac:dyDescent="0.35">
      <c r="B68" s="28" t="s">
        <v>5</v>
      </c>
      <c r="C68" s="9">
        <f>G56</f>
        <v>417743</v>
      </c>
      <c r="D68" s="10">
        <f>G56/K56</f>
        <v>9.9469345069999965E-2</v>
      </c>
    </row>
    <row r="69" spans="2:4" ht="15" thickBot="1" x14ac:dyDescent="0.4">
      <c r="B69" s="192" t="s">
        <v>76</v>
      </c>
      <c r="C69" s="23">
        <f>SUM(C67:C68)</f>
        <v>783342</v>
      </c>
      <c r="D69" s="24">
        <f>SUM(D67:D68)</f>
        <v>0.18652261248141538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780081</v>
      </c>
      <c r="D71" s="7">
        <f>H56/K56</f>
        <v>0.18574613140507595</v>
      </c>
    </row>
    <row r="72" spans="2:4" x14ac:dyDescent="0.35">
      <c r="B72" s="28" t="s">
        <v>6</v>
      </c>
      <c r="C72" s="9">
        <f>I56</f>
        <v>1567158</v>
      </c>
      <c r="D72" s="10">
        <f>I56/K56</f>
        <v>0.37315808973749653</v>
      </c>
    </row>
    <row r="73" spans="2:4" ht="15" thickBot="1" x14ac:dyDescent="0.4">
      <c r="B73" s="192" t="s">
        <v>77</v>
      </c>
      <c r="C73" s="54">
        <f>SUM(C71:C72)</f>
        <v>2347239</v>
      </c>
      <c r="D73" s="24">
        <f>SUM(D71:D72)</f>
        <v>0.55890422114257254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302735</v>
      </c>
      <c r="D75" s="24">
        <f>J56/K56</f>
        <v>7.2084636199209656E-2</v>
      </c>
    </row>
    <row r="76" spans="2:4" ht="15" thickBot="1" x14ac:dyDescent="0.4">
      <c r="B76" s="36" t="s">
        <v>42</v>
      </c>
      <c r="C76" s="37">
        <f>C65+C69+C73+C75</f>
        <v>4199716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68" priority="3">
      <formula>ROW()=EVEN(ROW())</formula>
    </cfRule>
  </conditionalFormatting>
  <conditionalFormatting sqref="K45:K55">
    <cfRule type="expression" dxfId="67" priority="1">
      <formula>ROW()=EVEN(ROW())</formula>
    </cfRule>
  </conditionalFormatting>
  <conditionalFormatting sqref="K5:K44">
    <cfRule type="expression" dxfId="6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JEFFERSON</oddHeader>
  </headerFooter>
  <rowBreaks count="1" manualBreakCount="1">
    <brk id="4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258200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96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>
        <v>100000</v>
      </c>
      <c r="F5" s="108"/>
      <c r="G5" s="110"/>
      <c r="H5" s="111">
        <v>69453</v>
      </c>
      <c r="I5" s="110">
        <v>9149</v>
      </c>
      <c r="J5" s="112">
        <f>15404+28884+23866</f>
        <v>68154</v>
      </c>
      <c r="K5" s="113">
        <f>SUM(C5:J5)</f>
        <v>246756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298912</v>
      </c>
      <c r="E7" s="110">
        <f>94502</f>
        <v>94502</v>
      </c>
      <c r="F7" s="108">
        <v>159855</v>
      </c>
      <c r="G7" s="110"/>
      <c r="H7" s="111">
        <v>552768</v>
      </c>
      <c r="I7" s="110">
        <f>228369+1688</f>
        <v>230057</v>
      </c>
      <c r="J7" s="112">
        <v>61080</v>
      </c>
      <c r="K7" s="113">
        <f t="shared" si="0"/>
        <v>1397174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>
        <v>35337</v>
      </c>
      <c r="E10" s="110">
        <v>16483</v>
      </c>
      <c r="F10" s="108">
        <v>55081</v>
      </c>
      <c r="G10" s="110"/>
      <c r="H10" s="111">
        <v>65347</v>
      </c>
      <c r="I10" s="110">
        <v>72197</v>
      </c>
      <c r="J10" s="112"/>
      <c r="K10" s="113">
        <f t="shared" si="0"/>
        <v>244445</v>
      </c>
      <c r="L10"/>
    </row>
    <row r="11" spans="1:12" x14ac:dyDescent="0.35">
      <c r="A11" s="93">
        <v>562.27</v>
      </c>
      <c r="B11" s="29" t="s">
        <v>45</v>
      </c>
      <c r="C11" s="108">
        <v>149289</v>
      </c>
      <c r="D11" s="109">
        <v>36779</v>
      </c>
      <c r="E11" s="110"/>
      <c r="F11" s="108"/>
      <c r="G11" s="226"/>
      <c r="H11" s="111">
        <v>68014</v>
      </c>
      <c r="I11" s="110"/>
      <c r="J11" s="112"/>
      <c r="K11" s="113">
        <f t="shared" si="0"/>
        <v>254082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34492</v>
      </c>
      <c r="E13" s="110"/>
      <c r="F13" s="108"/>
      <c r="G13" s="110"/>
      <c r="H13" s="111">
        <v>63784</v>
      </c>
      <c r="I13" s="110">
        <v>124079</v>
      </c>
      <c r="J13" s="112"/>
      <c r="K13" s="113">
        <f t="shared" si="0"/>
        <v>222355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134789</v>
      </c>
      <c r="E14" s="110"/>
      <c r="F14" s="108">
        <v>41623</v>
      </c>
      <c r="G14" s="110"/>
      <c r="H14" s="111">
        <v>249261</v>
      </c>
      <c r="I14" s="110">
        <v>129824</v>
      </c>
      <c r="J14" s="112"/>
      <c r="K14" s="113">
        <f t="shared" si="0"/>
        <v>555497</v>
      </c>
      <c r="L14"/>
    </row>
    <row r="15" spans="1:12" x14ac:dyDescent="0.35">
      <c r="A15" s="93">
        <v>562.33000000000004</v>
      </c>
      <c r="B15" s="29" t="s">
        <v>55</v>
      </c>
      <c r="C15" s="108">
        <v>113500</v>
      </c>
      <c r="D15" s="109">
        <v>30335</v>
      </c>
      <c r="E15" s="110"/>
      <c r="F15" s="108"/>
      <c r="G15" s="110"/>
      <c r="H15" s="111">
        <v>56097</v>
      </c>
      <c r="I15" s="110">
        <v>48329</v>
      </c>
      <c r="J15" s="112"/>
      <c r="K15" s="113">
        <f t="shared" si="0"/>
        <v>248261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99868</v>
      </c>
      <c r="I16" s="110">
        <v>12321</v>
      </c>
      <c r="J16" s="112">
        <v>37973</v>
      </c>
      <c r="K16" s="113">
        <f t="shared" si="0"/>
        <v>150162</v>
      </c>
      <c r="L16"/>
    </row>
    <row r="17" spans="1:12" x14ac:dyDescent="0.35">
      <c r="A17" s="93">
        <v>562.35</v>
      </c>
      <c r="B17" s="16" t="s">
        <v>14</v>
      </c>
      <c r="C17" s="108">
        <f>95486+65256</f>
        <v>160742</v>
      </c>
      <c r="D17" s="109"/>
      <c r="E17" s="110">
        <v>1376</v>
      </c>
      <c r="F17" s="108">
        <v>65248</v>
      </c>
      <c r="G17" s="110">
        <v>5436</v>
      </c>
      <c r="H17" s="111"/>
      <c r="I17" s="110">
        <v>84357</v>
      </c>
      <c r="J17" s="112">
        <f>150+70777</f>
        <v>70927</v>
      </c>
      <c r="K17" s="113">
        <f t="shared" si="0"/>
        <v>388086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120305</v>
      </c>
      <c r="E24" s="110"/>
      <c r="F24" s="108">
        <v>5314</v>
      </c>
      <c r="G24" s="110">
        <v>285219</v>
      </c>
      <c r="H24" s="111">
        <v>222476</v>
      </c>
      <c r="I24" s="110"/>
      <c r="J24" s="112"/>
      <c r="K24" s="113">
        <f t="shared" si="0"/>
        <v>633314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19608</v>
      </c>
      <c r="F25" s="108"/>
      <c r="G25" s="110"/>
      <c r="H25" s="111">
        <v>10000</v>
      </c>
      <c r="I25" s="110">
        <f>269463+1810</f>
        <v>271273</v>
      </c>
      <c r="J25" s="112">
        <v>19662</v>
      </c>
      <c r="K25" s="113">
        <f t="shared" si="0"/>
        <v>320543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275099</v>
      </c>
      <c r="F26" s="108"/>
      <c r="G26" s="110">
        <v>225</v>
      </c>
      <c r="H26" s="111">
        <v>11243</v>
      </c>
      <c r="I26" s="110">
        <f>36014+425252</f>
        <v>461266</v>
      </c>
      <c r="J26" s="112">
        <v>24599</v>
      </c>
      <c r="K26" s="113">
        <f t="shared" si="0"/>
        <v>772432</v>
      </c>
      <c r="L26"/>
    </row>
    <row r="27" spans="1:12" x14ac:dyDescent="0.35">
      <c r="A27" s="93">
        <v>562.54</v>
      </c>
      <c r="B27" s="29" t="s">
        <v>60</v>
      </c>
      <c r="C27" s="108">
        <v>30000</v>
      </c>
      <c r="D27" s="109"/>
      <c r="E27" s="110"/>
      <c r="F27" s="108">
        <v>175605</v>
      </c>
      <c r="G27" s="110"/>
      <c r="H27" s="111"/>
      <c r="I27" s="110">
        <v>1786646</v>
      </c>
      <c r="J27" s="112">
        <f>454-175094</f>
        <v>-174640</v>
      </c>
      <c r="K27" s="113">
        <f t="shared" si="0"/>
        <v>1817611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>
        <v>14283</v>
      </c>
      <c r="D29" s="109">
        <v>59079</v>
      </c>
      <c r="E29" s="110"/>
      <c r="F29" s="108">
        <v>16203</v>
      </c>
      <c r="G29" s="110"/>
      <c r="H29" s="111">
        <v>109253</v>
      </c>
      <c r="I29" s="110">
        <f>629521+101841</f>
        <v>731362</v>
      </c>
      <c r="J29" s="112"/>
      <c r="K29" s="113">
        <f t="shared" si="0"/>
        <v>930180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>
        <v>137086</v>
      </c>
      <c r="E33" s="110">
        <f>181429</f>
        <v>181429</v>
      </c>
      <c r="F33" s="108">
        <v>74055</v>
      </c>
      <c r="G33" s="110">
        <f>7521+70663</f>
        <v>78184</v>
      </c>
      <c r="H33" s="111">
        <f>253511+6068</f>
        <v>259579</v>
      </c>
      <c r="I33" s="110">
        <v>781255</v>
      </c>
      <c r="J33" s="112">
        <v>40340</v>
      </c>
      <c r="K33" s="113">
        <f t="shared" si="0"/>
        <v>1551928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168441</v>
      </c>
      <c r="J34" s="112"/>
      <c r="K34" s="113">
        <f t="shared" si="0"/>
        <v>168441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86238</v>
      </c>
      <c r="E40" s="110"/>
      <c r="F40" s="108"/>
      <c r="G40" s="110"/>
      <c r="H40" s="111">
        <v>159478</v>
      </c>
      <c r="I40" s="110">
        <v>50016</v>
      </c>
      <c r="J40" s="112"/>
      <c r="K40" s="113">
        <f t="shared" si="0"/>
        <v>295732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23269</v>
      </c>
      <c r="E41" s="110"/>
      <c r="F41" s="108">
        <v>385999</v>
      </c>
      <c r="G41" s="110"/>
      <c r="H41" s="111">
        <v>43032</v>
      </c>
      <c r="I41" s="110"/>
      <c r="J41" s="112"/>
      <c r="K41" s="113">
        <f t="shared" si="0"/>
        <v>452300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467814</v>
      </c>
      <c r="D44" s="121">
        <f t="shared" si="1"/>
        <v>996621</v>
      </c>
      <c r="E44" s="122">
        <f t="shared" si="1"/>
        <v>688497</v>
      </c>
      <c r="F44" s="120">
        <f t="shared" si="1"/>
        <v>978983</v>
      </c>
      <c r="G44" s="123">
        <f t="shared" si="1"/>
        <v>369064</v>
      </c>
      <c r="H44" s="124">
        <f t="shared" si="1"/>
        <v>2039653</v>
      </c>
      <c r="I44" s="122">
        <f t="shared" si="1"/>
        <v>4960572</v>
      </c>
      <c r="J44" s="125">
        <f t="shared" si="1"/>
        <v>148095</v>
      </c>
      <c r="K44" s="126">
        <f>SUM(C44:J44)</f>
        <v>10649299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>
        <v>853</v>
      </c>
      <c r="E47" s="110"/>
      <c r="F47" s="108"/>
      <c r="G47" s="110"/>
      <c r="H47" s="111">
        <v>1579</v>
      </c>
      <c r="I47" s="110">
        <v>203719</v>
      </c>
      <c r="J47" s="112"/>
      <c r="K47" s="113">
        <f t="shared" si="0"/>
        <v>206151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467814</v>
      </c>
      <c r="D56" s="134">
        <f t="shared" si="2"/>
        <v>997474</v>
      </c>
      <c r="E56" s="135">
        <f t="shared" si="2"/>
        <v>688497</v>
      </c>
      <c r="F56" s="133">
        <f t="shared" si="2"/>
        <v>978983</v>
      </c>
      <c r="G56" s="136">
        <f t="shared" si="2"/>
        <v>369064</v>
      </c>
      <c r="H56" s="137">
        <f t="shared" si="2"/>
        <v>2041232</v>
      </c>
      <c r="I56" s="138">
        <f t="shared" si="2"/>
        <v>5164291</v>
      </c>
      <c r="J56" s="139">
        <f t="shared" si="2"/>
        <v>148095</v>
      </c>
      <c r="K56" s="140">
        <f>SUM(C56:J56)</f>
        <v>10855450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467814</v>
      </c>
      <c r="D62" s="20">
        <f>C56/$K56</f>
        <v>4.3094850973474153E-2</v>
      </c>
    </row>
    <row r="63" spans="1:12" x14ac:dyDescent="0.35">
      <c r="B63" s="8" t="s">
        <v>2</v>
      </c>
      <c r="C63" s="21">
        <f>D56</f>
        <v>997474</v>
      </c>
      <c r="D63" s="20">
        <f>D56/$K56</f>
        <v>9.1886932370376165E-2</v>
      </c>
    </row>
    <row r="64" spans="1:12" x14ac:dyDescent="0.35">
      <c r="B64" s="27" t="s">
        <v>41</v>
      </c>
      <c r="C64" s="22">
        <f>E56</f>
        <v>688497</v>
      </c>
      <c r="D64" s="57">
        <f>E56/$K56</f>
        <v>6.3424086518753253E-2</v>
      </c>
    </row>
    <row r="65" spans="2:4" ht="15" thickBot="1" x14ac:dyDescent="0.4">
      <c r="B65" s="192" t="s">
        <v>75</v>
      </c>
      <c r="C65" s="23">
        <f>SUM(C62:C64)</f>
        <v>2153785</v>
      </c>
      <c r="D65" s="24">
        <f>SUM(D62:D64)</f>
        <v>0.19840586986260356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978983</v>
      </c>
      <c r="D67" s="7">
        <f>F56/K56</f>
        <v>9.0183548355894969E-2</v>
      </c>
    </row>
    <row r="68" spans="2:4" x14ac:dyDescent="0.35">
      <c r="B68" s="28" t="s">
        <v>5</v>
      </c>
      <c r="C68" s="9">
        <f>G56</f>
        <v>369064</v>
      </c>
      <c r="D68" s="10">
        <f>G56/K56</f>
        <v>3.399803785195455E-2</v>
      </c>
    </row>
    <row r="69" spans="2:4" ht="15" thickBot="1" x14ac:dyDescent="0.4">
      <c r="B69" s="192" t="s">
        <v>76</v>
      </c>
      <c r="C69" s="23">
        <f>SUM(C67:C68)</f>
        <v>1348047</v>
      </c>
      <c r="D69" s="24">
        <f>SUM(D67:D68)</f>
        <v>0.12418158620784953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2041232</v>
      </c>
      <c r="D71" s="7">
        <f>H56/K56</f>
        <v>0.18803752953585526</v>
      </c>
    </row>
    <row r="72" spans="2:4" x14ac:dyDescent="0.35">
      <c r="B72" s="28" t="s">
        <v>6</v>
      </c>
      <c r="C72" s="9">
        <f>I56</f>
        <v>5164291</v>
      </c>
      <c r="D72" s="10">
        <f>I56/K56</f>
        <v>0.47573255830020866</v>
      </c>
    </row>
    <row r="73" spans="2:4" ht="15" thickBot="1" x14ac:dyDescent="0.4">
      <c r="B73" s="192" t="s">
        <v>77</v>
      </c>
      <c r="C73" s="54">
        <f>SUM(C71:C72)</f>
        <v>7205523</v>
      </c>
      <c r="D73" s="24">
        <f>SUM(D71:D72)</f>
        <v>0.66377008783606395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148095</v>
      </c>
      <c r="D75" s="24">
        <f>J56/K56</f>
        <v>1.3642456093482996E-2</v>
      </c>
    </row>
    <row r="76" spans="2:4" ht="15" thickBot="1" x14ac:dyDescent="0.4">
      <c r="B76" s="36" t="s">
        <v>42</v>
      </c>
      <c r="C76" s="37">
        <f>C65+C69+C73+C75</f>
        <v>10855450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65" priority="3">
      <formula>ROW()=EVEN(ROW())</formula>
    </cfRule>
  </conditionalFormatting>
  <conditionalFormatting sqref="K45:K55">
    <cfRule type="expression" dxfId="64" priority="1">
      <formula>ROW()=EVEN(ROW())</formula>
    </cfRule>
  </conditionalFormatting>
  <conditionalFormatting sqref="K5:K44">
    <cfRule type="expression" dxfId="6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KITSAP</oddHeader>
  </headerFooter>
  <rowBreaks count="1" manualBreakCount="1">
    <brk id="44" max="16383" man="1"/>
  </row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A11" sqref="A11:XFD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42670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17.100000000000001</v>
      </c>
      <c r="D2" s="2"/>
      <c r="E2" s="41"/>
      <c r="F2" s="41"/>
      <c r="G2" s="41"/>
      <c r="H2" s="41"/>
      <c r="I2" s="59"/>
      <c r="J2" s="4"/>
      <c r="K2" s="89" t="s">
        <v>118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9133</v>
      </c>
      <c r="E5" s="110"/>
      <c r="F5" s="108"/>
      <c r="G5" s="110"/>
      <c r="H5" s="111">
        <f>1133+249250</f>
        <v>250383</v>
      </c>
      <c r="I5" s="110">
        <v>6</v>
      </c>
      <c r="J5" s="112">
        <f>10080+1137</f>
        <v>11217</v>
      </c>
      <c r="K5" s="113">
        <f>SUM(C5:J5)</f>
        <v>270739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49143</v>
      </c>
      <c r="G7" s="110"/>
      <c r="H7" s="111"/>
      <c r="I7" s="110"/>
      <c r="J7" s="112"/>
      <c r="K7" s="113">
        <f t="shared" si="0"/>
        <v>49143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6400</v>
      </c>
      <c r="F8" s="114"/>
      <c r="G8" s="115">
        <v>6400</v>
      </c>
      <c r="H8" s="111"/>
      <c r="I8" s="110"/>
      <c r="J8" s="112"/>
      <c r="K8" s="113">
        <f t="shared" si="0"/>
        <v>12800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>
        <f>3041+118</f>
        <v>3159</v>
      </c>
      <c r="H13" s="111"/>
      <c r="I13" s="110">
        <v>16135</v>
      </c>
      <c r="J13" s="112"/>
      <c r="K13" s="113">
        <f t="shared" si="0"/>
        <v>19294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9016</v>
      </c>
      <c r="G14" s="110"/>
      <c r="H14" s="111"/>
      <c r="I14" s="110"/>
      <c r="J14" s="112"/>
      <c r="K14" s="113">
        <f t="shared" si="0"/>
        <v>9016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>
        <v>422</v>
      </c>
      <c r="H16" s="111">
        <v>17679</v>
      </c>
      <c r="I16" s="110">
        <v>6734</v>
      </c>
      <c r="J16" s="112">
        <v>-16210</v>
      </c>
      <c r="K16" s="113">
        <f t="shared" si="0"/>
        <v>8625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25914</v>
      </c>
      <c r="E17" s="110"/>
      <c r="F17" s="108"/>
      <c r="G17" s="110"/>
      <c r="H17" s="111"/>
      <c r="I17" s="110">
        <v>140</v>
      </c>
      <c r="J17" s="112"/>
      <c r="K17" s="113">
        <f t="shared" si="0"/>
        <v>26054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71751</v>
      </c>
      <c r="E18" s="110"/>
      <c r="F18" s="108"/>
      <c r="G18" s="110"/>
      <c r="H18" s="111"/>
      <c r="I18" s="110"/>
      <c r="J18" s="112"/>
      <c r="K18" s="113">
        <f t="shared" si="0"/>
        <v>71751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>
        <v>4456</v>
      </c>
      <c r="F22" s="108"/>
      <c r="G22" s="110">
        <f>142+8272</f>
        <v>8414</v>
      </c>
      <c r="H22" s="111"/>
      <c r="I22" s="110"/>
      <c r="J22" s="112"/>
      <c r="K22" s="113">
        <f t="shared" si="0"/>
        <v>12870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26329</v>
      </c>
      <c r="E24" s="110"/>
      <c r="F24" s="108"/>
      <c r="G24" s="110">
        <v>14996</v>
      </c>
      <c r="H24" s="111"/>
      <c r="I24" s="110"/>
      <c r="J24" s="112"/>
      <c r="K24" s="113">
        <f t="shared" si="0"/>
        <v>41325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10900</v>
      </c>
      <c r="F25" s="108"/>
      <c r="G25" s="110"/>
      <c r="H25" s="111"/>
      <c r="I25" s="110">
        <f>116035+1946+2800+2800+1000</f>
        <v>124581</v>
      </c>
      <c r="J25" s="112">
        <v>38</v>
      </c>
      <c r="K25" s="113">
        <f t="shared" si="0"/>
        <v>135519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62555</v>
      </c>
      <c r="F26" s="108"/>
      <c r="G26" s="110"/>
      <c r="H26" s="111"/>
      <c r="I26" s="110">
        <v>13355</v>
      </c>
      <c r="J26" s="112">
        <v>50</v>
      </c>
      <c r="K26" s="113">
        <f t="shared" si="0"/>
        <v>75960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119969+103994</f>
        <v>223963</v>
      </c>
      <c r="J27" s="112">
        <v>13</v>
      </c>
      <c r="K27" s="113">
        <f t="shared" si="0"/>
        <v>223976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3161</v>
      </c>
      <c r="E28" s="110"/>
      <c r="F28" s="108"/>
      <c r="G28" s="110"/>
      <c r="H28" s="111"/>
      <c r="I28" s="110"/>
      <c r="J28" s="112"/>
      <c r="K28" s="113">
        <f t="shared" si="0"/>
        <v>3161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167472+21525</f>
        <v>188997</v>
      </c>
      <c r="J29" s="112">
        <v>25</v>
      </c>
      <c r="K29" s="113">
        <f t="shared" si="0"/>
        <v>189022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1870</v>
      </c>
      <c r="E31" s="110">
        <v>25644</v>
      </c>
      <c r="F31" s="108"/>
      <c r="G31" s="110"/>
      <c r="H31" s="111"/>
      <c r="I31" s="110">
        <f>31799+6312</f>
        <v>38111</v>
      </c>
      <c r="J31" s="112"/>
      <c r="K31" s="113">
        <f t="shared" si="0"/>
        <v>65625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>
        <v>21425</v>
      </c>
      <c r="J32" s="112"/>
      <c r="K32" s="113">
        <f t="shared" si="0"/>
        <v>21425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19164</v>
      </c>
      <c r="J34" s="112"/>
      <c r="K34" s="113">
        <f t="shared" si="0"/>
        <v>19164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81426</v>
      </c>
      <c r="E40" s="110"/>
      <c r="F40" s="108"/>
      <c r="G40" s="110">
        <v>5325</v>
      </c>
      <c r="H40" s="111"/>
      <c r="I40" s="110">
        <v>1333</v>
      </c>
      <c r="J40" s="112"/>
      <c r="K40" s="113">
        <f t="shared" si="0"/>
        <v>88084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2635</v>
      </c>
      <c r="E41" s="110"/>
      <c r="F41" s="108">
        <v>74600</v>
      </c>
      <c r="G41" s="110">
        <v>5162</v>
      </c>
      <c r="H41" s="111"/>
      <c r="I41" s="110"/>
      <c r="J41" s="112"/>
      <c r="K41" s="113">
        <f t="shared" si="0"/>
        <v>82397</v>
      </c>
      <c r="L41"/>
    </row>
    <row r="42" spans="1:12" x14ac:dyDescent="0.35">
      <c r="A42" s="93">
        <v>562.9</v>
      </c>
      <c r="B42" s="16" t="s">
        <v>28</v>
      </c>
      <c r="C42" s="108"/>
      <c r="D42" s="109">
        <v>4065</v>
      </c>
      <c r="E42" s="110"/>
      <c r="F42" s="108"/>
      <c r="G42" s="110">
        <f>22143+21871</f>
        <v>44014</v>
      </c>
      <c r="H42" s="111"/>
      <c r="I42" s="110"/>
      <c r="J42" s="112"/>
      <c r="K42" s="113">
        <f t="shared" si="0"/>
        <v>48079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226284</v>
      </c>
      <c r="E44" s="122">
        <f t="shared" si="1"/>
        <v>109955</v>
      </c>
      <c r="F44" s="120">
        <f t="shared" si="1"/>
        <v>132759</v>
      </c>
      <c r="G44" s="123">
        <f t="shared" si="1"/>
        <v>87892</v>
      </c>
      <c r="H44" s="124">
        <f t="shared" si="1"/>
        <v>268062</v>
      </c>
      <c r="I44" s="122">
        <f t="shared" si="1"/>
        <v>653944</v>
      </c>
      <c r="J44" s="125">
        <f t="shared" si="1"/>
        <v>-4867</v>
      </c>
      <c r="K44" s="126">
        <f>SUM(C44:J44)</f>
        <v>1474029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226284</v>
      </c>
      <c r="E56" s="135">
        <f t="shared" si="2"/>
        <v>109955</v>
      </c>
      <c r="F56" s="133">
        <f t="shared" si="2"/>
        <v>132759</v>
      </c>
      <c r="G56" s="136">
        <f t="shared" si="2"/>
        <v>87892</v>
      </c>
      <c r="H56" s="137">
        <f t="shared" si="2"/>
        <v>268062</v>
      </c>
      <c r="I56" s="138">
        <f t="shared" si="2"/>
        <v>653944</v>
      </c>
      <c r="J56" s="139">
        <f t="shared" si="2"/>
        <v>-4867</v>
      </c>
      <c r="K56" s="140">
        <f>SUM(C56:J56)</f>
        <v>1474029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226284</v>
      </c>
      <c r="D63" s="20">
        <f>D56/$K56</f>
        <v>0.15351394036345281</v>
      </c>
    </row>
    <row r="64" spans="1:12" x14ac:dyDescent="0.35">
      <c r="B64" s="27" t="s">
        <v>41</v>
      </c>
      <c r="C64" s="22">
        <f>E56</f>
        <v>109955</v>
      </c>
      <c r="D64" s="57">
        <f>E56/$K56</f>
        <v>7.4594868893352845E-2</v>
      </c>
    </row>
    <row r="65" spans="2:4" ht="15" thickBot="1" x14ac:dyDescent="0.4">
      <c r="B65" s="192" t="s">
        <v>75</v>
      </c>
      <c r="C65" s="23">
        <f>SUM(C62:C64)</f>
        <v>336239</v>
      </c>
      <c r="D65" s="24">
        <f>SUM(D62:D64)</f>
        <v>0.22810880925680566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132759</v>
      </c>
      <c r="D67" s="7">
        <f>F56/K56</f>
        <v>9.0065392200560507E-2</v>
      </c>
    </row>
    <row r="68" spans="2:4" x14ac:dyDescent="0.35">
      <c r="B68" s="28" t="s">
        <v>5</v>
      </c>
      <c r="C68" s="9">
        <f>G56</f>
        <v>87892</v>
      </c>
      <c r="D68" s="10">
        <f>G56/K56</f>
        <v>5.9627049399977886E-2</v>
      </c>
    </row>
    <row r="69" spans="2:4" ht="15" thickBot="1" x14ac:dyDescent="0.4">
      <c r="B69" s="192" t="s">
        <v>76</v>
      </c>
      <c r="C69" s="23">
        <f>SUM(C67:C68)</f>
        <v>220651</v>
      </c>
      <c r="D69" s="24">
        <f>SUM(D67:D68)</f>
        <v>0.14969244160053841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268062</v>
      </c>
      <c r="D71" s="7">
        <f>H56/K56</f>
        <v>0.18185666632067618</v>
      </c>
    </row>
    <row r="72" spans="2:4" x14ac:dyDescent="0.35">
      <c r="B72" s="28" t="s">
        <v>6</v>
      </c>
      <c r="C72" s="9">
        <f>I56</f>
        <v>653944</v>
      </c>
      <c r="D72" s="10">
        <f>I56/K56</f>
        <v>0.44364391745345583</v>
      </c>
    </row>
    <row r="73" spans="2:4" ht="15" thickBot="1" x14ac:dyDescent="0.4">
      <c r="B73" s="192" t="s">
        <v>77</v>
      </c>
      <c r="C73" s="54">
        <f>SUM(C71:C72)</f>
        <v>922006</v>
      </c>
      <c r="D73" s="24">
        <f>SUM(D71:D72)</f>
        <v>0.62550058377413198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-4867</v>
      </c>
      <c r="D75" s="24">
        <f>J56/K56</f>
        <v>-3.3018346314760429E-3</v>
      </c>
    </row>
    <row r="76" spans="2:4" ht="15" thickBot="1" x14ac:dyDescent="0.4">
      <c r="B76" s="36" t="s">
        <v>42</v>
      </c>
      <c r="C76" s="37">
        <f>C65+C69+C73+C75</f>
        <v>1474029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62" priority="3">
      <formula>ROW()=EVEN(ROW())</formula>
    </cfRule>
  </conditionalFormatting>
  <conditionalFormatting sqref="K45:K55">
    <cfRule type="expression" dxfId="61" priority="1">
      <formula>ROW()=EVEN(ROW())</formula>
    </cfRule>
  </conditionalFormatting>
  <conditionalFormatting sqref="K5:K44">
    <cfRule type="expression" dxfId="6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KITTITAS</oddHeader>
  </headerFooter>
  <rowBreaks count="1" manualBreakCount="1">
    <brk id="44" max="16383" man="1"/>
  </rowBreaks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H78" sqref="H78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21000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12.4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f>118443</f>
        <v>118443</v>
      </c>
      <c r="E5" s="110">
        <v>62912</v>
      </c>
      <c r="F5" s="108"/>
      <c r="G5" s="110">
        <f>49643+82349</f>
        <v>131992</v>
      </c>
      <c r="H5" s="111"/>
      <c r="I5" s="110">
        <f>350581+32850+6706</f>
        <v>390137</v>
      </c>
      <c r="J5" s="112"/>
      <c r="K5" s="113">
        <f>SUM(C5:J5)</f>
        <v>703484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36502</v>
      </c>
      <c r="G7" s="110"/>
      <c r="H7" s="111"/>
      <c r="I7" s="110">
        <v>11250</v>
      </c>
      <c r="J7" s="112"/>
      <c r="K7" s="113">
        <f t="shared" si="0"/>
        <v>47752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9650</v>
      </c>
      <c r="H8" s="111"/>
      <c r="I8" s="110"/>
      <c r="J8" s="112"/>
      <c r="K8" s="113">
        <f t="shared" si="0"/>
        <v>9650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>
        <v>46096</v>
      </c>
      <c r="D10" s="109"/>
      <c r="E10" s="110"/>
      <c r="F10" s="108"/>
      <c r="G10" s="110"/>
      <c r="H10" s="111"/>
      <c r="I10" s="110">
        <f>61961+91</f>
        <v>62052</v>
      </c>
      <c r="J10" s="112"/>
      <c r="K10" s="113">
        <f t="shared" si="0"/>
        <v>108148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>
        <v>16630</v>
      </c>
      <c r="G11" s="226"/>
      <c r="H11" s="111"/>
      <c r="I11" s="110"/>
      <c r="J11" s="112"/>
      <c r="K11" s="113">
        <f t="shared" si="0"/>
        <v>16630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v>139435</v>
      </c>
      <c r="G12" s="110"/>
      <c r="H12" s="111"/>
      <c r="I12" s="110"/>
      <c r="J12" s="112"/>
      <c r="K12" s="113">
        <f t="shared" si="0"/>
        <v>139435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5158</v>
      </c>
      <c r="G14" s="110"/>
      <c r="H14" s="111"/>
      <c r="I14" s="110">
        <f>7707+78</f>
        <v>7785</v>
      </c>
      <c r="J14" s="112"/>
      <c r="K14" s="113">
        <f t="shared" si="0"/>
        <v>12943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>
        <v>148</v>
      </c>
      <c r="J15" s="112"/>
      <c r="K15" s="113">
        <f t="shared" si="0"/>
        <v>148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/>
      <c r="I16" s="110">
        <v>965</v>
      </c>
      <c r="J16" s="112"/>
      <c r="K16" s="113">
        <f t="shared" si="0"/>
        <v>965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>
        <v>35341</v>
      </c>
      <c r="E20" s="110"/>
      <c r="F20" s="108"/>
      <c r="G20" s="110"/>
      <c r="H20" s="111"/>
      <c r="I20" s="110"/>
      <c r="J20" s="112"/>
      <c r="K20" s="113">
        <f t="shared" si="0"/>
        <v>35341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v>45190</v>
      </c>
      <c r="J25" s="112"/>
      <c r="K25" s="113">
        <f t="shared" si="0"/>
        <v>45190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/>
      <c r="F26" s="108"/>
      <c r="G26" s="110"/>
      <c r="H26" s="111"/>
      <c r="I26" s="110">
        <v>58000</v>
      </c>
      <c r="J26" s="112"/>
      <c r="K26" s="113">
        <f t="shared" si="0"/>
        <v>58000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39345+33330</f>
        <v>72675</v>
      </c>
      <c r="J27" s="112"/>
      <c r="K27" s="113">
        <f t="shared" si="0"/>
        <v>72675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44271+100+5730</f>
        <v>50101</v>
      </c>
      <c r="J29" s="112"/>
      <c r="K29" s="113">
        <f t="shared" si="0"/>
        <v>50101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175</v>
      </c>
      <c r="J31" s="112"/>
      <c r="K31" s="113">
        <f t="shared" si="0"/>
        <v>175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6675</v>
      </c>
      <c r="J34" s="112"/>
      <c r="K34" s="113">
        <f t="shared" si="0"/>
        <v>6675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8481</v>
      </c>
      <c r="G41" s="110"/>
      <c r="H41" s="111"/>
      <c r="I41" s="110"/>
      <c r="J41" s="112"/>
      <c r="K41" s="113">
        <f t="shared" si="0"/>
        <v>8481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46096</v>
      </c>
      <c r="D44" s="121">
        <f t="shared" si="1"/>
        <v>153784</v>
      </c>
      <c r="E44" s="122">
        <f t="shared" si="1"/>
        <v>62912</v>
      </c>
      <c r="F44" s="120">
        <f t="shared" si="1"/>
        <v>206206</v>
      </c>
      <c r="G44" s="123">
        <f t="shared" si="1"/>
        <v>141642</v>
      </c>
      <c r="H44" s="124">
        <f t="shared" si="1"/>
        <v>0</v>
      </c>
      <c r="I44" s="122">
        <f t="shared" si="1"/>
        <v>705153</v>
      </c>
      <c r="J44" s="125">
        <f t="shared" si="1"/>
        <v>0</v>
      </c>
      <c r="K44" s="126">
        <f>SUM(C44:J44)</f>
        <v>1315793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>
        <f>82132+8985</f>
        <v>91117</v>
      </c>
      <c r="F53" s="108"/>
      <c r="G53" s="110">
        <v>26242</v>
      </c>
      <c r="H53" s="111">
        <v>0</v>
      </c>
      <c r="I53" s="110">
        <v>0</v>
      </c>
      <c r="J53" s="112"/>
      <c r="K53" s="113">
        <f t="shared" si="0"/>
        <v>117359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>
        <v>31375</v>
      </c>
      <c r="F54" s="108"/>
      <c r="G54" s="110">
        <v>10055</v>
      </c>
      <c r="H54" s="111">
        <v>41808</v>
      </c>
      <c r="I54" s="110">
        <v>0</v>
      </c>
      <c r="J54" s="112"/>
      <c r="K54" s="113">
        <f t="shared" si="0"/>
        <v>83238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46096</v>
      </c>
      <c r="D56" s="134">
        <f t="shared" si="2"/>
        <v>153784</v>
      </c>
      <c r="E56" s="135">
        <f t="shared" si="2"/>
        <v>185404</v>
      </c>
      <c r="F56" s="133">
        <f t="shared" si="2"/>
        <v>206206</v>
      </c>
      <c r="G56" s="136">
        <f t="shared" si="2"/>
        <v>177939</v>
      </c>
      <c r="H56" s="137">
        <f t="shared" si="2"/>
        <v>41808</v>
      </c>
      <c r="I56" s="138">
        <f t="shared" si="2"/>
        <v>705153</v>
      </c>
      <c r="J56" s="139">
        <f t="shared" si="2"/>
        <v>0</v>
      </c>
      <c r="K56" s="140">
        <f>SUM(C56:J56)</f>
        <v>1516390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46096</v>
      </c>
      <c r="D62" s="20">
        <f>C56/$K56</f>
        <v>3.0398512256081877E-2</v>
      </c>
    </row>
    <row r="63" spans="1:12" x14ac:dyDescent="0.35">
      <c r="B63" s="8" t="s">
        <v>2</v>
      </c>
      <c r="C63" s="21">
        <f>D56</f>
        <v>153784</v>
      </c>
      <c r="D63" s="20">
        <f>D56/$K56</f>
        <v>0.10141454375193716</v>
      </c>
    </row>
    <row r="64" spans="1:12" x14ac:dyDescent="0.35">
      <c r="B64" s="27" t="s">
        <v>41</v>
      </c>
      <c r="C64" s="22">
        <f>E56</f>
        <v>185404</v>
      </c>
      <c r="D64" s="57">
        <f>E56/$K56</f>
        <v>0.12226669920007385</v>
      </c>
    </row>
    <row r="65" spans="2:4" ht="15" thickBot="1" x14ac:dyDescent="0.4">
      <c r="B65" s="192" t="s">
        <v>75</v>
      </c>
      <c r="C65" s="23">
        <f>SUM(C62:C64)</f>
        <v>385284</v>
      </c>
      <c r="D65" s="24">
        <f>SUM(D62:D64)</f>
        <v>0.25407975520809289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206206</v>
      </c>
      <c r="D67" s="7">
        <f>F56/K56</f>
        <v>0.13598480601955962</v>
      </c>
    </row>
    <row r="68" spans="2:4" x14ac:dyDescent="0.35">
      <c r="B68" s="28" t="s">
        <v>5</v>
      </c>
      <c r="C68" s="9">
        <f>G56</f>
        <v>177939</v>
      </c>
      <c r="D68" s="10">
        <f>G56/K56</f>
        <v>0.11734382315894988</v>
      </c>
    </row>
    <row r="69" spans="2:4" ht="15" thickBot="1" x14ac:dyDescent="0.4">
      <c r="B69" s="192" t="s">
        <v>76</v>
      </c>
      <c r="C69" s="23">
        <f>SUM(C67:C68)</f>
        <v>384145</v>
      </c>
      <c r="D69" s="24">
        <f>SUM(D67:D68)</f>
        <v>0.25332862917850951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41808</v>
      </c>
      <c r="D71" s="7">
        <f>H56/K56</f>
        <v>2.7570743674120775E-2</v>
      </c>
    </row>
    <row r="72" spans="2:4" x14ac:dyDescent="0.35">
      <c r="B72" s="28" t="s">
        <v>6</v>
      </c>
      <c r="C72" s="9">
        <f>I56</f>
        <v>705153</v>
      </c>
      <c r="D72" s="10">
        <f>I56/K56</f>
        <v>0.46502087193927683</v>
      </c>
    </row>
    <row r="73" spans="2:4" ht="15" thickBot="1" x14ac:dyDescent="0.4">
      <c r="B73" s="192" t="s">
        <v>77</v>
      </c>
      <c r="C73" s="54">
        <f>SUM(C71:C72)</f>
        <v>746961</v>
      </c>
      <c r="D73" s="24">
        <f>SUM(D71:D72)</f>
        <v>0.49259161561339759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0</v>
      </c>
      <c r="D75" s="24">
        <f>J56/K56</f>
        <v>0</v>
      </c>
    </row>
    <row r="76" spans="2:4" ht="15" thickBot="1" x14ac:dyDescent="0.4">
      <c r="B76" s="36" t="s">
        <v>42</v>
      </c>
      <c r="C76" s="37">
        <f>C65+C69+C73+C75</f>
        <v>1516390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59" priority="3">
      <formula>ROW()=EVEN(ROW())</formula>
    </cfRule>
  </conditionalFormatting>
  <conditionalFormatting sqref="K45:K55">
    <cfRule type="expression" dxfId="58" priority="1">
      <formula>ROW()=EVEN(ROW())</formula>
    </cfRule>
  </conditionalFormatting>
  <conditionalFormatting sqref="K5:K44">
    <cfRule type="expression" dxfId="5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KLICKITAT</oddHeader>
  </headerFooter>
  <rowBreaks count="1" manualBreakCount="1">
    <brk id="44" max="16383" man="1"/>
  </rowBreak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A2" zoomScaleNormal="100" workbookViewId="0">
      <selection activeCell="G84" sqref="G83:G84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76660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27.36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263134</v>
      </c>
      <c r="E5" s="110">
        <f>221+3</f>
        <v>224</v>
      </c>
      <c r="F5" s="108"/>
      <c r="G5" s="110">
        <f>13300+95239+26543</f>
        <v>135082</v>
      </c>
      <c r="H5" s="111">
        <f>174845+25+450+16872+8584+462000</f>
        <v>662776</v>
      </c>
      <c r="I5" s="110"/>
      <c r="J5" s="112">
        <f>467+83+2+15+100+71-10</f>
        <v>728</v>
      </c>
      <c r="K5" s="113">
        <f>SUM(C5:J5)</f>
        <v>1061944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50716</v>
      </c>
      <c r="G7" s="110">
        <v>6000</v>
      </c>
      <c r="H7" s="111"/>
      <c r="I7" s="110"/>
      <c r="J7" s="112"/>
      <c r="K7" s="113">
        <f t="shared" si="0"/>
        <v>56716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35395</v>
      </c>
      <c r="G9" s="110"/>
      <c r="H9" s="111"/>
      <c r="I9" s="110">
        <v>5600</v>
      </c>
      <c r="J9" s="112"/>
      <c r="K9" s="113">
        <f t="shared" si="0"/>
        <v>40995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535326+86961+650</f>
        <v>622937</v>
      </c>
      <c r="G12" s="110"/>
      <c r="H12" s="111"/>
      <c r="I12" s="110"/>
      <c r="J12" s="112"/>
      <c r="K12" s="113">
        <f t="shared" si="0"/>
        <v>622937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32476</v>
      </c>
      <c r="G14" s="110"/>
      <c r="H14" s="111"/>
      <c r="I14" s="110">
        <v>45238</v>
      </c>
      <c r="J14" s="112"/>
      <c r="K14" s="113">
        <f t="shared" si="0"/>
        <v>77714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/>
      <c r="I16" s="110">
        <v>1836</v>
      </c>
      <c r="J16" s="112"/>
      <c r="K16" s="113">
        <f t="shared" si="0"/>
        <v>1836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>
        <v>13319</v>
      </c>
      <c r="G24" s="110"/>
      <c r="H24" s="111"/>
      <c r="I24" s="110"/>
      <c r="J24" s="112"/>
      <c r="K24" s="113">
        <f t="shared" si="0"/>
        <v>13319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14580+300+16870+7200+6500+34531</f>
        <v>79981</v>
      </c>
      <c r="J25" s="112"/>
      <c r="K25" s="113">
        <f t="shared" si="0"/>
        <v>79981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49203</v>
      </c>
      <c r="F26" s="108"/>
      <c r="G26" s="110"/>
      <c r="H26" s="111"/>
      <c r="I26" s="110">
        <v>1775</v>
      </c>
      <c r="J26" s="112">
        <v>11757</v>
      </c>
      <c r="K26" s="113">
        <f t="shared" si="0"/>
        <v>62735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5550+115320</f>
        <v>120870</v>
      </c>
      <c r="J27" s="112">
        <v>140</v>
      </c>
      <c r="K27" s="113">
        <f t="shared" si="0"/>
        <v>121010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139741+28732+1293+3015+12145</f>
        <v>184926</v>
      </c>
      <c r="J29" s="112">
        <v>34</v>
      </c>
      <c r="K29" s="113">
        <f t="shared" si="0"/>
        <v>184960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>
        <v>100000</v>
      </c>
      <c r="J32" s="112">
        <v>1668</v>
      </c>
      <c r="K32" s="113">
        <f t="shared" si="0"/>
        <v>101668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45788</v>
      </c>
      <c r="J34" s="112"/>
      <c r="K34" s="113">
        <f t="shared" si="0"/>
        <v>45788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>
        <v>106550</v>
      </c>
      <c r="J35" s="112"/>
      <c r="K35" s="113">
        <f t="shared" si="0"/>
        <v>106550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>
        <v>98086</v>
      </c>
      <c r="G40" s="110">
        <v>3745</v>
      </c>
      <c r="H40" s="111"/>
      <c r="I40" s="110"/>
      <c r="J40" s="112"/>
      <c r="K40" s="113">
        <f t="shared" si="0"/>
        <v>101831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/>
      <c r="G41" s="110"/>
      <c r="H41" s="111"/>
      <c r="I41" s="110"/>
      <c r="J41" s="112"/>
      <c r="K41" s="113">
        <f t="shared" si="0"/>
        <v>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263134</v>
      </c>
      <c r="E44" s="122">
        <f t="shared" si="1"/>
        <v>49427</v>
      </c>
      <c r="F44" s="120">
        <f t="shared" si="1"/>
        <v>852929</v>
      </c>
      <c r="G44" s="123">
        <f t="shared" si="1"/>
        <v>144827</v>
      </c>
      <c r="H44" s="124">
        <f t="shared" si="1"/>
        <v>662776</v>
      </c>
      <c r="I44" s="122">
        <f t="shared" si="1"/>
        <v>692564</v>
      </c>
      <c r="J44" s="125">
        <f t="shared" si="1"/>
        <v>14327</v>
      </c>
      <c r="K44" s="126">
        <f>SUM(C44:J44)</f>
        <v>2679984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>
        <v>9607</v>
      </c>
      <c r="F45" s="127"/>
      <c r="G45" s="129">
        <f>23459+7463</f>
        <v>30922</v>
      </c>
      <c r="H45" s="111">
        <v>17000</v>
      </c>
      <c r="I45" s="110">
        <v>0</v>
      </c>
      <c r="J45" s="130">
        <v>1590</v>
      </c>
      <c r="K45" s="113">
        <f t="shared" si="0"/>
        <v>59119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1412</v>
      </c>
      <c r="J52" s="112"/>
      <c r="K52" s="113">
        <f>SUM(C52:J52)</f>
        <v>1412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>
        <v>249554</v>
      </c>
      <c r="F53" s="108"/>
      <c r="G53" s="110">
        <f>42843+57901</f>
        <v>100744</v>
      </c>
      <c r="H53" s="111">
        <v>0</v>
      </c>
      <c r="I53" s="110">
        <v>8868</v>
      </c>
      <c r="J53" s="112">
        <v>2204</v>
      </c>
      <c r="K53" s="113">
        <f t="shared" si="0"/>
        <v>361370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790463</v>
      </c>
      <c r="J54" s="112"/>
      <c r="K54" s="113">
        <f t="shared" si="0"/>
        <v>790463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>
        <f>687240+1171+3602</f>
        <v>692013</v>
      </c>
      <c r="F55" s="116"/>
      <c r="G55" s="118">
        <f>25706+113411+802</f>
        <v>139919</v>
      </c>
      <c r="H55" s="131">
        <v>0</v>
      </c>
      <c r="I55" s="118">
        <f>62906+335829</f>
        <v>398735</v>
      </c>
      <c r="J55" s="119"/>
      <c r="K55" s="132">
        <f t="shared" si="0"/>
        <v>1230667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263134</v>
      </c>
      <c r="E56" s="135">
        <f t="shared" si="2"/>
        <v>1000601</v>
      </c>
      <c r="F56" s="133">
        <f t="shared" si="2"/>
        <v>852929</v>
      </c>
      <c r="G56" s="136">
        <f t="shared" si="2"/>
        <v>416412</v>
      </c>
      <c r="H56" s="137">
        <f t="shared" si="2"/>
        <v>679776</v>
      </c>
      <c r="I56" s="138">
        <f t="shared" si="2"/>
        <v>1892042</v>
      </c>
      <c r="J56" s="139">
        <f t="shared" si="2"/>
        <v>18121</v>
      </c>
      <c r="K56" s="140">
        <f>SUM(C56:J56)</f>
        <v>5123015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263134</v>
      </c>
      <c r="D63" s="20">
        <f>D56/$K56</f>
        <v>5.1363113322916293E-2</v>
      </c>
    </row>
    <row r="64" spans="1:12" x14ac:dyDescent="0.35">
      <c r="B64" s="27" t="s">
        <v>41</v>
      </c>
      <c r="C64" s="22">
        <f>E56</f>
        <v>1000601</v>
      </c>
      <c r="D64" s="57">
        <f>E56/$K56</f>
        <v>0.19531486829532999</v>
      </c>
    </row>
    <row r="65" spans="2:4" ht="15" thickBot="1" x14ac:dyDescent="0.4">
      <c r="B65" s="192" t="s">
        <v>75</v>
      </c>
      <c r="C65" s="23">
        <f>SUM(C62:C64)</f>
        <v>1263735</v>
      </c>
      <c r="D65" s="24">
        <f>SUM(D62:D64)</f>
        <v>0.24667798161824628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852929</v>
      </c>
      <c r="D67" s="7">
        <f>F56/K56</f>
        <v>0.16648965501760193</v>
      </c>
    </row>
    <row r="68" spans="2:4" x14ac:dyDescent="0.35">
      <c r="B68" s="28" t="s">
        <v>5</v>
      </c>
      <c r="C68" s="9">
        <f>G56</f>
        <v>416412</v>
      </c>
      <c r="D68" s="10">
        <f>G56/K56</f>
        <v>8.128260409153594E-2</v>
      </c>
    </row>
    <row r="69" spans="2:4" ht="15" thickBot="1" x14ac:dyDescent="0.4">
      <c r="B69" s="192" t="s">
        <v>76</v>
      </c>
      <c r="C69" s="23">
        <f>SUM(C67:C68)</f>
        <v>1269341</v>
      </c>
      <c r="D69" s="24">
        <f>SUM(D67:D68)</f>
        <v>0.24777225910913786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679776</v>
      </c>
      <c r="D71" s="7">
        <f>H56/K56</f>
        <v>0.13269061285200218</v>
      </c>
    </row>
    <row r="72" spans="2:4" x14ac:dyDescent="0.35">
      <c r="B72" s="28" t="s">
        <v>6</v>
      </c>
      <c r="C72" s="9">
        <f>I56</f>
        <v>1892042</v>
      </c>
      <c r="D72" s="10">
        <f>I56/K56</f>
        <v>0.3693219715343406</v>
      </c>
    </row>
    <row r="73" spans="2:4" ht="15" thickBot="1" x14ac:dyDescent="0.4">
      <c r="B73" s="192" t="s">
        <v>77</v>
      </c>
      <c r="C73" s="54">
        <f>SUM(C71:C72)</f>
        <v>2571818</v>
      </c>
      <c r="D73" s="24">
        <f>SUM(D71:D72)</f>
        <v>0.50201258438634278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18121</v>
      </c>
      <c r="D75" s="24">
        <f>J56/K56</f>
        <v>3.5371748862730247E-3</v>
      </c>
    </row>
    <row r="76" spans="2:4" ht="15" thickBot="1" x14ac:dyDescent="0.4">
      <c r="B76" s="36" t="s">
        <v>42</v>
      </c>
      <c r="C76" s="37">
        <f>C65+C69+C73+C75</f>
        <v>5123015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56" priority="3">
      <formula>ROW()=EVEN(ROW())</formula>
    </cfRule>
  </conditionalFormatting>
  <conditionalFormatting sqref="K45:K55">
    <cfRule type="expression" dxfId="55" priority="1">
      <formula>ROW()=EVEN(ROW())</formula>
    </cfRule>
  </conditionalFormatting>
  <conditionalFormatting sqref="K5:K44">
    <cfRule type="expression" dxfId="5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LEWIS</oddHeader>
  </headerFooter>
  <rowBreaks count="1" manualBreakCount="1">
    <brk id="44" max="16383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10720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6.3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>
        <f>5+175</f>
        <v>180</v>
      </c>
      <c r="F5" s="108"/>
      <c r="G5" s="110"/>
      <c r="H5" s="111">
        <f>921+39403</f>
        <v>40324</v>
      </c>
      <c r="I5" s="110"/>
      <c r="J5" s="112"/>
      <c r="K5" s="113">
        <f>SUM(C5:J5)</f>
        <v>40504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36152</v>
      </c>
      <c r="E7" s="110"/>
      <c r="F7" s="108">
        <f>1600+39575</f>
        <v>41175</v>
      </c>
      <c r="G7" s="110"/>
      <c r="H7" s="111">
        <f>2+4278+879</f>
        <v>5159</v>
      </c>
      <c r="I7" s="110"/>
      <c r="J7" s="112"/>
      <c r="K7" s="113">
        <f t="shared" si="0"/>
        <v>82486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4380</v>
      </c>
      <c r="G9" s="110">
        <v>10848</v>
      </c>
      <c r="H9" s="111"/>
      <c r="I9" s="110"/>
      <c r="J9" s="112"/>
      <c r="K9" s="113">
        <f t="shared" si="0"/>
        <v>15228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125+56881+14093</f>
        <v>71099</v>
      </c>
      <c r="G12" s="110"/>
      <c r="H12" s="111">
        <v>2838</v>
      </c>
      <c r="I12" s="110"/>
      <c r="J12" s="112">
        <v>4043</v>
      </c>
      <c r="K12" s="113">
        <f t="shared" si="0"/>
        <v>77980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>
        <v>3226</v>
      </c>
      <c r="F13" s="108"/>
      <c r="G13" s="110"/>
      <c r="H13" s="111">
        <v>9434</v>
      </c>
      <c r="I13" s="110">
        <v>7879</v>
      </c>
      <c r="J13" s="112"/>
      <c r="K13" s="113">
        <f t="shared" si="0"/>
        <v>20539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35243</v>
      </c>
      <c r="E14" s="110"/>
      <c r="F14" s="108">
        <f>940+961+4334+1067</f>
        <v>7302</v>
      </c>
      <c r="G14" s="110"/>
      <c r="H14" s="111">
        <v>8537</v>
      </c>
      <c r="I14" s="110">
        <f>672+1043+4975</f>
        <v>6690</v>
      </c>
      <c r="J14" s="112"/>
      <c r="K14" s="113">
        <f t="shared" si="0"/>
        <v>57772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3757</v>
      </c>
      <c r="E16" s="110"/>
      <c r="F16" s="108"/>
      <c r="G16" s="110"/>
      <c r="H16" s="111"/>
      <c r="I16" s="110">
        <v>700</v>
      </c>
      <c r="J16" s="112"/>
      <c r="K16" s="113">
        <f t="shared" si="0"/>
        <v>4457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24352</v>
      </c>
      <c r="E18" s="110"/>
      <c r="F18" s="108"/>
      <c r="G18" s="110"/>
      <c r="H18" s="111">
        <v>12307</v>
      </c>
      <c r="I18" s="110"/>
      <c r="J18" s="112"/>
      <c r="K18" s="113">
        <f t="shared" si="0"/>
        <v>36659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14413</v>
      </c>
      <c r="E24" s="110">
        <v>1912</v>
      </c>
      <c r="F24" s="108"/>
      <c r="G24" s="110">
        <v>1831</v>
      </c>
      <c r="H24" s="111"/>
      <c r="I24" s="110"/>
      <c r="J24" s="112">
        <f>7500+588</f>
        <v>8088</v>
      </c>
      <c r="K24" s="113">
        <f t="shared" si="0"/>
        <v>26244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890+300</f>
        <v>1190</v>
      </c>
      <c r="J25" s="112">
        <v>4908</v>
      </c>
      <c r="K25" s="113">
        <f t="shared" si="0"/>
        <v>6098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6888</v>
      </c>
      <c r="F26" s="108"/>
      <c r="G26" s="110"/>
      <c r="H26" s="111">
        <v>1043</v>
      </c>
      <c r="I26" s="110">
        <v>1500</v>
      </c>
      <c r="J26" s="112"/>
      <c r="K26" s="113">
        <f t="shared" si="0"/>
        <v>9431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>
        <v>28909</v>
      </c>
      <c r="I27" s="110">
        <f>3875+150+1650+23400+1200</f>
        <v>30275</v>
      </c>
      <c r="J27" s="112"/>
      <c r="K27" s="113">
        <f t="shared" si="0"/>
        <v>59184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>
        <v>1190</v>
      </c>
      <c r="K28" s="113">
        <f t="shared" si="0"/>
        <v>1190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>
        <v>163</v>
      </c>
      <c r="H29" s="111">
        <v>21737</v>
      </c>
      <c r="I29" s="110">
        <f>11224+6910+2637</f>
        <v>20771</v>
      </c>
      <c r="J29" s="112"/>
      <c r="K29" s="113">
        <f t="shared" si="0"/>
        <v>42671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1550</v>
      </c>
      <c r="J31" s="112"/>
      <c r="K31" s="113">
        <f t="shared" si="0"/>
        <v>1550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>
        <v>721</v>
      </c>
      <c r="K32" s="113">
        <f t="shared" si="0"/>
        <v>721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f>1520+2715</f>
        <v>4235</v>
      </c>
      <c r="J34" s="112">
        <v>9720</v>
      </c>
      <c r="K34" s="113">
        <f t="shared" si="0"/>
        <v>13955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>
        <v>769</v>
      </c>
      <c r="I35" s="110">
        <f>23419+180+60</f>
        <v>23659</v>
      </c>
      <c r="J35" s="112">
        <v>8237</v>
      </c>
      <c r="K35" s="113">
        <f t="shared" si="0"/>
        <v>32665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>
        <v>7954</v>
      </c>
      <c r="I40" s="110"/>
      <c r="J40" s="112">
        <v>2747</v>
      </c>
      <c r="K40" s="113">
        <f t="shared" si="0"/>
        <v>10701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20964</v>
      </c>
      <c r="G41" s="110">
        <v>14703</v>
      </c>
      <c r="H41" s="111"/>
      <c r="I41" s="110"/>
      <c r="J41" s="112">
        <v>5349</v>
      </c>
      <c r="K41" s="113">
        <f t="shared" si="0"/>
        <v>41016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113917</v>
      </c>
      <c r="E44" s="122">
        <f t="shared" si="1"/>
        <v>12206</v>
      </c>
      <c r="F44" s="120">
        <f t="shared" si="1"/>
        <v>144920</v>
      </c>
      <c r="G44" s="123">
        <f t="shared" si="1"/>
        <v>27545</v>
      </c>
      <c r="H44" s="124">
        <f t="shared" si="1"/>
        <v>139011</v>
      </c>
      <c r="I44" s="122">
        <f t="shared" si="1"/>
        <v>98449</v>
      </c>
      <c r="J44" s="125">
        <f t="shared" si="1"/>
        <v>45003</v>
      </c>
      <c r="K44" s="126">
        <f>SUM(C44:J44)</f>
        <v>581051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113917</v>
      </c>
      <c r="E56" s="135">
        <f t="shared" si="2"/>
        <v>12206</v>
      </c>
      <c r="F56" s="133">
        <f t="shared" si="2"/>
        <v>144920</v>
      </c>
      <c r="G56" s="136">
        <f t="shared" si="2"/>
        <v>27545</v>
      </c>
      <c r="H56" s="137">
        <f t="shared" si="2"/>
        <v>139011</v>
      </c>
      <c r="I56" s="138">
        <f t="shared" si="2"/>
        <v>98449</v>
      </c>
      <c r="J56" s="139">
        <f t="shared" si="2"/>
        <v>45003</v>
      </c>
      <c r="K56" s="140">
        <f>SUM(C56:J56)</f>
        <v>581051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113917</v>
      </c>
      <c r="D63" s="20">
        <f>D56/$K56</f>
        <v>0.19605335848316241</v>
      </c>
    </row>
    <row r="64" spans="1:12" x14ac:dyDescent="0.35">
      <c r="B64" s="27" t="s">
        <v>41</v>
      </c>
      <c r="C64" s="22">
        <f>E56</f>
        <v>12206</v>
      </c>
      <c r="D64" s="57">
        <f>E56/$K56</f>
        <v>2.1006761884929205E-2</v>
      </c>
    </row>
    <row r="65" spans="2:4" ht="15" thickBot="1" x14ac:dyDescent="0.4">
      <c r="B65" s="192" t="s">
        <v>75</v>
      </c>
      <c r="C65" s="23">
        <f>SUM(C62:C64)</f>
        <v>126123</v>
      </c>
      <c r="D65" s="24">
        <f>SUM(D62:D64)</f>
        <v>0.21706012036809161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144920</v>
      </c>
      <c r="D67" s="7">
        <f>F56/K56</f>
        <v>0.24941012062624451</v>
      </c>
    </row>
    <row r="68" spans="2:4" x14ac:dyDescent="0.35">
      <c r="B68" s="28" t="s">
        <v>5</v>
      </c>
      <c r="C68" s="9">
        <f>G56</f>
        <v>27545</v>
      </c>
      <c r="D68" s="10">
        <f>G56/K56</f>
        <v>4.7405477316104783E-2</v>
      </c>
    </row>
    <row r="69" spans="2:4" ht="15" thickBot="1" x14ac:dyDescent="0.4">
      <c r="B69" s="192" t="s">
        <v>76</v>
      </c>
      <c r="C69" s="23">
        <f>SUM(C67:C68)</f>
        <v>172465</v>
      </c>
      <c r="D69" s="24">
        <f>SUM(D67:D68)</f>
        <v>0.2968155979423493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139011</v>
      </c>
      <c r="D71" s="7">
        <f>H56/K56</f>
        <v>0.23924061743289315</v>
      </c>
    </row>
    <row r="72" spans="2:4" x14ac:dyDescent="0.35">
      <c r="B72" s="28" t="s">
        <v>6</v>
      </c>
      <c r="C72" s="9">
        <f>I56</f>
        <v>98449</v>
      </c>
      <c r="D72" s="10">
        <f>I56/K56</f>
        <v>0.16943263155901978</v>
      </c>
    </row>
    <row r="73" spans="2:4" ht="15" thickBot="1" x14ac:dyDescent="0.4">
      <c r="B73" s="192" t="s">
        <v>77</v>
      </c>
      <c r="C73" s="54">
        <f>SUM(C71:C72)</f>
        <v>237460</v>
      </c>
      <c r="D73" s="24">
        <f>SUM(D71:D72)</f>
        <v>0.40867324899191293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45003</v>
      </c>
      <c r="D75" s="24">
        <f>J56/K56</f>
        <v>7.7451032697646166E-2</v>
      </c>
    </row>
    <row r="76" spans="2:4" ht="15" thickBot="1" x14ac:dyDescent="0.4">
      <c r="B76" s="36" t="s">
        <v>42</v>
      </c>
      <c r="C76" s="37">
        <f>C65+C69+C73+C75</f>
        <v>581051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53" priority="3">
      <formula>ROW()=EVEN(ROW())</formula>
    </cfRule>
  </conditionalFormatting>
  <conditionalFormatting sqref="K45:K55">
    <cfRule type="expression" dxfId="52" priority="1">
      <formula>ROW()=EVEN(ROW())</formula>
    </cfRule>
  </conditionalFormatting>
  <conditionalFormatting sqref="K5:K44">
    <cfRule type="expression" dxfId="5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LINCOLN</oddHeader>
  </headerFooter>
  <rowBreaks count="1" manualBreakCount="1">
    <brk id="44" max="16383" man="1"/>
  </rowBreaks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62200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20.2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v>105894</v>
      </c>
      <c r="H5" s="111"/>
      <c r="I5" s="110"/>
      <c r="J5" s="112">
        <v>54106</v>
      </c>
      <c r="K5" s="113">
        <f>SUM(C5:J5)</f>
        <v>160000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60000</v>
      </c>
      <c r="E7" s="110">
        <v>92934</v>
      </c>
      <c r="F7" s="108">
        <v>24225</v>
      </c>
      <c r="G7" s="110">
        <v>146225</v>
      </c>
      <c r="H7" s="111">
        <v>15243</v>
      </c>
      <c r="I7" s="110">
        <v>12576</v>
      </c>
      <c r="J7" s="112">
        <v>2326</v>
      </c>
      <c r="K7" s="113">
        <f t="shared" si="0"/>
        <v>353529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13607</v>
      </c>
      <c r="H8" s="111"/>
      <c r="I8" s="110"/>
      <c r="J8" s="112"/>
      <c r="K8" s="113">
        <f t="shared" si="0"/>
        <v>13607</v>
      </c>
      <c r="L8"/>
    </row>
    <row r="9" spans="1:12" x14ac:dyDescent="0.35">
      <c r="A9" s="93">
        <v>562.25</v>
      </c>
      <c r="B9" s="29" t="s">
        <v>53</v>
      </c>
      <c r="C9" s="108"/>
      <c r="D9" s="109">
        <v>5894</v>
      </c>
      <c r="E9" s="110"/>
      <c r="F9" s="108">
        <v>30620</v>
      </c>
      <c r="G9" s="110"/>
      <c r="H9" s="111"/>
      <c r="I9" s="110"/>
      <c r="J9" s="112"/>
      <c r="K9" s="113">
        <f t="shared" si="0"/>
        <v>36514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>
        <v>47</v>
      </c>
      <c r="I13" s="110"/>
      <c r="J13" s="112"/>
      <c r="K13" s="113">
        <f t="shared" si="0"/>
        <v>47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10587</v>
      </c>
      <c r="E14" s="110"/>
      <c r="F14" s="108">
        <v>16208</v>
      </c>
      <c r="G14" s="110"/>
      <c r="H14" s="111"/>
      <c r="I14" s="110"/>
      <c r="J14" s="112"/>
      <c r="K14" s="113">
        <f t="shared" si="0"/>
        <v>26795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>
        <v>540</v>
      </c>
      <c r="I15" s="110"/>
      <c r="J15" s="112"/>
      <c r="K15" s="113">
        <f t="shared" si="0"/>
        <v>540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>
        <v>2378</v>
      </c>
      <c r="G16" s="110"/>
      <c r="H16" s="111">
        <v>27528</v>
      </c>
      <c r="I16" s="110"/>
      <c r="J16" s="112"/>
      <c r="K16" s="113">
        <f t="shared" si="0"/>
        <v>29906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>
        <v>1339</v>
      </c>
      <c r="H17" s="111"/>
      <c r="I17" s="110"/>
      <c r="J17" s="112"/>
      <c r="K17" s="113">
        <f t="shared" si="0"/>
        <v>1339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>
        <v>64232</v>
      </c>
      <c r="I18" s="110"/>
      <c r="J18" s="112"/>
      <c r="K18" s="113">
        <f t="shared" si="0"/>
        <v>64232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20341</v>
      </c>
      <c r="E25" s="110"/>
      <c r="F25" s="108"/>
      <c r="G25" s="110"/>
      <c r="H25" s="111"/>
      <c r="I25" s="110">
        <v>60968</v>
      </c>
      <c r="J25" s="112">
        <v>10062</v>
      </c>
      <c r="K25" s="113">
        <f t="shared" si="0"/>
        <v>91371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64264</v>
      </c>
      <c r="F26" s="108"/>
      <c r="G26" s="110"/>
      <c r="H26" s="111"/>
      <c r="I26" s="110">
        <f>2710+49000</f>
        <v>51710</v>
      </c>
      <c r="J26" s="112">
        <v>10843</v>
      </c>
      <c r="K26" s="113">
        <f t="shared" si="0"/>
        <v>126817</v>
      </c>
      <c r="L26"/>
    </row>
    <row r="27" spans="1:12" x14ac:dyDescent="0.35">
      <c r="A27" s="93">
        <v>562.54</v>
      </c>
      <c r="B27" s="29" t="s">
        <v>60</v>
      </c>
      <c r="C27" s="108">
        <v>64927</v>
      </c>
      <c r="D27" s="109"/>
      <c r="E27" s="110"/>
      <c r="F27" s="108">
        <v>46003</v>
      </c>
      <c r="G27" s="110"/>
      <c r="H27" s="111">
        <v>20000</v>
      </c>
      <c r="I27" s="110">
        <f>142358+110636</f>
        <v>252994</v>
      </c>
      <c r="J27" s="112">
        <v>31444</v>
      </c>
      <c r="K27" s="113">
        <f t="shared" si="0"/>
        <v>415368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>
        <v>2283</v>
      </c>
      <c r="K28" s="113">
        <f t="shared" si="0"/>
        <v>2283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>
        <v>9322</v>
      </c>
      <c r="I29" s="110">
        <f>118223+96</f>
        <v>118319</v>
      </c>
      <c r="J29" s="112"/>
      <c r="K29" s="113">
        <f t="shared" si="0"/>
        <v>127641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2272</v>
      </c>
      <c r="J31" s="112"/>
      <c r="K31" s="113">
        <f t="shared" si="0"/>
        <v>2272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>
        <v>4788</v>
      </c>
      <c r="I32" s="110"/>
      <c r="J32" s="112"/>
      <c r="K32" s="113">
        <f t="shared" si="0"/>
        <v>4788</v>
      </c>
      <c r="L32"/>
    </row>
    <row r="33" spans="1:12" x14ac:dyDescent="0.35">
      <c r="A33" s="93">
        <v>562.6</v>
      </c>
      <c r="B33" s="16" t="s">
        <v>21</v>
      </c>
      <c r="C33" s="108">
        <v>6828</v>
      </c>
      <c r="D33" s="109"/>
      <c r="E33" s="110"/>
      <c r="F33" s="108">
        <v>301267</v>
      </c>
      <c r="G33" s="110">
        <v>23221</v>
      </c>
      <c r="H33" s="111"/>
      <c r="I33" s="110"/>
      <c r="J33" s="112">
        <v>59607</v>
      </c>
      <c r="K33" s="113">
        <f t="shared" si="0"/>
        <v>390923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12608</v>
      </c>
      <c r="I34" s="110">
        <v>26228</v>
      </c>
      <c r="J34" s="112"/>
      <c r="K34" s="113">
        <f t="shared" si="0"/>
        <v>38836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54778</v>
      </c>
      <c r="E36" s="110"/>
      <c r="F36" s="108"/>
      <c r="G36" s="110"/>
      <c r="H36" s="111"/>
      <c r="I36" s="110"/>
      <c r="J36" s="112"/>
      <c r="K36" s="113">
        <f t="shared" si="0"/>
        <v>54778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66070</v>
      </c>
      <c r="E40" s="110"/>
      <c r="F40" s="108"/>
      <c r="G40" s="110"/>
      <c r="H40" s="111"/>
      <c r="I40" s="110"/>
      <c r="J40" s="112"/>
      <c r="K40" s="113">
        <f t="shared" si="0"/>
        <v>66070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72115</v>
      </c>
      <c r="G41" s="110">
        <v>3500</v>
      </c>
      <c r="H41" s="111">
        <v>9573</v>
      </c>
      <c r="I41" s="110"/>
      <c r="J41" s="112"/>
      <c r="K41" s="113">
        <f t="shared" si="0"/>
        <v>85188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>
        <v>22774</v>
      </c>
      <c r="I42" s="110"/>
      <c r="J42" s="112"/>
      <c r="K42" s="113">
        <f t="shared" si="0"/>
        <v>22774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71755</v>
      </c>
      <c r="D44" s="121">
        <f t="shared" si="1"/>
        <v>217670</v>
      </c>
      <c r="E44" s="122">
        <f t="shared" si="1"/>
        <v>157198</v>
      </c>
      <c r="F44" s="120">
        <f t="shared" si="1"/>
        <v>492816</v>
      </c>
      <c r="G44" s="123">
        <f t="shared" si="1"/>
        <v>293786</v>
      </c>
      <c r="H44" s="124">
        <f t="shared" si="1"/>
        <v>186655</v>
      </c>
      <c r="I44" s="122">
        <f t="shared" si="1"/>
        <v>525067</v>
      </c>
      <c r="J44" s="125">
        <f t="shared" si="1"/>
        <v>170671</v>
      </c>
      <c r="K44" s="126">
        <f>SUM(C44:J44)</f>
        <v>2115618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>
        <v>43481</v>
      </c>
      <c r="H49" s="111">
        <v>0</v>
      </c>
      <c r="I49" s="110">
        <v>0</v>
      </c>
      <c r="J49" s="112"/>
      <c r="K49" s="113">
        <f t="shared" si="0"/>
        <v>43481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45440</v>
      </c>
      <c r="I52" s="110">
        <v>0</v>
      </c>
      <c r="J52" s="112"/>
      <c r="K52" s="113">
        <f t="shared" si="0"/>
        <v>45440</v>
      </c>
      <c r="L52"/>
    </row>
    <row r="53" spans="1:12" x14ac:dyDescent="0.35">
      <c r="A53" s="93">
        <v>566</v>
      </c>
      <c r="B53" s="16" t="s">
        <v>38</v>
      </c>
      <c r="C53" s="108"/>
      <c r="D53" s="109">
        <v>9777</v>
      </c>
      <c r="E53" s="110">
        <v>1764</v>
      </c>
      <c r="F53" s="108"/>
      <c r="G53" s="110">
        <f>54544+25500</f>
        <v>80044</v>
      </c>
      <c r="H53" s="111">
        <v>0</v>
      </c>
      <c r="I53" s="110">
        <v>0</v>
      </c>
      <c r="J53" s="112"/>
      <c r="K53" s="113">
        <f t="shared" si="0"/>
        <v>91585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71755</v>
      </c>
      <c r="D56" s="134">
        <f t="shared" si="2"/>
        <v>227447</v>
      </c>
      <c r="E56" s="135">
        <f t="shared" si="2"/>
        <v>158962</v>
      </c>
      <c r="F56" s="133">
        <f t="shared" si="2"/>
        <v>492816</v>
      </c>
      <c r="G56" s="136">
        <f t="shared" si="2"/>
        <v>417311</v>
      </c>
      <c r="H56" s="137">
        <f t="shared" si="2"/>
        <v>232095</v>
      </c>
      <c r="I56" s="138">
        <f t="shared" si="2"/>
        <v>525067</v>
      </c>
      <c r="J56" s="139">
        <f t="shared" si="2"/>
        <v>170671</v>
      </c>
      <c r="K56" s="140">
        <f>SUM(C56:J56)</f>
        <v>2296124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71755</v>
      </c>
      <c r="D62" s="20">
        <f>C56/$K56</f>
        <v>3.1250489956117351E-2</v>
      </c>
    </row>
    <row r="63" spans="1:12" x14ac:dyDescent="0.35">
      <c r="B63" s="8" t="s">
        <v>2</v>
      </c>
      <c r="C63" s="21">
        <f>D56</f>
        <v>227447</v>
      </c>
      <c r="D63" s="20">
        <f>D56/$K56</f>
        <v>9.9056932465319811E-2</v>
      </c>
    </row>
    <row r="64" spans="1:12" x14ac:dyDescent="0.35">
      <c r="B64" s="27" t="s">
        <v>41</v>
      </c>
      <c r="C64" s="22">
        <f>E56</f>
        <v>158962</v>
      </c>
      <c r="D64" s="57">
        <f>E56/$K56</f>
        <v>6.9230581623640541E-2</v>
      </c>
    </row>
    <row r="65" spans="2:4" ht="15" thickBot="1" x14ac:dyDescent="0.4">
      <c r="B65" s="192" t="s">
        <v>75</v>
      </c>
      <c r="C65" s="23">
        <f>SUM(C62:C64)</f>
        <v>458164</v>
      </c>
      <c r="D65" s="24">
        <f>SUM(D62:D64)</f>
        <v>0.19953800404507771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492816</v>
      </c>
      <c r="D67" s="7">
        <f>F56/K56</f>
        <v>0.21462952349263367</v>
      </c>
    </row>
    <row r="68" spans="2:4" x14ac:dyDescent="0.35">
      <c r="B68" s="28" t="s">
        <v>5</v>
      </c>
      <c r="C68" s="9">
        <f>G56</f>
        <v>417311</v>
      </c>
      <c r="D68" s="10">
        <f>G56/K56</f>
        <v>0.18174584647867451</v>
      </c>
    </row>
    <row r="69" spans="2:4" ht="15" thickBot="1" x14ac:dyDescent="0.4">
      <c r="B69" s="192" t="s">
        <v>76</v>
      </c>
      <c r="C69" s="23">
        <f>SUM(C67:C68)</f>
        <v>910127</v>
      </c>
      <c r="D69" s="24">
        <f>SUM(D67:D68)</f>
        <v>0.39637536997130818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232095</v>
      </c>
      <c r="D71" s="7">
        <f>H56/K56</f>
        <v>0.10108121338394617</v>
      </c>
    </row>
    <row r="72" spans="2:4" x14ac:dyDescent="0.35">
      <c r="B72" s="28" t="s">
        <v>6</v>
      </c>
      <c r="C72" s="9">
        <f>I56</f>
        <v>525067</v>
      </c>
      <c r="D72" s="10">
        <f>I56/K56</f>
        <v>0.22867536770662211</v>
      </c>
    </row>
    <row r="73" spans="2:4" ht="15" thickBot="1" x14ac:dyDescent="0.4">
      <c r="B73" s="192" t="s">
        <v>77</v>
      </c>
      <c r="C73" s="54">
        <f>SUM(C71:C72)</f>
        <v>757162</v>
      </c>
      <c r="D73" s="24">
        <f>SUM(D71:D72)</f>
        <v>0.32975658109056827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170671</v>
      </c>
      <c r="D75" s="24">
        <f>J56/K56</f>
        <v>7.4330044893045844E-2</v>
      </c>
    </row>
    <row r="76" spans="2:4" ht="15" thickBot="1" x14ac:dyDescent="0.4">
      <c r="B76" s="36" t="s">
        <v>42</v>
      </c>
      <c r="C76" s="37">
        <f>C65+C69+C73+C75</f>
        <v>2296124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50" priority="3">
      <formula>ROW()=EVEN(ROW())</formula>
    </cfRule>
  </conditionalFormatting>
  <conditionalFormatting sqref="K45:K55">
    <cfRule type="expression" dxfId="49" priority="1">
      <formula>ROW()=EVEN(ROW())</formula>
    </cfRule>
  </conditionalFormatting>
  <conditionalFormatting sqref="K5:K44">
    <cfRule type="expression" dxfId="4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&amp;C&amp;"-,Bold"&amp;16Expendiutes by Expenditure Code and Revenue Source
2015
MASON</oddHeader>
  </headerFooter>
  <rowBreaks count="1" manualBreakCount="1">
    <brk id="44" max="16383" man="1"/>
  </rowBreak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64980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23.01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52171</v>
      </c>
      <c r="E5" s="110"/>
      <c r="F5" s="108"/>
      <c r="G5" s="110">
        <v>84974</v>
      </c>
      <c r="H5" s="111">
        <v>164909</v>
      </c>
      <c r="I5" s="110"/>
      <c r="J5" s="112">
        <f>873+7609+19021</f>
        <v>27503</v>
      </c>
      <c r="K5" s="113">
        <f>SUM(C5:J5)</f>
        <v>329557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14418</v>
      </c>
      <c r="E7" s="110"/>
      <c r="F7" s="108">
        <v>47563</v>
      </c>
      <c r="G7" s="110">
        <v>1055</v>
      </c>
      <c r="H7" s="111">
        <v>45575</v>
      </c>
      <c r="I7" s="110"/>
      <c r="J7" s="112">
        <v>5257</v>
      </c>
      <c r="K7" s="113">
        <f t="shared" si="0"/>
        <v>113868</v>
      </c>
      <c r="L7"/>
    </row>
    <row r="8" spans="1:12" x14ac:dyDescent="0.35">
      <c r="A8" s="93">
        <v>562.24</v>
      </c>
      <c r="B8" s="16" t="s">
        <v>11</v>
      </c>
      <c r="C8" s="108"/>
      <c r="D8" s="109">
        <v>50</v>
      </c>
      <c r="E8" s="110"/>
      <c r="F8" s="114"/>
      <c r="G8" s="115"/>
      <c r="H8" s="111">
        <v>159</v>
      </c>
      <c r="I8" s="110"/>
      <c r="J8" s="112">
        <v>18</v>
      </c>
      <c r="K8" s="113">
        <f t="shared" si="0"/>
        <v>227</v>
      </c>
      <c r="L8"/>
    </row>
    <row r="9" spans="1:12" x14ac:dyDescent="0.35">
      <c r="A9" s="93">
        <v>562.25</v>
      </c>
      <c r="B9" s="29" t="s">
        <v>53</v>
      </c>
      <c r="C9" s="108"/>
      <c r="D9" s="109">
        <v>3008</v>
      </c>
      <c r="E9" s="110"/>
      <c r="F9" s="108">
        <v>22034</v>
      </c>
      <c r="G9" s="110"/>
      <c r="H9" s="111">
        <v>9509</v>
      </c>
      <c r="I9" s="110"/>
      <c r="J9" s="112">
        <v>1097</v>
      </c>
      <c r="K9" s="113">
        <f t="shared" si="0"/>
        <v>35648</v>
      </c>
      <c r="L9"/>
    </row>
    <row r="10" spans="1:12" x14ac:dyDescent="0.35">
      <c r="A10" s="93">
        <v>562.26</v>
      </c>
      <c r="B10" s="29" t="s">
        <v>44</v>
      </c>
      <c r="C10" s="108">
        <v>64529</v>
      </c>
      <c r="D10" s="109">
        <v>11625</v>
      </c>
      <c r="E10" s="110"/>
      <c r="F10" s="108"/>
      <c r="G10" s="110"/>
      <c r="H10" s="111">
        <v>36746</v>
      </c>
      <c r="I10" s="110">
        <f>11967</f>
        <v>11967</v>
      </c>
      <c r="J10" s="112">
        <v>4238</v>
      </c>
      <c r="K10" s="113">
        <f t="shared" si="0"/>
        <v>129105</v>
      </c>
      <c r="L10"/>
    </row>
    <row r="11" spans="1:12" x14ac:dyDescent="0.35">
      <c r="A11" s="93">
        <v>562.27</v>
      </c>
      <c r="B11" s="29" t="s">
        <v>45</v>
      </c>
      <c r="C11" s="108"/>
      <c r="D11" s="109">
        <v>14109</v>
      </c>
      <c r="E11" s="110"/>
      <c r="F11" s="108">
        <v>23234</v>
      </c>
      <c r="G11" s="226"/>
      <c r="H11" s="111">
        <v>44599</v>
      </c>
      <c r="I11" s="110">
        <f>32026</f>
        <v>32026</v>
      </c>
      <c r="J11" s="112">
        <v>5144</v>
      </c>
      <c r="K11" s="113">
        <f t="shared" si="0"/>
        <v>119112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1805</v>
      </c>
      <c r="E12" s="110"/>
      <c r="F12" s="108">
        <v>263791</v>
      </c>
      <c r="G12" s="110"/>
      <c r="H12" s="111">
        <v>5706</v>
      </c>
      <c r="I12" s="110"/>
      <c r="J12" s="112">
        <v>658</v>
      </c>
      <c r="K12" s="113">
        <f t="shared" si="0"/>
        <v>271960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1132</v>
      </c>
      <c r="E13" s="110"/>
      <c r="F13" s="108"/>
      <c r="G13" s="110"/>
      <c r="H13" s="111">
        <v>3578</v>
      </c>
      <c r="I13" s="110"/>
      <c r="J13" s="112">
        <v>412</v>
      </c>
      <c r="K13" s="113">
        <f t="shared" si="0"/>
        <v>5122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25760</v>
      </c>
      <c r="E14" s="110"/>
      <c r="F14" s="108">
        <v>29730</v>
      </c>
      <c r="G14" s="110"/>
      <c r="H14" s="111">
        <v>81426</v>
      </c>
      <c r="I14" s="110">
        <f>31182</f>
        <v>31182</v>
      </c>
      <c r="J14" s="112">
        <v>9391</v>
      </c>
      <c r="K14" s="113">
        <f t="shared" si="0"/>
        <v>177489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5011</v>
      </c>
      <c r="E15" s="110"/>
      <c r="F15" s="108"/>
      <c r="G15" s="110"/>
      <c r="H15" s="111">
        <v>15841</v>
      </c>
      <c r="I15" s="110"/>
      <c r="J15" s="112">
        <v>1827</v>
      </c>
      <c r="K15" s="113">
        <f t="shared" si="0"/>
        <v>22679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2094</v>
      </c>
      <c r="E16" s="110"/>
      <c r="F16" s="108"/>
      <c r="G16" s="110"/>
      <c r="H16" s="111">
        <v>6619</v>
      </c>
      <c r="I16" s="110">
        <f>1850</f>
        <v>1850</v>
      </c>
      <c r="J16" s="112">
        <v>763</v>
      </c>
      <c r="K16" s="113">
        <f t="shared" si="0"/>
        <v>11326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158</v>
      </c>
      <c r="E17" s="110"/>
      <c r="F17" s="108"/>
      <c r="G17" s="110"/>
      <c r="H17" s="111">
        <v>499</v>
      </c>
      <c r="I17" s="110"/>
      <c r="J17" s="112">
        <v>58</v>
      </c>
      <c r="K17" s="113">
        <f t="shared" si="0"/>
        <v>715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10481</v>
      </c>
      <c r="E18" s="110"/>
      <c r="F18" s="108"/>
      <c r="G18" s="110"/>
      <c r="H18" s="111">
        <v>33128</v>
      </c>
      <c r="I18" s="110"/>
      <c r="J18" s="112">
        <v>3821</v>
      </c>
      <c r="K18" s="113">
        <f t="shared" si="0"/>
        <v>47430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>
        <v>44</v>
      </c>
      <c r="I19" s="110"/>
      <c r="J19" s="112"/>
      <c r="K19" s="113">
        <f t="shared" si="0"/>
        <v>44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>
        <v>4124</v>
      </c>
      <c r="I21" s="110"/>
      <c r="J21" s="112">
        <v>3904</v>
      </c>
      <c r="K21" s="113">
        <f t="shared" si="0"/>
        <v>8028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>
        <v>680</v>
      </c>
      <c r="E22" s="110"/>
      <c r="F22" s="108"/>
      <c r="G22" s="110"/>
      <c r="H22" s="111">
        <v>2148</v>
      </c>
      <c r="I22" s="110"/>
      <c r="J22" s="112">
        <v>248</v>
      </c>
      <c r="K22" s="113">
        <f t="shared" si="0"/>
        <v>3076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8375</v>
      </c>
      <c r="E24" s="110"/>
      <c r="F24" s="108"/>
      <c r="G24" s="110"/>
      <c r="H24" s="111">
        <v>26472</v>
      </c>
      <c r="I24" s="110"/>
      <c r="J24" s="112">
        <v>3053</v>
      </c>
      <c r="K24" s="113">
        <f t="shared" si="0"/>
        <v>37900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4690</v>
      </c>
      <c r="E25" s="110"/>
      <c r="F25" s="108"/>
      <c r="G25" s="110"/>
      <c r="H25" s="111">
        <v>14824</v>
      </c>
      <c r="I25" s="110">
        <f>7627</f>
        <v>7627</v>
      </c>
      <c r="J25" s="112">
        <v>1710</v>
      </c>
      <c r="K25" s="113">
        <f t="shared" si="0"/>
        <v>28851</v>
      </c>
      <c r="L25"/>
    </row>
    <row r="26" spans="1:12" x14ac:dyDescent="0.35">
      <c r="A26" s="93">
        <v>562.53</v>
      </c>
      <c r="B26" s="29" t="s">
        <v>59</v>
      </c>
      <c r="C26" s="108"/>
      <c r="D26" s="109">
        <v>2031</v>
      </c>
      <c r="E26" s="110">
        <v>38008</v>
      </c>
      <c r="F26" s="108"/>
      <c r="G26" s="110"/>
      <c r="H26" s="111">
        <v>6420</v>
      </c>
      <c r="I26" s="110">
        <f>3350+2335</f>
        <v>5685</v>
      </c>
      <c r="J26" s="112">
        <v>741</v>
      </c>
      <c r="K26" s="113">
        <f t="shared" si="0"/>
        <v>52885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55092</v>
      </c>
      <c r="E27" s="110">
        <v>557</v>
      </c>
      <c r="F27" s="108"/>
      <c r="G27" s="110"/>
      <c r="H27" s="111">
        <v>174137</v>
      </c>
      <c r="I27" s="110">
        <f>153653+9365</f>
        <v>163018</v>
      </c>
      <c r="J27" s="112">
        <v>20083</v>
      </c>
      <c r="K27" s="113">
        <f t="shared" si="0"/>
        <v>412887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>
        <v>14453</v>
      </c>
      <c r="E29" s="110"/>
      <c r="F29" s="108"/>
      <c r="G29" s="110"/>
      <c r="H29" s="111">
        <v>45686</v>
      </c>
      <c r="I29" s="110">
        <f>81434+630</f>
        <v>82064</v>
      </c>
      <c r="J29" s="112">
        <v>5269</v>
      </c>
      <c r="K29" s="113">
        <f t="shared" si="0"/>
        <v>147472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>
        <v>1449</v>
      </c>
      <c r="E30" s="110">
        <v>5388</v>
      </c>
      <c r="F30" s="108"/>
      <c r="G30" s="110"/>
      <c r="H30" s="111">
        <v>4581</v>
      </c>
      <c r="I30" s="110"/>
      <c r="J30" s="112">
        <v>528</v>
      </c>
      <c r="K30" s="113">
        <f t="shared" si="0"/>
        <v>11946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3572</v>
      </c>
      <c r="E31" s="110"/>
      <c r="F31" s="108"/>
      <c r="G31" s="110"/>
      <c r="H31" s="111">
        <v>11289</v>
      </c>
      <c r="I31" s="110">
        <f>2638</f>
        <v>2638</v>
      </c>
      <c r="J31" s="112">
        <v>1302</v>
      </c>
      <c r="K31" s="113">
        <f t="shared" si="0"/>
        <v>18801</v>
      </c>
      <c r="L31"/>
    </row>
    <row r="32" spans="1:12" x14ac:dyDescent="0.35">
      <c r="A32" s="93">
        <v>562.59</v>
      </c>
      <c r="B32" s="29" t="s">
        <v>49</v>
      </c>
      <c r="C32" s="108"/>
      <c r="D32" s="109">
        <v>86</v>
      </c>
      <c r="E32" s="110"/>
      <c r="F32" s="108"/>
      <c r="G32" s="110"/>
      <c r="H32" s="111">
        <v>272</v>
      </c>
      <c r="I32" s="110"/>
      <c r="J32" s="112">
        <v>32</v>
      </c>
      <c r="K32" s="113">
        <f t="shared" si="0"/>
        <v>390</v>
      </c>
      <c r="L32"/>
    </row>
    <row r="33" spans="1:12" x14ac:dyDescent="0.35">
      <c r="A33" s="93">
        <v>562.6</v>
      </c>
      <c r="B33" s="16" t="s">
        <v>21</v>
      </c>
      <c r="C33" s="108"/>
      <c r="D33" s="109">
        <v>898</v>
      </c>
      <c r="E33" s="110"/>
      <c r="F33" s="108"/>
      <c r="G33" s="110"/>
      <c r="H33" s="111"/>
      <c r="I33" s="110">
        <f>2633+2839</f>
        <v>5472</v>
      </c>
      <c r="J33" s="112">
        <v>327</v>
      </c>
      <c r="K33" s="113">
        <f t="shared" si="0"/>
        <v>6697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1775</v>
      </c>
      <c r="E34" s="110"/>
      <c r="F34" s="108"/>
      <c r="G34" s="110"/>
      <c r="H34" s="111">
        <v>5611</v>
      </c>
      <c r="I34" s="110">
        <f>19335</f>
        <v>19335</v>
      </c>
      <c r="J34" s="112">
        <v>647</v>
      </c>
      <c r="K34" s="113">
        <f t="shared" si="0"/>
        <v>27368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4880</v>
      </c>
      <c r="E39" s="110"/>
      <c r="F39" s="108"/>
      <c r="G39" s="110"/>
      <c r="H39" s="111">
        <v>15425</v>
      </c>
      <c r="I39" s="110"/>
      <c r="J39" s="112">
        <v>1779</v>
      </c>
      <c r="K39" s="113">
        <f t="shared" si="0"/>
        <v>22084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3352</v>
      </c>
      <c r="E40" s="110"/>
      <c r="F40" s="108"/>
      <c r="G40" s="110"/>
      <c r="H40" s="111">
        <v>10594</v>
      </c>
      <c r="I40" s="110"/>
      <c r="J40" s="112">
        <v>1222</v>
      </c>
      <c r="K40" s="113">
        <f t="shared" si="0"/>
        <v>15168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57351</v>
      </c>
      <c r="G41" s="110"/>
      <c r="H41" s="111">
        <v>3</v>
      </c>
      <c r="I41" s="110"/>
      <c r="J41" s="112"/>
      <c r="K41" s="113">
        <f t="shared" si="0"/>
        <v>57354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>
        <v>6148</v>
      </c>
      <c r="E43" s="118"/>
      <c r="F43" s="116"/>
      <c r="G43" s="118"/>
      <c r="H43" s="111">
        <v>19433</v>
      </c>
      <c r="I43" s="110"/>
      <c r="J43" s="119">
        <v>2242</v>
      </c>
      <c r="K43" s="113">
        <f t="shared" si="0"/>
        <v>27823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64529</v>
      </c>
      <c r="D44" s="121">
        <f t="shared" si="1"/>
        <v>249303</v>
      </c>
      <c r="E44" s="122">
        <f t="shared" si="1"/>
        <v>43953</v>
      </c>
      <c r="F44" s="120">
        <f t="shared" si="1"/>
        <v>443703</v>
      </c>
      <c r="G44" s="123">
        <f t="shared" si="1"/>
        <v>86029</v>
      </c>
      <c r="H44" s="124">
        <f t="shared" si="1"/>
        <v>789357</v>
      </c>
      <c r="I44" s="122">
        <f t="shared" si="1"/>
        <v>362864</v>
      </c>
      <c r="J44" s="125">
        <f t="shared" si="1"/>
        <v>103274</v>
      </c>
      <c r="K44" s="126">
        <f>SUM(C44:J44)</f>
        <v>2143012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>
        <v>21227</v>
      </c>
      <c r="F49" s="108"/>
      <c r="G49" s="110"/>
      <c r="H49" s="111">
        <v>4033</v>
      </c>
      <c r="I49" s="110">
        <v>0</v>
      </c>
      <c r="J49" s="112"/>
      <c r="K49" s="113">
        <f t="shared" si="0"/>
        <v>25260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64529</v>
      </c>
      <c r="D56" s="134">
        <f t="shared" si="2"/>
        <v>249303</v>
      </c>
      <c r="E56" s="135">
        <f t="shared" si="2"/>
        <v>65180</v>
      </c>
      <c r="F56" s="133">
        <f t="shared" si="2"/>
        <v>443703</v>
      </c>
      <c r="G56" s="136">
        <f t="shared" si="2"/>
        <v>86029</v>
      </c>
      <c r="H56" s="137">
        <f t="shared" si="2"/>
        <v>793390</v>
      </c>
      <c r="I56" s="138">
        <f t="shared" si="2"/>
        <v>362864</v>
      </c>
      <c r="J56" s="139">
        <f t="shared" si="2"/>
        <v>103274</v>
      </c>
      <c r="K56" s="140">
        <f>SUM(C56:J56)</f>
        <v>2168272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64529</v>
      </c>
      <c r="D62" s="20">
        <f>C56/$K56</f>
        <v>2.9760565095154113E-2</v>
      </c>
    </row>
    <row r="63" spans="1:12" x14ac:dyDescent="0.35">
      <c r="B63" s="8" t="s">
        <v>2</v>
      </c>
      <c r="C63" s="21">
        <f>D56</f>
        <v>249303</v>
      </c>
      <c r="D63" s="20">
        <f>D56/$K56</f>
        <v>0.11497773342089922</v>
      </c>
    </row>
    <row r="64" spans="1:12" x14ac:dyDescent="0.35">
      <c r="B64" s="27" t="s">
        <v>41</v>
      </c>
      <c r="C64" s="22">
        <f>E56</f>
        <v>65180</v>
      </c>
      <c r="D64" s="57">
        <f>E56/$K56</f>
        <v>3.0060804179549431E-2</v>
      </c>
    </row>
    <row r="65" spans="2:4" ht="15" thickBot="1" x14ac:dyDescent="0.4">
      <c r="B65" s="192" t="s">
        <v>75</v>
      </c>
      <c r="C65" s="23">
        <f>SUM(C62:C64)</f>
        <v>379012</v>
      </c>
      <c r="D65" s="24">
        <f>SUM(D62:D64)</f>
        <v>0.17479910269560275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443703</v>
      </c>
      <c r="D67" s="7">
        <f>F56/K56</f>
        <v>0.20463438166429304</v>
      </c>
    </row>
    <row r="68" spans="2:4" x14ac:dyDescent="0.35">
      <c r="B68" s="28" t="s">
        <v>5</v>
      </c>
      <c r="C68" s="9">
        <f>G56</f>
        <v>86029</v>
      </c>
      <c r="D68" s="10">
        <f>G56/K56</f>
        <v>3.9676295224953327E-2</v>
      </c>
    </row>
    <row r="69" spans="2:4" ht="15" thickBot="1" x14ac:dyDescent="0.4">
      <c r="B69" s="192" t="s">
        <v>76</v>
      </c>
      <c r="C69" s="23">
        <f>SUM(C67:C68)</f>
        <v>529732</v>
      </c>
      <c r="D69" s="24">
        <f>SUM(D67:D68)</f>
        <v>0.24431067688924638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793390</v>
      </c>
      <c r="D71" s="7">
        <f>H56/K56</f>
        <v>0.36590888965959989</v>
      </c>
    </row>
    <row r="72" spans="2:4" x14ac:dyDescent="0.35">
      <c r="B72" s="28" t="s">
        <v>6</v>
      </c>
      <c r="C72" s="9">
        <f>I56</f>
        <v>362864</v>
      </c>
      <c r="D72" s="10">
        <f>I56/K56</f>
        <v>0.16735169757299823</v>
      </c>
    </row>
    <row r="73" spans="2:4" ht="15" thickBot="1" x14ac:dyDescent="0.4">
      <c r="B73" s="192" t="s">
        <v>77</v>
      </c>
      <c r="C73" s="54">
        <f>SUM(C71:C72)</f>
        <v>1156254</v>
      </c>
      <c r="D73" s="24">
        <f>SUM(D71:D72)</f>
        <v>0.53326058723259817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103274</v>
      </c>
      <c r="D75" s="24">
        <f>J56/K56</f>
        <v>4.7629633182552741E-2</v>
      </c>
    </row>
    <row r="76" spans="2:4" ht="15" thickBot="1" x14ac:dyDescent="0.4">
      <c r="B76" s="36" t="s">
        <v>42</v>
      </c>
      <c r="C76" s="37">
        <f>C65+C69+C73+C75</f>
        <v>2168272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47" priority="3">
      <formula>ROW()=EVEN(ROW())</formula>
    </cfRule>
  </conditionalFormatting>
  <conditionalFormatting sqref="K45:K55">
    <cfRule type="expression" dxfId="46" priority="1">
      <formula>ROW()=EVEN(ROW())</formula>
    </cfRule>
  </conditionalFormatting>
  <conditionalFormatting sqref="K5:K44">
    <cfRule type="expression" dxfId="4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&amp;C&amp;"-,Bold"&amp;16Funding by Expenditure Code and Revenue Source
2015
NORTHEAST TRI-COUNTY</oddHeader>
  </headerFooter>
  <rowBreaks count="1" manualBreakCount="1">
    <brk id="44" max="16383" man="1"/>
  </rowBreaks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H11" sqref="H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41860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12.27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36675</v>
      </c>
      <c r="E5" s="110"/>
      <c r="F5" s="108"/>
      <c r="G5" s="110"/>
      <c r="H5" s="111">
        <v>25289</v>
      </c>
      <c r="I5" s="110">
        <v>250</v>
      </c>
      <c r="J5" s="112">
        <f>8+318+150+316+150</f>
        <v>942</v>
      </c>
      <c r="K5" s="113">
        <f>SUM(C5:J5)</f>
        <v>63156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36163</v>
      </c>
      <c r="G7" s="110">
        <f>7934+13238</f>
        <v>21172</v>
      </c>
      <c r="H7" s="111"/>
      <c r="I7" s="110"/>
      <c r="J7" s="112"/>
      <c r="K7" s="113">
        <f t="shared" si="0"/>
        <v>57335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19475</v>
      </c>
      <c r="H8" s="111"/>
      <c r="I8" s="110"/>
      <c r="J8" s="112"/>
      <c r="K8" s="113">
        <f t="shared" si="0"/>
        <v>19475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f>18605+5190</f>
        <v>23795</v>
      </c>
      <c r="E14" s="110"/>
      <c r="F14" s="108">
        <v>19453</v>
      </c>
      <c r="G14" s="110"/>
      <c r="H14" s="111"/>
      <c r="I14" s="110">
        <v>10258</v>
      </c>
      <c r="J14" s="112"/>
      <c r="K14" s="113">
        <f t="shared" si="0"/>
        <v>53506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>
        <v>5540</v>
      </c>
      <c r="G16" s="110"/>
      <c r="H16" s="111">
        <v>8420</v>
      </c>
      <c r="I16" s="110">
        <v>22</v>
      </c>
      <c r="J16" s="112"/>
      <c r="K16" s="113">
        <f t="shared" si="0"/>
        <v>13982</v>
      </c>
      <c r="L16"/>
    </row>
    <row r="17" spans="1:12" x14ac:dyDescent="0.35">
      <c r="A17" s="93">
        <v>562.35</v>
      </c>
      <c r="B17" s="16" t="s">
        <v>14</v>
      </c>
      <c r="C17" s="108">
        <v>4448</v>
      </c>
      <c r="D17" s="109">
        <v>2251</v>
      </c>
      <c r="E17" s="110"/>
      <c r="F17" s="108">
        <v>2745</v>
      </c>
      <c r="G17" s="110"/>
      <c r="H17" s="111"/>
      <c r="I17" s="110">
        <v>782</v>
      </c>
      <c r="J17" s="112"/>
      <c r="K17" s="113">
        <f t="shared" si="0"/>
        <v>10226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60000</v>
      </c>
      <c r="E18" s="110"/>
      <c r="F18" s="108"/>
      <c r="G18" s="110">
        <v>25036</v>
      </c>
      <c r="H18" s="111"/>
      <c r="I18" s="110"/>
      <c r="J18" s="112"/>
      <c r="K18" s="113">
        <f t="shared" si="0"/>
        <v>85036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>
        <v>1218</v>
      </c>
      <c r="H20" s="111"/>
      <c r="I20" s="110"/>
      <c r="J20" s="112"/>
      <c r="K20" s="113">
        <f t="shared" si="0"/>
        <v>1218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9000</v>
      </c>
      <c r="E25" s="110"/>
      <c r="F25" s="108"/>
      <c r="G25" s="110"/>
      <c r="H25" s="111">
        <v>10025</v>
      </c>
      <c r="I25" s="110">
        <f>68410+1500+12764</f>
        <v>82674</v>
      </c>
      <c r="J25" s="112"/>
      <c r="K25" s="113">
        <f t="shared" si="0"/>
        <v>101699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54865</v>
      </c>
      <c r="F26" s="108"/>
      <c r="G26" s="110"/>
      <c r="H26" s="111">
        <v>36493</v>
      </c>
      <c r="I26" s="110">
        <f>1350</f>
        <v>1350</v>
      </c>
      <c r="J26" s="112"/>
      <c r="K26" s="113">
        <f t="shared" si="0"/>
        <v>92708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13220</v>
      </c>
      <c r="E27" s="110"/>
      <c r="F27" s="108"/>
      <c r="G27" s="110"/>
      <c r="H27" s="111">
        <v>10000</v>
      </c>
      <c r="I27" s="110">
        <f>12250+10978+91965</f>
        <v>115193</v>
      </c>
      <c r="J27" s="112"/>
      <c r="K27" s="113">
        <f t="shared" si="0"/>
        <v>138413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1284</v>
      </c>
      <c r="I28" s="110"/>
      <c r="J28" s="112"/>
      <c r="K28" s="113">
        <f t="shared" si="0"/>
        <v>1284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115948+3370</f>
        <v>119318</v>
      </c>
      <c r="J29" s="112"/>
      <c r="K29" s="113">
        <f t="shared" si="0"/>
        <v>119318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51029</v>
      </c>
      <c r="J31" s="112"/>
      <c r="K31" s="113">
        <f t="shared" si="0"/>
        <v>51029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>
        <v>10774</v>
      </c>
      <c r="I32" s="110">
        <f>12150</f>
        <v>12150</v>
      </c>
      <c r="J32" s="112"/>
      <c r="K32" s="113">
        <f t="shared" si="0"/>
        <v>22924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>
        <v>30250</v>
      </c>
      <c r="F33" s="108"/>
      <c r="G33" s="110"/>
      <c r="H33" s="111"/>
      <c r="I33" s="110"/>
      <c r="J33" s="112"/>
      <c r="K33" s="113">
        <f t="shared" si="0"/>
        <v>30250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17891</v>
      </c>
      <c r="I34" s="110">
        <f>23494</f>
        <v>23494</v>
      </c>
      <c r="J34" s="112"/>
      <c r="K34" s="113">
        <f t="shared" si="0"/>
        <v>41385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24941</v>
      </c>
      <c r="E40" s="110"/>
      <c r="F40" s="108"/>
      <c r="G40" s="110"/>
      <c r="H40" s="111"/>
      <c r="I40" s="110"/>
      <c r="J40" s="112"/>
      <c r="K40" s="113">
        <f t="shared" si="0"/>
        <v>24941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54185</v>
      </c>
      <c r="G41" s="110"/>
      <c r="H41" s="111"/>
      <c r="I41" s="110"/>
      <c r="J41" s="112"/>
      <c r="K41" s="113">
        <f t="shared" si="0"/>
        <v>54185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4448</v>
      </c>
      <c r="D44" s="121">
        <f t="shared" si="1"/>
        <v>169882</v>
      </c>
      <c r="E44" s="122">
        <f t="shared" si="1"/>
        <v>85115</v>
      </c>
      <c r="F44" s="120">
        <f t="shared" si="1"/>
        <v>118086</v>
      </c>
      <c r="G44" s="123">
        <f t="shared" si="1"/>
        <v>66901</v>
      </c>
      <c r="H44" s="124">
        <f t="shared" si="1"/>
        <v>120176</v>
      </c>
      <c r="I44" s="122">
        <f t="shared" si="1"/>
        <v>416520</v>
      </c>
      <c r="J44" s="125">
        <f t="shared" si="1"/>
        <v>942</v>
      </c>
      <c r="K44" s="126">
        <f>SUM(C44:J44)</f>
        <v>982070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>
        <v>12212</v>
      </c>
      <c r="K47" s="113">
        <f t="shared" si="0"/>
        <v>12212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>
        <v>39160</v>
      </c>
      <c r="F49" s="108"/>
      <c r="G49" s="110">
        <f>40560+6093</f>
        <v>46653</v>
      </c>
      <c r="H49" s="111">
        <v>0</v>
      </c>
      <c r="I49" s="110">
        <v>0</v>
      </c>
      <c r="J49" s="112"/>
      <c r="K49" s="113">
        <f t="shared" si="0"/>
        <v>85813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4448</v>
      </c>
      <c r="D56" s="134">
        <f t="shared" si="2"/>
        <v>169882</v>
      </c>
      <c r="E56" s="135">
        <f t="shared" si="2"/>
        <v>124275</v>
      </c>
      <c r="F56" s="133">
        <f t="shared" si="2"/>
        <v>118086</v>
      </c>
      <c r="G56" s="136">
        <f t="shared" si="2"/>
        <v>113554</v>
      </c>
      <c r="H56" s="137">
        <f t="shared" si="2"/>
        <v>120176</v>
      </c>
      <c r="I56" s="138">
        <f t="shared" si="2"/>
        <v>416520</v>
      </c>
      <c r="J56" s="139">
        <f t="shared" si="2"/>
        <v>13154</v>
      </c>
      <c r="K56" s="140">
        <f>SUM(C56:J56)</f>
        <v>1080095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4448</v>
      </c>
      <c r="D62" s="20">
        <f>C56/$K56</f>
        <v>4.118156273290775E-3</v>
      </c>
    </row>
    <row r="63" spans="1:12" x14ac:dyDescent="0.35">
      <c r="B63" s="8" t="s">
        <v>2</v>
      </c>
      <c r="C63" s="21">
        <f>D56</f>
        <v>169882</v>
      </c>
      <c r="D63" s="20">
        <f>D56/$K56</f>
        <v>0.15728431295395312</v>
      </c>
    </row>
    <row r="64" spans="1:12" x14ac:dyDescent="0.35">
      <c r="B64" s="27" t="s">
        <v>41</v>
      </c>
      <c r="C64" s="22">
        <f>E56</f>
        <v>124275</v>
      </c>
      <c r="D64" s="57">
        <f>E56/$K56</f>
        <v>0.11505932348543416</v>
      </c>
    </row>
    <row r="65" spans="2:4" ht="15" thickBot="1" x14ac:dyDescent="0.4">
      <c r="B65" s="192" t="s">
        <v>75</v>
      </c>
      <c r="C65" s="23">
        <f>SUM(C62:C64)</f>
        <v>298605</v>
      </c>
      <c r="D65" s="24">
        <f>SUM(D62:D64)</f>
        <v>0.27646179271267801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118086</v>
      </c>
      <c r="D67" s="7">
        <f>F56/K56</f>
        <v>0.10932927196218852</v>
      </c>
    </row>
    <row r="68" spans="2:4" x14ac:dyDescent="0.35">
      <c r="B68" s="28" t="s">
        <v>5</v>
      </c>
      <c r="C68" s="9">
        <f>G56</f>
        <v>113554</v>
      </c>
      <c r="D68" s="10">
        <f>G56/K56</f>
        <v>0.105133344752082</v>
      </c>
    </row>
    <row r="69" spans="2:4" ht="15" thickBot="1" x14ac:dyDescent="0.4">
      <c r="B69" s="192" t="s">
        <v>76</v>
      </c>
      <c r="C69" s="23">
        <f>SUM(C67:C68)</f>
        <v>231640</v>
      </c>
      <c r="D69" s="24">
        <f>SUM(D67:D68)</f>
        <v>0.21446261671427053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120176</v>
      </c>
      <c r="D71" s="7">
        <f>H56/K56</f>
        <v>0.11126428693772307</v>
      </c>
    </row>
    <row r="72" spans="2:4" x14ac:dyDescent="0.35">
      <c r="B72" s="28" t="s">
        <v>6</v>
      </c>
      <c r="C72" s="9">
        <f>I56</f>
        <v>416520</v>
      </c>
      <c r="D72" s="10">
        <f>I56/K56</f>
        <v>0.38563274526777735</v>
      </c>
    </row>
    <row r="73" spans="2:4" ht="15" thickBot="1" x14ac:dyDescent="0.4">
      <c r="B73" s="192" t="s">
        <v>77</v>
      </c>
      <c r="C73" s="54">
        <f>SUM(C71:C72)</f>
        <v>536696</v>
      </c>
      <c r="D73" s="24">
        <f>SUM(D71:D72)</f>
        <v>0.49689703220550041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13154</v>
      </c>
      <c r="D75" s="24">
        <f>J56/K56</f>
        <v>1.2178558367551003E-2</v>
      </c>
    </row>
    <row r="76" spans="2:4" ht="15" thickBot="1" x14ac:dyDescent="0.4">
      <c r="B76" s="36" t="s">
        <v>42</v>
      </c>
      <c r="C76" s="37">
        <f>C65+C69+C73+C75</f>
        <v>1080095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44" priority="3">
      <formula>ROW()=EVEN(ROW())</formula>
    </cfRule>
  </conditionalFormatting>
  <conditionalFormatting sqref="K45:K55">
    <cfRule type="expression" dxfId="43" priority="1">
      <formula>ROW()=EVEN(ROW())</formula>
    </cfRule>
  </conditionalFormatting>
  <conditionalFormatting sqref="K5:K44">
    <cfRule type="expression" dxfId="4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OKANOGAN</oddHeader>
  </headerFooter>
  <rowBreaks count="1" manualBreakCount="1">
    <brk id="44" max="16383" man="1"/>
  </rowBreaks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21210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12.77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87452</v>
      </c>
      <c r="E5" s="110">
        <f>100</f>
        <v>100</v>
      </c>
      <c r="F5" s="108"/>
      <c r="G5" s="110">
        <f>76224+162+4+225</f>
        <v>76615</v>
      </c>
      <c r="H5" s="111">
        <f>80000+389+1947</f>
        <v>82336</v>
      </c>
      <c r="I5" s="110"/>
      <c r="J5" s="112">
        <f>8+2</f>
        <v>10</v>
      </c>
      <c r="K5" s="113">
        <f>SUM(C5:J5)</f>
        <v>246513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>
        <v>4680</v>
      </c>
      <c r="F7" s="108">
        <v>26709</v>
      </c>
      <c r="G7" s="110"/>
      <c r="H7" s="111"/>
      <c r="I7" s="110">
        <v>250</v>
      </c>
      <c r="J7" s="112"/>
      <c r="K7" s="113">
        <f t="shared" si="0"/>
        <v>31639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4613</v>
      </c>
      <c r="F8" s="114"/>
      <c r="G8" s="115">
        <v>4613</v>
      </c>
      <c r="H8" s="111"/>
      <c r="I8" s="110"/>
      <c r="J8" s="112"/>
      <c r="K8" s="113">
        <f t="shared" si="0"/>
        <v>9226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10704</v>
      </c>
      <c r="G9" s="110"/>
      <c r="H9" s="111"/>
      <c r="I9" s="110"/>
      <c r="J9" s="112"/>
      <c r="K9" s="113">
        <f t="shared" si="0"/>
        <v>10704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>
        <v>20760</v>
      </c>
      <c r="D11" s="109"/>
      <c r="E11" s="110"/>
      <c r="F11" s="108">
        <v>7510</v>
      </c>
      <c r="G11" s="110">
        <v>8668</v>
      </c>
      <c r="H11" s="111"/>
      <c r="I11" s="110">
        <v>1088</v>
      </c>
      <c r="J11" s="112">
        <v>53</v>
      </c>
      <c r="K11" s="113">
        <f t="shared" si="0"/>
        <v>38079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v>124566</v>
      </c>
      <c r="G12" s="110"/>
      <c r="H12" s="111"/>
      <c r="I12" s="110"/>
      <c r="J12" s="112"/>
      <c r="K12" s="113">
        <f t="shared" si="0"/>
        <v>124566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>
        <v>132504</v>
      </c>
      <c r="F13" s="108"/>
      <c r="G13" s="110"/>
      <c r="H13" s="111"/>
      <c r="I13" s="110"/>
      <c r="J13" s="112"/>
      <c r="K13" s="113">
        <f t="shared" si="0"/>
        <v>132504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14297</v>
      </c>
      <c r="G14" s="110">
        <v>230</v>
      </c>
      <c r="H14" s="111"/>
      <c r="I14" s="110">
        <v>6746</v>
      </c>
      <c r="J14" s="112"/>
      <c r="K14" s="113">
        <f t="shared" si="0"/>
        <v>21273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/>
      <c r="I16" s="110"/>
      <c r="J16" s="112"/>
      <c r="K16" s="113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41377</v>
      </c>
      <c r="E18" s="110"/>
      <c r="F18" s="108"/>
      <c r="G18" s="110"/>
      <c r="H18" s="111"/>
      <c r="I18" s="110"/>
      <c r="J18" s="112"/>
      <c r="K18" s="113">
        <f t="shared" si="0"/>
        <v>41377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/>
      <c r="J25" s="112"/>
      <c r="K25" s="113">
        <f t="shared" si="0"/>
        <v>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/>
      <c r="F26" s="108"/>
      <c r="G26" s="110"/>
      <c r="H26" s="111"/>
      <c r="I26" s="110"/>
      <c r="J26" s="112"/>
      <c r="K26" s="113">
        <f t="shared" si="0"/>
        <v>0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/>
      <c r="J27" s="112"/>
      <c r="K27" s="113">
        <f t="shared" si="0"/>
        <v>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>
        <v>1977</v>
      </c>
      <c r="D33" s="109"/>
      <c r="E33" s="110"/>
      <c r="F33" s="108"/>
      <c r="G33" s="110"/>
      <c r="H33" s="111"/>
      <c r="I33" s="110"/>
      <c r="J33" s="112"/>
      <c r="K33" s="113">
        <f t="shared" si="0"/>
        <v>1977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7613</v>
      </c>
      <c r="J34" s="112">
        <f>9023+6340</f>
        <v>15363</v>
      </c>
      <c r="K34" s="113">
        <f t="shared" si="0"/>
        <v>22976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40246</v>
      </c>
      <c r="E36" s="110"/>
      <c r="F36" s="108">
        <v>82220</v>
      </c>
      <c r="G36" s="110"/>
      <c r="H36" s="111"/>
      <c r="I36" s="110"/>
      <c r="J36" s="112"/>
      <c r="K36" s="113">
        <f t="shared" si="0"/>
        <v>122466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f>1295+70027</f>
        <v>71322</v>
      </c>
      <c r="G41" s="110"/>
      <c r="H41" s="111"/>
      <c r="I41" s="110"/>
      <c r="J41" s="112"/>
      <c r="K41" s="113">
        <f t="shared" si="0"/>
        <v>71322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>
        <v>4924</v>
      </c>
      <c r="H42" s="111"/>
      <c r="I42" s="110"/>
      <c r="J42" s="112"/>
      <c r="K42" s="113">
        <f t="shared" si="0"/>
        <v>4924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22737</v>
      </c>
      <c r="D44" s="121">
        <f t="shared" si="1"/>
        <v>169075</v>
      </c>
      <c r="E44" s="122">
        <f t="shared" si="1"/>
        <v>141897</v>
      </c>
      <c r="F44" s="120">
        <f t="shared" si="1"/>
        <v>337328</v>
      </c>
      <c r="G44" s="123">
        <f t="shared" si="1"/>
        <v>95050</v>
      </c>
      <c r="H44" s="124">
        <f t="shared" si="1"/>
        <v>82336</v>
      </c>
      <c r="I44" s="122">
        <f t="shared" si="1"/>
        <v>15697</v>
      </c>
      <c r="J44" s="125">
        <f t="shared" si="1"/>
        <v>15426</v>
      </c>
      <c r="K44" s="126">
        <f>SUM(C44:J44)</f>
        <v>879546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>
        <v>3150</v>
      </c>
      <c r="H55" s="131">
        <v>0</v>
      </c>
      <c r="I55" s="118">
        <v>0</v>
      </c>
      <c r="J55" s="119"/>
      <c r="K55" s="132">
        <f t="shared" si="0"/>
        <v>3150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22737</v>
      </c>
      <c r="D56" s="134">
        <f t="shared" si="2"/>
        <v>169075</v>
      </c>
      <c r="E56" s="135">
        <f t="shared" si="2"/>
        <v>141897</v>
      </c>
      <c r="F56" s="133">
        <f t="shared" si="2"/>
        <v>337328</v>
      </c>
      <c r="G56" s="136">
        <f t="shared" si="2"/>
        <v>98200</v>
      </c>
      <c r="H56" s="137">
        <f t="shared" si="2"/>
        <v>82336</v>
      </c>
      <c r="I56" s="138">
        <f t="shared" si="2"/>
        <v>15697</v>
      </c>
      <c r="J56" s="139">
        <f t="shared" si="2"/>
        <v>15426</v>
      </c>
      <c r="K56" s="140">
        <f>SUM(C56:J56)</f>
        <v>882696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22737</v>
      </c>
      <c r="D62" s="20">
        <f>C56/$K56</f>
        <v>2.5758585062127845E-2</v>
      </c>
    </row>
    <row r="63" spans="1:12" x14ac:dyDescent="0.35">
      <c r="B63" s="8" t="s">
        <v>2</v>
      </c>
      <c r="C63" s="21">
        <f>D56</f>
        <v>169075</v>
      </c>
      <c r="D63" s="20">
        <f>D56/$K56</f>
        <v>0.19154386108014537</v>
      </c>
    </row>
    <row r="64" spans="1:12" x14ac:dyDescent="0.35">
      <c r="B64" s="27" t="s">
        <v>41</v>
      </c>
      <c r="C64" s="22">
        <f>E56</f>
        <v>141897</v>
      </c>
      <c r="D64" s="57">
        <f>E56/$K56</f>
        <v>0.16075409880638408</v>
      </c>
    </row>
    <row r="65" spans="2:4" ht="15" thickBot="1" x14ac:dyDescent="0.4">
      <c r="B65" s="192" t="s">
        <v>75</v>
      </c>
      <c r="C65" s="23">
        <f>SUM(C62:C64)</f>
        <v>333709</v>
      </c>
      <c r="D65" s="24">
        <f>SUM(D62:D64)</f>
        <v>0.37805654494865731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337328</v>
      </c>
      <c r="D67" s="7">
        <f>F56/K56</f>
        <v>0.38215648422559978</v>
      </c>
    </row>
    <row r="68" spans="2:4" x14ac:dyDescent="0.35">
      <c r="B68" s="28" t="s">
        <v>5</v>
      </c>
      <c r="C68" s="9">
        <f>G56</f>
        <v>98200</v>
      </c>
      <c r="D68" s="10">
        <f>G56/K56</f>
        <v>0.11125007930250053</v>
      </c>
    </row>
    <row r="69" spans="2:4" ht="15" thickBot="1" x14ac:dyDescent="0.4">
      <c r="B69" s="192" t="s">
        <v>76</v>
      </c>
      <c r="C69" s="23">
        <f>SUM(C67:C68)</f>
        <v>435528</v>
      </c>
      <c r="D69" s="24">
        <f>SUM(D67:D68)</f>
        <v>0.49340656352810031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82336</v>
      </c>
      <c r="D71" s="7">
        <f>H56/K56</f>
        <v>9.3277866898683129E-2</v>
      </c>
    </row>
    <row r="72" spans="2:4" x14ac:dyDescent="0.35">
      <c r="B72" s="28" t="s">
        <v>6</v>
      </c>
      <c r="C72" s="9">
        <f>I56</f>
        <v>15697</v>
      </c>
      <c r="D72" s="10">
        <f>I56/K56</f>
        <v>1.778301929543127E-2</v>
      </c>
    </row>
    <row r="73" spans="2:4" ht="15" thickBot="1" x14ac:dyDescent="0.4">
      <c r="B73" s="192" t="s">
        <v>77</v>
      </c>
      <c r="C73" s="54">
        <f>SUM(C71:C72)</f>
        <v>98033</v>
      </c>
      <c r="D73" s="24">
        <f>SUM(D71:D72)</f>
        <v>0.1110608861941144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15426</v>
      </c>
      <c r="D75" s="24">
        <f>J56/K56</f>
        <v>1.7476005329128037E-2</v>
      </c>
    </row>
    <row r="76" spans="2:4" ht="15" thickBot="1" x14ac:dyDescent="0.4">
      <c r="B76" s="36" t="s">
        <v>42</v>
      </c>
      <c r="C76" s="37">
        <f>C65+C69+C73+C75</f>
        <v>882696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41" priority="3">
      <formula>ROW()=EVEN(ROW())</formula>
    </cfRule>
  </conditionalFormatting>
  <conditionalFormatting sqref="K45:K55">
    <cfRule type="expression" dxfId="40" priority="1">
      <formula>ROW()=EVEN(ROW())</formula>
    </cfRule>
  </conditionalFormatting>
  <conditionalFormatting sqref="K5:K44">
    <cfRule type="expression" dxfId="3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PACIFIC</oddHeader>
  </headerFooter>
  <rowBreaks count="1" manualBreakCount="1">
    <brk id="44" max="16383" man="1"/>
  </rowBreaks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16180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25.58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64753</v>
      </c>
      <c r="E5" s="110"/>
      <c r="F5" s="108"/>
      <c r="G5" s="110"/>
      <c r="H5" s="111">
        <v>193389</v>
      </c>
      <c r="I5" s="110">
        <f>4744+7846</f>
        <v>12590</v>
      </c>
      <c r="J5" s="112"/>
      <c r="K5" s="113">
        <f>SUM(C5:J5)</f>
        <v>270732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8910</v>
      </c>
      <c r="E7" s="110"/>
      <c r="F7" s="108">
        <v>14956</v>
      </c>
      <c r="G7" s="110"/>
      <c r="H7" s="111">
        <v>57254</v>
      </c>
      <c r="I7" s="110">
        <v>191</v>
      </c>
      <c r="J7" s="112">
        <v>1675</v>
      </c>
      <c r="K7" s="113">
        <f t="shared" si="0"/>
        <v>82986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3490</v>
      </c>
      <c r="F8" s="114"/>
      <c r="G8" s="115">
        <v>3490</v>
      </c>
      <c r="H8" s="111">
        <v>1424</v>
      </c>
      <c r="I8" s="110"/>
      <c r="J8" s="112"/>
      <c r="K8" s="113">
        <f t="shared" si="0"/>
        <v>8404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>
        <v>1105</v>
      </c>
      <c r="F9" s="108">
        <v>17099</v>
      </c>
      <c r="G9" s="110">
        <v>14889</v>
      </c>
      <c r="H9" s="111">
        <v>5577</v>
      </c>
      <c r="I9" s="110">
        <v>16488</v>
      </c>
      <c r="J9" s="112"/>
      <c r="K9" s="113">
        <f t="shared" si="0"/>
        <v>55158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67786+26161+385</f>
        <v>94332</v>
      </c>
      <c r="G12" s="110"/>
      <c r="H12" s="111">
        <v>38206</v>
      </c>
      <c r="I12" s="110"/>
      <c r="J12" s="112"/>
      <c r="K12" s="113">
        <f t="shared" si="0"/>
        <v>132538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9930</v>
      </c>
      <c r="E13" s="110"/>
      <c r="F13" s="108"/>
      <c r="G13" s="110">
        <f>101256+118</f>
        <v>101374</v>
      </c>
      <c r="H13" s="111">
        <v>189674</v>
      </c>
      <c r="I13" s="110">
        <f>13900+1888+271</f>
        <v>16059</v>
      </c>
      <c r="J13" s="112">
        <v>1448</v>
      </c>
      <c r="K13" s="113">
        <f t="shared" si="0"/>
        <v>318485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13923</v>
      </c>
      <c r="E14" s="110"/>
      <c r="F14" s="108">
        <v>12477</v>
      </c>
      <c r="G14" s="110"/>
      <c r="H14" s="111">
        <v>17611</v>
      </c>
      <c r="I14" s="110">
        <v>14701</v>
      </c>
      <c r="J14" s="112">
        <v>1774</v>
      </c>
      <c r="K14" s="113">
        <f t="shared" si="0"/>
        <v>60486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>
        <v>21</v>
      </c>
      <c r="I15" s="110"/>
      <c r="J15" s="112"/>
      <c r="K15" s="113">
        <f t="shared" si="0"/>
        <v>21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3810</v>
      </c>
      <c r="I16" s="110">
        <v>672</v>
      </c>
      <c r="J16" s="112"/>
      <c r="K16" s="113">
        <f t="shared" si="0"/>
        <v>4482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27390</v>
      </c>
      <c r="E18" s="110"/>
      <c r="F18" s="108"/>
      <c r="G18" s="110"/>
      <c r="H18" s="111">
        <v>941</v>
      </c>
      <c r="I18" s="110"/>
      <c r="J18" s="112"/>
      <c r="K18" s="113">
        <f t="shared" si="0"/>
        <v>28331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1598</v>
      </c>
      <c r="E24" s="110"/>
      <c r="F24" s="108"/>
      <c r="G24" s="110"/>
      <c r="H24" s="111">
        <v>886</v>
      </c>
      <c r="I24" s="110"/>
      <c r="J24" s="112"/>
      <c r="K24" s="113">
        <f t="shared" si="0"/>
        <v>2484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v>21728</v>
      </c>
      <c r="I25" s="110">
        <f>45495+6325+7200</f>
        <v>59020</v>
      </c>
      <c r="J25" s="112"/>
      <c r="K25" s="113">
        <f t="shared" si="0"/>
        <v>80748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48371</v>
      </c>
      <c r="F26" s="108"/>
      <c r="G26" s="110"/>
      <c r="H26" s="111"/>
      <c r="I26" s="110">
        <v>869</v>
      </c>
      <c r="J26" s="112"/>
      <c r="K26" s="113">
        <f t="shared" si="0"/>
        <v>49240</v>
      </c>
      <c r="L26"/>
    </row>
    <row r="27" spans="1:12" x14ac:dyDescent="0.35">
      <c r="A27" s="93">
        <v>562.54</v>
      </c>
      <c r="B27" s="29" t="s">
        <v>60</v>
      </c>
      <c r="C27" s="108">
        <v>51565</v>
      </c>
      <c r="D27" s="109"/>
      <c r="E27" s="110"/>
      <c r="F27" s="108">
        <f>61398+2126+198641+5625</f>
        <v>267790</v>
      </c>
      <c r="G27" s="110"/>
      <c r="H27" s="111"/>
      <c r="I27" s="110">
        <f>118094+8850+34159</f>
        <v>161103</v>
      </c>
      <c r="J27" s="112"/>
      <c r="K27" s="113">
        <f t="shared" si="0"/>
        <v>480458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v>76418</v>
      </c>
      <c r="J29" s="112"/>
      <c r="K29" s="113">
        <f t="shared" si="0"/>
        <v>76418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2629</v>
      </c>
      <c r="J31" s="112"/>
      <c r="K31" s="113">
        <f t="shared" si="0"/>
        <v>2629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>
        <v>4957</v>
      </c>
      <c r="I32" s="110">
        <v>899</v>
      </c>
      <c r="J32" s="112"/>
      <c r="K32" s="113">
        <f t="shared" si="0"/>
        <v>5856</v>
      </c>
      <c r="L32"/>
    </row>
    <row r="33" spans="1:12" x14ac:dyDescent="0.35">
      <c r="A33" s="93">
        <v>562.6</v>
      </c>
      <c r="B33" s="16" t="s">
        <v>21</v>
      </c>
      <c r="C33" s="108">
        <v>6778</v>
      </c>
      <c r="D33" s="109"/>
      <c r="E33" s="110">
        <v>87375</v>
      </c>
      <c r="F33" s="108"/>
      <c r="G33" s="110"/>
      <c r="H33" s="111">
        <v>2647</v>
      </c>
      <c r="I33" s="110"/>
      <c r="J33" s="112">
        <v>163</v>
      </c>
      <c r="K33" s="113">
        <f t="shared" si="0"/>
        <v>96963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745</v>
      </c>
      <c r="I34" s="110">
        <v>3046</v>
      </c>
      <c r="J34" s="112"/>
      <c r="K34" s="113">
        <f t="shared" si="0"/>
        <v>3791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64</v>
      </c>
      <c r="E41" s="110"/>
      <c r="F41" s="108">
        <v>17360</v>
      </c>
      <c r="G41" s="110"/>
      <c r="H41" s="111">
        <v>703</v>
      </c>
      <c r="I41" s="110"/>
      <c r="J41" s="112">
        <v>3705</v>
      </c>
      <c r="K41" s="113">
        <f t="shared" si="0"/>
        <v>21832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58343</v>
      </c>
      <c r="D44" s="121">
        <f t="shared" si="1"/>
        <v>126568</v>
      </c>
      <c r="E44" s="122">
        <f t="shared" si="1"/>
        <v>140341</v>
      </c>
      <c r="F44" s="120">
        <f t="shared" si="1"/>
        <v>424014</v>
      </c>
      <c r="G44" s="123">
        <f t="shared" si="1"/>
        <v>119753</v>
      </c>
      <c r="H44" s="124">
        <f t="shared" si="1"/>
        <v>539573</v>
      </c>
      <c r="I44" s="122">
        <f t="shared" si="1"/>
        <v>364685</v>
      </c>
      <c r="J44" s="125">
        <f t="shared" si="1"/>
        <v>8765</v>
      </c>
      <c r="K44" s="126">
        <f>SUM(C44:J44)</f>
        <v>1782042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>
        <v>378674</v>
      </c>
      <c r="F47" s="108"/>
      <c r="G47" s="110"/>
      <c r="H47" s="111">
        <v>0</v>
      </c>
      <c r="I47" s="110">
        <v>0</v>
      </c>
      <c r="J47" s="112"/>
      <c r="K47" s="113">
        <f t="shared" si="0"/>
        <v>378674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>
        <f>20300+85438+70259</f>
        <v>175997</v>
      </c>
      <c r="F50" s="108"/>
      <c r="G50" s="110">
        <f>32383+7695+33697+7200</f>
        <v>80975</v>
      </c>
      <c r="H50" s="111">
        <v>244042</v>
      </c>
      <c r="I50" s="110">
        <v>0</v>
      </c>
      <c r="J50" s="112"/>
      <c r="K50" s="113">
        <f t="shared" si="0"/>
        <v>501014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f>338170+43288</f>
        <v>381458</v>
      </c>
      <c r="I52" s="110">
        <v>138183</v>
      </c>
      <c r="J52" s="112"/>
      <c r="K52" s="113">
        <f t="shared" si="0"/>
        <v>519641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>
        <f>19412+38576+131650+25351+42800</f>
        <v>257789</v>
      </c>
      <c r="F53" s="108"/>
      <c r="G53" s="110">
        <f>5967+20834</f>
        <v>26801</v>
      </c>
      <c r="H53" s="111">
        <v>0</v>
      </c>
      <c r="I53" s="110">
        <v>5000</v>
      </c>
      <c r="J53" s="112">
        <v>9320</v>
      </c>
      <c r="K53" s="113">
        <f t="shared" si="0"/>
        <v>298910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f>20898+464</f>
        <v>21362</v>
      </c>
      <c r="I54" s="110">
        <v>115300</v>
      </c>
      <c r="J54" s="112">
        <v>5874</v>
      </c>
      <c r="K54" s="113">
        <f t="shared" si="0"/>
        <v>142536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f>127978+23871</f>
        <v>151849</v>
      </c>
      <c r="J55" s="119">
        <v>8749</v>
      </c>
      <c r="K55" s="132">
        <f t="shared" si="0"/>
        <v>160598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58343</v>
      </c>
      <c r="D56" s="134">
        <f t="shared" si="2"/>
        <v>126568</v>
      </c>
      <c r="E56" s="135">
        <f t="shared" si="2"/>
        <v>952801</v>
      </c>
      <c r="F56" s="133">
        <f t="shared" si="2"/>
        <v>424014</v>
      </c>
      <c r="G56" s="136">
        <f t="shared" si="2"/>
        <v>227529</v>
      </c>
      <c r="H56" s="137">
        <f t="shared" si="2"/>
        <v>1186435</v>
      </c>
      <c r="I56" s="138">
        <f t="shared" si="2"/>
        <v>775017</v>
      </c>
      <c r="J56" s="139">
        <f t="shared" si="2"/>
        <v>32708</v>
      </c>
      <c r="K56" s="140">
        <f>SUM(C56:J56)</f>
        <v>3783415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58343</v>
      </c>
      <c r="D62" s="20">
        <f>C56/$K56</f>
        <v>1.5420724398460121E-2</v>
      </c>
    </row>
    <row r="63" spans="1:12" x14ac:dyDescent="0.35">
      <c r="B63" s="8" t="s">
        <v>2</v>
      </c>
      <c r="C63" s="21">
        <f>D56</f>
        <v>126568</v>
      </c>
      <c r="D63" s="20">
        <f>D56/$K56</f>
        <v>3.3453374794993412E-2</v>
      </c>
    </row>
    <row r="64" spans="1:12" x14ac:dyDescent="0.35">
      <c r="B64" s="27" t="s">
        <v>41</v>
      </c>
      <c r="C64" s="22">
        <f>E56</f>
        <v>952801</v>
      </c>
      <c r="D64" s="57">
        <f>E56/$K56</f>
        <v>0.25183623789618637</v>
      </c>
    </row>
    <row r="65" spans="2:4" ht="15" thickBot="1" x14ac:dyDescent="0.4">
      <c r="B65" s="192" t="s">
        <v>75</v>
      </c>
      <c r="C65" s="23">
        <f>SUM(C62:C64)</f>
        <v>1137712</v>
      </c>
      <c r="D65" s="24">
        <f>SUM(D62:D64)</f>
        <v>0.3007103370896399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424014</v>
      </c>
      <c r="D67" s="7">
        <f>F56/K56</f>
        <v>0.11207176585175034</v>
      </c>
    </row>
    <row r="68" spans="2:4" x14ac:dyDescent="0.35">
      <c r="B68" s="28" t="s">
        <v>5</v>
      </c>
      <c r="C68" s="9">
        <f>G56</f>
        <v>227529</v>
      </c>
      <c r="D68" s="10">
        <f>G56/K56</f>
        <v>6.0138525644160105E-2</v>
      </c>
    </row>
    <row r="69" spans="2:4" ht="15" thickBot="1" x14ac:dyDescent="0.4">
      <c r="B69" s="192" t="s">
        <v>76</v>
      </c>
      <c r="C69" s="23">
        <f>SUM(C67:C68)</f>
        <v>651543</v>
      </c>
      <c r="D69" s="24">
        <f>SUM(D67:D68)</f>
        <v>0.17221029149591044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1186435</v>
      </c>
      <c r="D71" s="7">
        <f>H56/K56</f>
        <v>0.31358838509653314</v>
      </c>
    </row>
    <row r="72" spans="2:4" x14ac:dyDescent="0.35">
      <c r="B72" s="28" t="s">
        <v>6</v>
      </c>
      <c r="C72" s="9">
        <f>I56</f>
        <v>775017</v>
      </c>
      <c r="D72" s="10">
        <f>I56/K56</f>
        <v>0.20484588658658909</v>
      </c>
    </row>
    <row r="73" spans="2:4" ht="15" thickBot="1" x14ac:dyDescent="0.4">
      <c r="B73" s="192" t="s">
        <v>77</v>
      </c>
      <c r="C73" s="54">
        <f>SUM(C71:C72)</f>
        <v>1961452</v>
      </c>
      <c r="D73" s="24">
        <f>SUM(D71:D72)</f>
        <v>0.51843427168312228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32708</v>
      </c>
      <c r="D75" s="24">
        <f>J56/K56</f>
        <v>8.6450997313273856E-3</v>
      </c>
    </row>
    <row r="76" spans="2:4" ht="15" thickBot="1" x14ac:dyDescent="0.4">
      <c r="B76" s="36" t="s">
        <v>42</v>
      </c>
      <c r="C76" s="37">
        <f>C65+C69+C73+C75</f>
        <v>3783415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38" priority="3">
      <formula>ROW()=EVEN(ROW())</formula>
    </cfRule>
  </conditionalFormatting>
  <conditionalFormatting sqref="K45:K55">
    <cfRule type="expression" dxfId="37" priority="1">
      <formula>ROW()=EVEN(ROW())</formula>
    </cfRule>
  </conditionalFormatting>
  <conditionalFormatting sqref="K5:K44">
    <cfRule type="expression" dxfId="3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&amp;C&amp;"-,Bold"&amp;16Expenditures by Expenditure Code and Revenue Source
2015
SAN JUAN 
</oddHeader>
  </headerFooter>
  <rowBreaks count="1" manualBreakCount="1">
    <brk id="4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3"/>
  <sheetViews>
    <sheetView showZeros="0" view="pageLayout" topLeftCell="A2" zoomScale="70" zoomScaleNormal="100" zoomScalePageLayoutView="70" workbookViewId="0">
      <selection activeCell="E27" sqref="E27"/>
    </sheetView>
  </sheetViews>
  <sheetFormatPr defaultRowHeight="14.5" x14ac:dyDescent="0.35"/>
  <cols>
    <col min="1" max="2" width="14.1796875" customWidth="1"/>
    <col min="3" max="3" width="14.1796875" style="233" customWidth="1"/>
    <col min="4" max="4" width="15.7265625" style="239" customWidth="1"/>
    <col min="5" max="5" width="10.81640625" bestFit="1" customWidth="1"/>
    <col min="6" max="6" width="12.7265625" bestFit="1" customWidth="1"/>
    <col min="7" max="7" width="13.7265625" style="43" customWidth="1"/>
    <col min="8" max="8" width="15.7265625" style="43" customWidth="1"/>
    <col min="9" max="9" width="14.26953125" style="43" customWidth="1"/>
    <col min="10" max="10" width="13" style="43" customWidth="1"/>
    <col min="11" max="11" width="13.26953125" style="43" bestFit="1" customWidth="1"/>
    <col min="12" max="12" width="13.7265625" bestFit="1" customWidth="1"/>
    <col min="13" max="13" width="13.26953125" style="232" bestFit="1" customWidth="1"/>
    <col min="14" max="14" width="11.54296875" style="248" customWidth="1"/>
    <col min="15" max="15" width="9.1796875" style="232"/>
  </cols>
  <sheetData>
    <row r="1" spans="1:17" x14ac:dyDescent="0.35">
      <c r="D1" s="238"/>
    </row>
    <row r="2" spans="1:17" ht="15" thickBot="1" x14ac:dyDescent="0.4"/>
    <row r="3" spans="1:17" ht="19.899999999999999" customHeight="1" thickTop="1" thickBot="1" x14ac:dyDescent="0.4">
      <c r="A3" s="72"/>
      <c r="B3" s="71"/>
      <c r="C3" s="234"/>
      <c r="D3" s="240"/>
      <c r="E3" s="251" t="s">
        <v>71</v>
      </c>
      <c r="F3" s="252"/>
      <c r="G3" s="253"/>
      <c r="H3" s="254" t="s">
        <v>72</v>
      </c>
      <c r="I3" s="253"/>
      <c r="J3" s="254" t="s">
        <v>73</v>
      </c>
      <c r="K3" s="253"/>
      <c r="L3" s="74" t="s">
        <v>74</v>
      </c>
      <c r="M3" s="90"/>
    </row>
    <row r="4" spans="1:17" ht="60" customHeight="1" thickTop="1" thickBot="1" x14ac:dyDescent="0.4">
      <c r="A4" s="75"/>
      <c r="B4" s="76" t="s">
        <v>83</v>
      </c>
      <c r="C4" s="77" t="s">
        <v>70</v>
      </c>
      <c r="D4" s="241" t="s">
        <v>84</v>
      </c>
      <c r="E4" s="70" t="s">
        <v>1</v>
      </c>
      <c r="F4" s="49" t="s">
        <v>2</v>
      </c>
      <c r="G4" s="42" t="s">
        <v>3</v>
      </c>
      <c r="H4" s="44" t="s">
        <v>4</v>
      </c>
      <c r="I4" s="46" t="s">
        <v>64</v>
      </c>
      <c r="J4" s="39" t="s">
        <v>63</v>
      </c>
      <c r="K4" s="50" t="s">
        <v>6</v>
      </c>
      <c r="L4" s="51" t="s">
        <v>8</v>
      </c>
      <c r="M4" s="237" t="s">
        <v>0</v>
      </c>
    </row>
    <row r="5" spans="1:17" ht="15.75" customHeight="1" x14ac:dyDescent="0.35">
      <c r="A5" s="92" t="s">
        <v>80</v>
      </c>
      <c r="B5" s="160" t="s">
        <v>158</v>
      </c>
      <c r="C5" s="78">
        <v>19410</v>
      </c>
      <c r="D5" s="242">
        <v>8.75</v>
      </c>
      <c r="E5" s="66">
        <f>'Adams Pgs 8-9'!C56</f>
        <v>0</v>
      </c>
      <c r="F5" s="66">
        <f>'Adams Pgs 8-9'!D56</f>
        <v>123906</v>
      </c>
      <c r="G5" s="68">
        <f>'Adams Pgs 8-9'!E56</f>
        <v>38117</v>
      </c>
      <c r="H5" s="66">
        <f>'Adams Pgs 8-9'!F56</f>
        <v>157552</v>
      </c>
      <c r="I5" s="68">
        <f>'Adams Pgs 8-9'!G56</f>
        <v>52832</v>
      </c>
      <c r="J5" s="91">
        <f>'Adams Pgs 8-9'!H56</f>
        <v>115817</v>
      </c>
      <c r="K5" s="68">
        <f>'Adams Pgs 8-9'!I56</f>
        <v>147286</v>
      </c>
      <c r="L5" s="52">
        <f>'Adams Pgs 8-9'!J56</f>
        <v>8</v>
      </c>
      <c r="M5" s="69">
        <f>SUM(E5:L5)</f>
        <v>635518</v>
      </c>
      <c r="N5" s="247" t="s">
        <v>160</v>
      </c>
      <c r="O5" s="232" t="s">
        <v>160</v>
      </c>
    </row>
    <row r="6" spans="1:17" ht="15.75" customHeight="1" x14ac:dyDescent="0.35">
      <c r="A6" s="93" t="s">
        <v>85</v>
      </c>
      <c r="B6" s="161" t="s">
        <v>158</v>
      </c>
      <c r="C6" s="73">
        <v>22010</v>
      </c>
      <c r="D6" s="243">
        <v>5.5</v>
      </c>
      <c r="E6" s="67">
        <f>'Asotin Pgs 10-11'!C56</f>
        <v>0</v>
      </c>
      <c r="F6" s="67">
        <f>'Asotin Pgs 10-11'!D56</f>
        <v>159890</v>
      </c>
      <c r="G6" s="68">
        <f>'Asotin Pgs 10-11'!E56</f>
        <v>6211</v>
      </c>
      <c r="H6" s="67">
        <f>'Asotin Pgs 10-11'!F56</f>
        <v>182314</v>
      </c>
      <c r="I6" s="68">
        <f>'Asotin Pgs 10-11'!G56</f>
        <v>43270</v>
      </c>
      <c r="J6" s="53">
        <f>'Asotin Pgs 10-11'!H56</f>
        <v>40060</v>
      </c>
      <c r="K6" s="68">
        <f>'Asotin Pgs 10-11'!I56</f>
        <v>73797</v>
      </c>
      <c r="L6" s="52">
        <f>'Asotin Pgs 10-11'!J56</f>
        <v>48931</v>
      </c>
      <c r="M6" s="69">
        <f t="shared" ref="M6:M40" si="0">SUM(E6:L6)</f>
        <v>554473</v>
      </c>
      <c r="N6" s="247" t="s">
        <v>160</v>
      </c>
      <c r="O6" s="246" t="s">
        <v>160</v>
      </c>
    </row>
    <row r="7" spans="1:17" ht="15.75" customHeight="1" x14ac:dyDescent="0.35">
      <c r="A7" s="93" t="s">
        <v>81</v>
      </c>
      <c r="B7" s="161" t="s">
        <v>158</v>
      </c>
      <c r="C7" s="73">
        <f>188590+87150</f>
        <v>275740</v>
      </c>
      <c r="D7" s="244">
        <v>89.37</v>
      </c>
      <c r="E7" s="67">
        <f>'Benton-Franklin Pgs 12-13'!C56</f>
        <v>103743</v>
      </c>
      <c r="F7" s="67">
        <f>'Benton-Franklin Pgs 12-13'!D56</f>
        <v>1614337</v>
      </c>
      <c r="G7" s="68">
        <f>'Benton-Franklin Pgs 12-13'!E56</f>
        <v>124974</v>
      </c>
      <c r="H7" s="67">
        <f>'Benton-Franklin Pgs 12-13'!F56</f>
        <v>2247096</v>
      </c>
      <c r="I7" s="68">
        <f>'Benton-Franklin Pgs 12-13'!G56</f>
        <v>1272605</v>
      </c>
      <c r="J7" s="53">
        <f>'Benton-Franklin Pgs 12-13'!H56</f>
        <v>528407</v>
      </c>
      <c r="K7" s="68">
        <f>'Benton-Franklin Pgs 12-13'!I56</f>
        <v>2937110</v>
      </c>
      <c r="L7" s="52">
        <f>'Benton-Franklin Pgs 12-13'!J56</f>
        <v>86980</v>
      </c>
      <c r="M7" s="69">
        <f t="shared" si="0"/>
        <v>8915252</v>
      </c>
      <c r="N7" s="247" t="s">
        <v>160</v>
      </c>
      <c r="O7" s="232" t="s">
        <v>160</v>
      </c>
    </row>
    <row r="8" spans="1:17" ht="15.75" customHeight="1" x14ac:dyDescent="0.35">
      <c r="A8" s="93" t="s">
        <v>82</v>
      </c>
      <c r="B8" s="161" t="s">
        <v>158</v>
      </c>
      <c r="C8" s="73">
        <f>39990+75030</f>
        <v>115020</v>
      </c>
      <c r="D8" s="243">
        <v>31</v>
      </c>
      <c r="E8" s="67">
        <f>'Chelan-Douglas Pgs 14-15'!C56</f>
        <v>0</v>
      </c>
      <c r="F8" s="67">
        <f>'Chelan-Douglas Pgs 14-15'!D56</f>
        <v>399634</v>
      </c>
      <c r="G8" s="68">
        <f>'Chelan-Douglas Pgs 14-15'!E56</f>
        <v>71730</v>
      </c>
      <c r="H8" s="67">
        <f>'Chelan-Douglas Pgs 14-15'!F56</f>
        <v>663459</v>
      </c>
      <c r="I8" s="68">
        <f>'Chelan-Douglas Pgs 14-15'!G56</f>
        <v>208313</v>
      </c>
      <c r="J8" s="53">
        <f>'Chelan-Douglas Pgs 14-15'!H56</f>
        <v>457819</v>
      </c>
      <c r="K8" s="68">
        <f>'Chelan-Douglas Pgs 14-15'!I56</f>
        <v>1189416</v>
      </c>
      <c r="L8" s="52">
        <f>'Chelan-Douglas Pgs 14-15'!J56</f>
        <v>1440</v>
      </c>
      <c r="M8" s="69">
        <f t="shared" si="0"/>
        <v>2991811</v>
      </c>
      <c r="N8" s="247" t="s">
        <v>160</v>
      </c>
      <c r="O8" s="246" t="s">
        <v>160</v>
      </c>
    </row>
    <row r="9" spans="1:17" ht="15.75" customHeight="1" x14ac:dyDescent="0.35">
      <c r="A9" s="93" t="s">
        <v>86</v>
      </c>
      <c r="B9" s="161" t="s">
        <v>158</v>
      </c>
      <c r="C9" s="73">
        <v>72650</v>
      </c>
      <c r="D9" s="244">
        <v>24.38</v>
      </c>
      <c r="E9" s="67">
        <f>'Clallam Pgs 16-17'!C56</f>
        <v>124586</v>
      </c>
      <c r="F9" s="67">
        <f>'Clallam Pgs 16-17'!D56</f>
        <v>235048</v>
      </c>
      <c r="G9" s="68">
        <f>'Clallam Pgs 16-17'!E56</f>
        <v>140699</v>
      </c>
      <c r="H9" s="67">
        <f>'Clallam Pgs 16-17'!F56</f>
        <v>530159</v>
      </c>
      <c r="I9" s="68">
        <f>'Clallam Pgs 16-17'!G56</f>
        <v>358774</v>
      </c>
      <c r="J9" s="53">
        <f>'Clallam Pgs 16-17'!H56</f>
        <v>1144076</v>
      </c>
      <c r="K9" s="68">
        <f>'Clallam Pgs 16-17'!I56</f>
        <v>681809</v>
      </c>
      <c r="L9" s="52">
        <f>'Clallam Pgs 16-17'!J56</f>
        <v>149</v>
      </c>
      <c r="M9" s="69">
        <f t="shared" si="0"/>
        <v>3215300</v>
      </c>
      <c r="N9" s="247" t="s">
        <v>160</v>
      </c>
      <c r="O9" s="232" t="s">
        <v>160</v>
      </c>
    </row>
    <row r="10" spans="1:17" ht="15.75" customHeight="1" x14ac:dyDescent="0.35">
      <c r="A10" s="93" t="s">
        <v>87</v>
      </c>
      <c r="B10" s="161" t="s">
        <v>159</v>
      </c>
      <c r="C10" s="73">
        <v>451820</v>
      </c>
      <c r="D10" s="244">
        <v>84.6</v>
      </c>
      <c r="E10" s="45">
        <f>'Clark Pgs 18-19'!C56</f>
        <v>420700</v>
      </c>
      <c r="F10" s="45">
        <f>'Clark Pgs 18-19'!D56</f>
        <v>1767342</v>
      </c>
      <c r="G10" s="45">
        <f>'Clark Pgs 18-19'!E56</f>
        <v>21456</v>
      </c>
      <c r="H10" s="45">
        <f>'Clark Pgs 18-19'!F56</f>
        <v>1326197</v>
      </c>
      <c r="I10" s="45">
        <f>'Clark Pgs 18-19'!G56</f>
        <v>1024657</v>
      </c>
      <c r="J10" s="45">
        <f>'Clark Pgs 18-19'!H56</f>
        <v>1305848</v>
      </c>
      <c r="K10" s="45">
        <f>'Clark Pgs 18-19'!I56</f>
        <v>3472018</v>
      </c>
      <c r="L10" s="45">
        <f>'Clark Pgs 18-19'!J56</f>
        <v>966929</v>
      </c>
      <c r="M10" s="69">
        <f t="shared" si="0"/>
        <v>10305147</v>
      </c>
      <c r="N10" s="247" t="s">
        <v>160</v>
      </c>
      <c r="O10" s="246" t="s">
        <v>160</v>
      </c>
    </row>
    <row r="11" spans="1:17" ht="15.75" customHeight="1" x14ac:dyDescent="0.35">
      <c r="A11" s="93" t="s">
        <v>88</v>
      </c>
      <c r="B11" s="161" t="s">
        <v>158</v>
      </c>
      <c r="C11" s="73">
        <v>4090</v>
      </c>
      <c r="D11" s="244">
        <v>4.3</v>
      </c>
      <c r="E11" s="45">
        <f>'Columbia Pgs 20-21'!C56</f>
        <v>0</v>
      </c>
      <c r="F11" s="45">
        <f>'Columbia Pgs 20-21'!D56</f>
        <v>119991</v>
      </c>
      <c r="G11" s="45">
        <f>'Columbia Pgs 20-21'!E56</f>
        <v>1205</v>
      </c>
      <c r="H11" s="45">
        <f>'Columbia Pgs 20-21'!F56</f>
        <v>83858</v>
      </c>
      <c r="I11" s="45">
        <f>'Columbia Pgs 20-21'!G56</f>
        <v>38719</v>
      </c>
      <c r="J11" s="45">
        <f>'Columbia Pgs 20-21'!H56</f>
        <v>64054</v>
      </c>
      <c r="K11" s="45">
        <f>'Columbia Pgs 20-21'!I56</f>
        <v>43944</v>
      </c>
      <c r="L11" s="45">
        <f>'Columbia Pgs 20-21'!J56</f>
        <v>13879</v>
      </c>
      <c r="M11" s="69">
        <f t="shared" si="0"/>
        <v>365650</v>
      </c>
      <c r="N11" s="247" t="s">
        <v>160</v>
      </c>
      <c r="O11" s="246" t="s">
        <v>160</v>
      </c>
    </row>
    <row r="12" spans="1:17" ht="15.75" customHeight="1" x14ac:dyDescent="0.35">
      <c r="A12" s="93" t="s">
        <v>89</v>
      </c>
      <c r="B12" s="161" t="s">
        <v>159</v>
      </c>
      <c r="C12" s="73">
        <v>104280</v>
      </c>
      <c r="D12" s="244">
        <v>27.5</v>
      </c>
      <c r="E12" s="45">
        <f>'Cowlitz Pgs 22-23'!C56</f>
        <v>2405</v>
      </c>
      <c r="F12" s="45">
        <f>'Cowlitz Pgs 22-23'!D56</f>
        <v>360278.87</v>
      </c>
      <c r="G12" s="45">
        <f>'Cowlitz Pgs 22-23'!E56</f>
        <v>114943</v>
      </c>
      <c r="H12" s="45">
        <f>'Cowlitz Pgs 22-23'!F56</f>
        <v>166393</v>
      </c>
      <c r="I12" s="45">
        <f>'Cowlitz Pgs 22-23'!G56</f>
        <v>422626</v>
      </c>
      <c r="J12" s="45">
        <f>'Cowlitz Pgs 22-23'!H56</f>
        <v>331290.98</v>
      </c>
      <c r="K12" s="45">
        <f>'Cowlitz Pgs 22-23'!I56</f>
        <v>1037139</v>
      </c>
      <c r="L12" s="45">
        <f>'Cowlitz Pgs 22-23'!J56</f>
        <v>410804.02999999997</v>
      </c>
      <c r="M12" s="69">
        <f t="shared" si="0"/>
        <v>2845879.88</v>
      </c>
      <c r="N12" s="247" t="s">
        <v>160</v>
      </c>
      <c r="O12" s="246" t="s">
        <v>160</v>
      </c>
    </row>
    <row r="13" spans="1:17" ht="15.75" customHeight="1" x14ac:dyDescent="0.35">
      <c r="A13" s="93" t="s">
        <v>90</v>
      </c>
      <c r="B13" s="161" t="s">
        <v>159</v>
      </c>
      <c r="C13" s="73">
        <v>2260</v>
      </c>
      <c r="D13" s="244">
        <v>3.16</v>
      </c>
      <c r="E13" s="45">
        <f>'Garfield Pgs 24-25'!C56</f>
        <v>0</v>
      </c>
      <c r="F13" s="45">
        <f>'Garfield Pgs 24-25'!D56</f>
        <v>93154</v>
      </c>
      <c r="G13" s="45">
        <f>'Garfield Pgs 24-25'!E56</f>
        <v>1240</v>
      </c>
      <c r="H13" s="45">
        <f>'Garfield Pgs 24-25'!F56</f>
        <v>65809</v>
      </c>
      <c r="I13" s="45">
        <f>'Garfield Pgs 24-25'!G56</f>
        <v>0</v>
      </c>
      <c r="J13" s="45">
        <f>'Garfield Pgs 24-25'!H56</f>
        <v>32502</v>
      </c>
      <c r="K13" s="45">
        <f>'Garfield Pgs 24-25'!I56</f>
        <v>7532</v>
      </c>
      <c r="L13" s="45">
        <f>'Garfield Pgs 24-25'!J56</f>
        <v>30411</v>
      </c>
      <c r="M13" s="69">
        <f t="shared" si="0"/>
        <v>230648</v>
      </c>
      <c r="N13" s="247" t="s">
        <v>160</v>
      </c>
      <c r="O13" s="232" t="s">
        <v>160</v>
      </c>
    </row>
    <row r="14" spans="1:17" ht="15.75" customHeight="1" x14ac:dyDescent="0.35">
      <c r="A14" s="93" t="s">
        <v>91</v>
      </c>
      <c r="B14" s="161" t="s">
        <v>159</v>
      </c>
      <c r="C14" s="73">
        <v>93930</v>
      </c>
      <c r="D14" s="243">
        <v>23.52</v>
      </c>
      <c r="E14" s="45">
        <f>'Grant Pgs 26-27'!C56</f>
        <v>90059</v>
      </c>
      <c r="F14" s="45">
        <f>'Grant Pgs 26-27'!D56</f>
        <v>297761</v>
      </c>
      <c r="G14" s="45">
        <f>'Grant Pgs 26-27'!E56</f>
        <v>82537</v>
      </c>
      <c r="H14" s="45">
        <f>'Grant Pgs 26-27'!F56</f>
        <v>610982</v>
      </c>
      <c r="I14" s="45">
        <f>'Grant Pgs 26-27'!G56</f>
        <v>133550</v>
      </c>
      <c r="J14" s="45">
        <f>'Grant Pgs 26-27'!H56</f>
        <v>259501</v>
      </c>
      <c r="K14" s="45">
        <f>'Grant Pgs 26-27'!I56</f>
        <v>709484</v>
      </c>
      <c r="L14" s="45">
        <f>'Grant Pgs 26-27'!J56</f>
        <v>19138</v>
      </c>
      <c r="M14" s="69">
        <f t="shared" si="0"/>
        <v>2203012</v>
      </c>
      <c r="N14" s="247" t="s">
        <v>160</v>
      </c>
      <c r="O14" s="232" t="s">
        <v>160</v>
      </c>
    </row>
    <row r="15" spans="1:17" ht="15.75" customHeight="1" x14ac:dyDescent="0.35">
      <c r="A15" s="93" t="s">
        <v>92</v>
      </c>
      <c r="B15" s="161" t="s">
        <v>159</v>
      </c>
      <c r="C15" s="73">
        <v>73110</v>
      </c>
      <c r="D15" s="244">
        <v>26.2</v>
      </c>
      <c r="E15" s="45">
        <f>'Grays Harbor Pgs 28-29'!C56</f>
        <v>106275</v>
      </c>
      <c r="F15" s="45">
        <f>'Grays Harbor Pgs 28-29'!D56</f>
        <v>225156</v>
      </c>
      <c r="G15" s="45">
        <f>'Grays Harbor Pgs 28-29'!E56</f>
        <v>14567</v>
      </c>
      <c r="H15" s="45">
        <f>'Grays Harbor Pgs 28-29'!F56</f>
        <v>912978</v>
      </c>
      <c r="I15" s="45">
        <f>'Grays Harbor Pgs 28-29'!G56</f>
        <v>500426</v>
      </c>
      <c r="J15" s="45">
        <f>'Grays Harbor Pgs 28-29'!H56</f>
        <v>735942</v>
      </c>
      <c r="K15" s="45">
        <f>'Grays Harbor Pgs 28-29'!I56</f>
        <v>322928</v>
      </c>
      <c r="L15" s="45">
        <f>'Grays Harbor Pgs 28-29'!J56</f>
        <v>19239</v>
      </c>
      <c r="M15" s="69">
        <f t="shared" si="0"/>
        <v>2837511</v>
      </c>
      <c r="N15" s="247" t="s">
        <v>160</v>
      </c>
      <c r="O15" s="246" t="s">
        <v>160</v>
      </c>
    </row>
    <row r="16" spans="1:17" ht="15.75" customHeight="1" x14ac:dyDescent="0.35">
      <c r="A16" s="93" t="s">
        <v>93</v>
      </c>
      <c r="B16" s="161" t="s">
        <v>159</v>
      </c>
      <c r="C16" s="73">
        <v>80600</v>
      </c>
      <c r="D16" s="243">
        <v>40</v>
      </c>
      <c r="E16" s="45">
        <f>'Island Pgs 30-31'!C56</f>
        <v>58465</v>
      </c>
      <c r="F16" s="45">
        <f>'Island Pgs 30-31'!D56</f>
        <v>255224</v>
      </c>
      <c r="G16" s="45">
        <f>'Island Pgs 30-31'!E56</f>
        <v>128445</v>
      </c>
      <c r="H16" s="45">
        <f>'Island Pgs 30-31'!F56</f>
        <v>603744</v>
      </c>
      <c r="I16" s="45">
        <f>'Island Pgs 30-31'!G56</f>
        <v>411761</v>
      </c>
      <c r="J16" s="45">
        <f>'Island Pgs 30-31'!H56</f>
        <v>448078</v>
      </c>
      <c r="K16" s="45">
        <f>'Island Pgs 30-31'!I56</f>
        <v>1620561</v>
      </c>
      <c r="L16" s="45">
        <f>'Island Pgs 30-31'!J56</f>
        <v>2336</v>
      </c>
      <c r="M16" s="69">
        <f t="shared" si="0"/>
        <v>3528614</v>
      </c>
      <c r="N16" s="247" t="s">
        <v>160</v>
      </c>
      <c r="O16" s="246" t="s">
        <v>160</v>
      </c>
      <c r="Q16">
        <v>28</v>
      </c>
    </row>
    <row r="17" spans="1:21" ht="15.75" customHeight="1" x14ac:dyDescent="0.35">
      <c r="A17" s="93" t="s">
        <v>94</v>
      </c>
      <c r="B17" s="161" t="s">
        <v>158</v>
      </c>
      <c r="C17" s="73">
        <v>30880</v>
      </c>
      <c r="D17" s="243">
        <v>33.590000000000003</v>
      </c>
      <c r="E17" s="45">
        <f>'Jefferson Pgs 32-33'!C56</f>
        <v>153963</v>
      </c>
      <c r="F17" s="45">
        <f>'Jefferson Pgs 32-33'!D56</f>
        <v>184080</v>
      </c>
      <c r="G17" s="45">
        <f>'Jefferson Pgs 32-33'!E56</f>
        <v>428357</v>
      </c>
      <c r="H17" s="45">
        <f>'Jefferson Pgs 32-33'!F56</f>
        <v>365599</v>
      </c>
      <c r="I17" s="45">
        <f>'Jefferson Pgs 32-33'!G56</f>
        <v>417743</v>
      </c>
      <c r="J17" s="45">
        <f>'Jefferson Pgs 32-33'!H56</f>
        <v>780081</v>
      </c>
      <c r="K17" s="45">
        <f>'Jefferson Pgs 32-33'!I56</f>
        <v>1567158</v>
      </c>
      <c r="L17" s="45">
        <f>'Jefferson Pgs 32-33'!J56</f>
        <v>302735</v>
      </c>
      <c r="M17" s="69">
        <f t="shared" si="0"/>
        <v>4199716</v>
      </c>
      <c r="N17" s="247" t="s">
        <v>160</v>
      </c>
      <c r="O17" s="232" t="s">
        <v>160</v>
      </c>
    </row>
    <row r="18" spans="1:21" ht="15.75" customHeight="1" x14ac:dyDescent="0.35">
      <c r="A18" s="93" t="s">
        <v>95</v>
      </c>
      <c r="B18" s="161" t="s">
        <v>158</v>
      </c>
      <c r="C18" s="73">
        <v>258200</v>
      </c>
      <c r="D18" s="243">
        <v>96</v>
      </c>
      <c r="E18" s="45">
        <f>'Kitsap Pgs 34-35'!C56</f>
        <v>467814</v>
      </c>
      <c r="F18" s="45">
        <f>'Kitsap Pgs 34-35'!D56</f>
        <v>997474</v>
      </c>
      <c r="G18" s="45">
        <f>'Kitsap Pgs 34-35'!E56</f>
        <v>688497</v>
      </c>
      <c r="H18" s="45">
        <f>'Kitsap Pgs 34-35'!F56</f>
        <v>978983</v>
      </c>
      <c r="I18" s="45">
        <f>'Kitsap Pgs 34-35'!G56</f>
        <v>369064</v>
      </c>
      <c r="J18" s="45">
        <f>'Kitsap Pgs 34-35'!H56</f>
        <v>2041232</v>
      </c>
      <c r="K18" s="45">
        <f>'Kitsap Pgs 34-35'!I56</f>
        <v>5164291</v>
      </c>
      <c r="L18" s="45">
        <f>'Kitsap Pgs 34-35'!J56</f>
        <v>148095</v>
      </c>
      <c r="M18" s="69">
        <f t="shared" si="0"/>
        <v>10855450</v>
      </c>
      <c r="N18" s="247" t="s">
        <v>160</v>
      </c>
      <c r="O18" s="246" t="s">
        <v>160</v>
      </c>
    </row>
    <row r="19" spans="1:21" ht="15.75" customHeight="1" x14ac:dyDescent="0.35">
      <c r="A19" s="93" t="s">
        <v>96</v>
      </c>
      <c r="B19" s="161" t="s">
        <v>159</v>
      </c>
      <c r="C19" s="73">
        <v>42670</v>
      </c>
      <c r="D19" s="243">
        <v>17.100000000000001</v>
      </c>
      <c r="E19" s="45">
        <f>'Kittitas Pgs 36-37'!C56</f>
        <v>0</v>
      </c>
      <c r="F19" s="45">
        <f>'Kittitas Pgs 36-37'!D56</f>
        <v>226284</v>
      </c>
      <c r="G19" s="45">
        <f>'Kittitas Pgs 36-37'!E56</f>
        <v>109955</v>
      </c>
      <c r="H19" s="45">
        <f>'Kittitas Pgs 36-37'!F56</f>
        <v>132759</v>
      </c>
      <c r="I19" s="45">
        <f>'Kittitas Pgs 36-37'!G56</f>
        <v>87892</v>
      </c>
      <c r="J19" s="45">
        <f>'Kittitas Pgs 36-37'!H56</f>
        <v>268062</v>
      </c>
      <c r="K19" s="45">
        <f>'Kittitas Pgs 36-37'!I56</f>
        <v>653944</v>
      </c>
      <c r="L19" s="45">
        <f>'Kittitas Pgs 36-37'!J56</f>
        <v>-4867</v>
      </c>
      <c r="M19" s="69">
        <f t="shared" si="0"/>
        <v>1474029</v>
      </c>
      <c r="N19" s="247" t="s">
        <v>160</v>
      </c>
      <c r="O19" s="250" t="s">
        <v>160</v>
      </c>
    </row>
    <row r="20" spans="1:21" ht="15.75" customHeight="1" x14ac:dyDescent="0.35">
      <c r="A20" s="93" t="s">
        <v>97</v>
      </c>
      <c r="B20" s="161" t="s">
        <v>159</v>
      </c>
      <c r="C20" s="73">
        <v>21000</v>
      </c>
      <c r="D20" s="243">
        <v>12.4</v>
      </c>
      <c r="E20" s="45">
        <f>'Klickitat Pgs 38-39'!C56</f>
        <v>46096</v>
      </c>
      <c r="F20" s="45">
        <f>'Klickitat Pgs 38-39'!D56</f>
        <v>153784</v>
      </c>
      <c r="G20" s="45">
        <f>'Klickitat Pgs 38-39'!E56</f>
        <v>185404</v>
      </c>
      <c r="H20" s="45">
        <f>'Klickitat Pgs 38-39'!F56</f>
        <v>206206</v>
      </c>
      <c r="I20" s="45">
        <f>'Klickitat Pgs 38-39'!G56</f>
        <v>177939</v>
      </c>
      <c r="J20" s="45">
        <f>'Klickitat Pgs 38-39'!H56</f>
        <v>41808</v>
      </c>
      <c r="K20" s="45">
        <f>'Klickitat Pgs 38-39'!I56</f>
        <v>705153</v>
      </c>
      <c r="L20" s="45">
        <f>'Klickitat Pgs 38-39'!J56</f>
        <v>0</v>
      </c>
      <c r="M20" s="69">
        <f t="shared" si="0"/>
        <v>1516390</v>
      </c>
      <c r="N20" s="247" t="s">
        <v>160</v>
      </c>
      <c r="O20" s="250" t="s">
        <v>160</v>
      </c>
    </row>
    <row r="21" spans="1:21" ht="15.75" customHeight="1" x14ac:dyDescent="0.35">
      <c r="A21" s="93" t="s">
        <v>98</v>
      </c>
      <c r="B21" s="161" t="s">
        <v>159</v>
      </c>
      <c r="C21" s="73">
        <v>76660</v>
      </c>
      <c r="D21" s="244">
        <v>27.36</v>
      </c>
      <c r="E21" s="45">
        <f>'Lewis Pgs 40-41'!C56</f>
        <v>0</v>
      </c>
      <c r="F21" s="45">
        <f>'Lewis Pgs 40-41'!D56</f>
        <v>263134</v>
      </c>
      <c r="G21" s="45">
        <f>'Lewis Pgs 40-41'!E56</f>
        <v>1000601</v>
      </c>
      <c r="H21" s="45">
        <f>'Lewis Pgs 40-41'!F56</f>
        <v>852929</v>
      </c>
      <c r="I21" s="45">
        <f>'Lewis Pgs 40-41'!G56</f>
        <v>416412</v>
      </c>
      <c r="J21" s="45">
        <f>'Lewis Pgs 40-41'!H56</f>
        <v>679776</v>
      </c>
      <c r="K21" s="45">
        <f>'Lewis Pgs 40-41'!I56</f>
        <v>1892042</v>
      </c>
      <c r="L21" s="45">
        <f>'Lewis Pgs 40-41'!J56</f>
        <v>18121</v>
      </c>
      <c r="M21" s="69">
        <f t="shared" si="0"/>
        <v>5123015</v>
      </c>
      <c r="N21" s="247" t="s">
        <v>160</v>
      </c>
      <c r="O21" s="232" t="s">
        <v>160</v>
      </c>
    </row>
    <row r="22" spans="1:21" ht="15.75" customHeight="1" x14ac:dyDescent="0.35">
      <c r="A22" s="93" t="s">
        <v>99</v>
      </c>
      <c r="B22" s="161" t="s">
        <v>159</v>
      </c>
      <c r="C22" s="73">
        <v>10720</v>
      </c>
      <c r="D22" s="244">
        <v>6.3</v>
      </c>
      <c r="E22" s="45">
        <f>'Lincoln Pgs 42-43'!C56</f>
        <v>0</v>
      </c>
      <c r="F22" s="45">
        <f>'Lincoln Pgs 42-43'!D56</f>
        <v>113917</v>
      </c>
      <c r="G22" s="45">
        <f>'Lincoln Pgs 42-43'!E56</f>
        <v>12206</v>
      </c>
      <c r="H22" s="45">
        <f>'Lincoln Pgs 42-43'!F56</f>
        <v>144920</v>
      </c>
      <c r="I22" s="45">
        <f>'Lincoln Pgs 42-43'!G56</f>
        <v>27545</v>
      </c>
      <c r="J22" s="45">
        <f>'Lincoln Pgs 42-43'!H56</f>
        <v>139011</v>
      </c>
      <c r="K22" s="45">
        <f>'Lincoln Pgs 42-43'!I56</f>
        <v>98449</v>
      </c>
      <c r="L22" s="45">
        <f>'Lincoln Pgs 42-43'!J56</f>
        <v>45003</v>
      </c>
      <c r="M22" s="69">
        <f t="shared" si="0"/>
        <v>581051</v>
      </c>
      <c r="N22" s="247" t="s">
        <v>160</v>
      </c>
      <c r="O22" s="246" t="s">
        <v>160</v>
      </c>
    </row>
    <row r="23" spans="1:21" ht="15.75" customHeight="1" x14ac:dyDescent="0.35">
      <c r="A23" s="93" t="s">
        <v>100</v>
      </c>
      <c r="B23" s="161" t="s">
        <v>159</v>
      </c>
      <c r="C23" s="73">
        <v>62200</v>
      </c>
      <c r="D23" s="244">
        <v>20.2</v>
      </c>
      <c r="E23" s="45">
        <f>'Mason Pgs 44-45'!C56</f>
        <v>71755</v>
      </c>
      <c r="F23" s="45">
        <f>'Mason Pgs 44-45'!D56</f>
        <v>227447</v>
      </c>
      <c r="G23" s="45">
        <f>'Mason Pgs 44-45'!E56</f>
        <v>158962</v>
      </c>
      <c r="H23" s="45">
        <f>'Mason Pgs 44-45'!F56</f>
        <v>492816</v>
      </c>
      <c r="I23" s="45">
        <f>'Mason Pgs 44-45'!G56</f>
        <v>417311</v>
      </c>
      <c r="J23" s="45">
        <f>'Mason Pgs 44-45'!H56</f>
        <v>232095</v>
      </c>
      <c r="K23" s="45">
        <f>'Mason Pgs 44-45'!I56</f>
        <v>525067</v>
      </c>
      <c r="L23" s="45">
        <f>'Mason Pgs 44-45'!J56</f>
        <v>170671</v>
      </c>
      <c r="M23" s="69">
        <f t="shared" si="0"/>
        <v>2296124</v>
      </c>
      <c r="N23" s="247" t="s">
        <v>160</v>
      </c>
      <c r="O23" s="246" t="s">
        <v>160</v>
      </c>
    </row>
    <row r="24" spans="1:21" ht="15.75" customHeight="1" x14ac:dyDescent="0.35">
      <c r="A24" s="93" t="s">
        <v>101</v>
      </c>
      <c r="B24" s="161" t="s">
        <v>159</v>
      </c>
      <c r="C24" s="73">
        <f>7710+13240+44030</f>
        <v>64980</v>
      </c>
      <c r="D24" s="244">
        <v>23.01</v>
      </c>
      <c r="E24" s="45">
        <f>'Northeast Tri Pgs 46-47'!C56</f>
        <v>64529</v>
      </c>
      <c r="F24" s="45">
        <f>'Northeast Tri Pgs 46-47'!D56</f>
        <v>249303</v>
      </c>
      <c r="G24" s="45">
        <f>'Northeast Tri Pgs 46-47'!E56</f>
        <v>65180</v>
      </c>
      <c r="H24" s="45">
        <f>'Northeast Tri Pgs 46-47'!F56</f>
        <v>443703</v>
      </c>
      <c r="I24" s="45">
        <f>'Northeast Tri Pgs 46-47'!G56</f>
        <v>86029</v>
      </c>
      <c r="J24" s="45">
        <f>'Northeast Tri Pgs 46-47'!H56</f>
        <v>793390</v>
      </c>
      <c r="K24" s="45">
        <f>'Northeast Tri Pgs 46-47'!I56</f>
        <v>362864</v>
      </c>
      <c r="L24" s="45">
        <f>'Northeast Tri Pgs 46-47'!J56</f>
        <v>103274</v>
      </c>
      <c r="M24" s="69">
        <f t="shared" si="0"/>
        <v>2168272</v>
      </c>
      <c r="N24" s="247" t="s">
        <v>160</v>
      </c>
      <c r="O24" s="232" t="s">
        <v>160</v>
      </c>
    </row>
    <row r="25" spans="1:21" ht="15.75" customHeight="1" x14ac:dyDescent="0.35">
      <c r="A25" s="93" t="s">
        <v>102</v>
      </c>
      <c r="B25" s="161" t="s">
        <v>159</v>
      </c>
      <c r="C25" s="73">
        <v>41860</v>
      </c>
      <c r="D25" s="243">
        <v>12.27</v>
      </c>
      <c r="E25" s="45">
        <f>'Okanogan Pgs 48-49'!C56</f>
        <v>4448</v>
      </c>
      <c r="F25" s="45">
        <f>'Okanogan Pgs 48-49'!D56</f>
        <v>169882</v>
      </c>
      <c r="G25" s="45">
        <f>'Okanogan Pgs 48-49'!E56</f>
        <v>124275</v>
      </c>
      <c r="H25" s="45">
        <f>'Okanogan Pgs 48-49'!F56</f>
        <v>118086</v>
      </c>
      <c r="I25" s="45">
        <f>'Okanogan Pgs 48-49'!G56</f>
        <v>113554</v>
      </c>
      <c r="J25" s="45">
        <f>'Okanogan Pgs 48-49'!H56</f>
        <v>120176</v>
      </c>
      <c r="K25" s="45">
        <f>'Okanogan Pgs 48-49'!I56</f>
        <v>416520</v>
      </c>
      <c r="L25" s="45">
        <f>'Okanogan Pgs 48-49'!J56</f>
        <v>13154</v>
      </c>
      <c r="M25" s="69">
        <f t="shared" si="0"/>
        <v>1080095</v>
      </c>
      <c r="N25" s="247" t="s">
        <v>160</v>
      </c>
      <c r="O25" s="249" t="s">
        <v>160</v>
      </c>
    </row>
    <row r="26" spans="1:21" ht="15.75" customHeight="1" x14ac:dyDescent="0.35">
      <c r="A26" s="93" t="s">
        <v>103</v>
      </c>
      <c r="B26" s="161" t="s">
        <v>158</v>
      </c>
      <c r="C26" s="73">
        <v>21210</v>
      </c>
      <c r="D26" s="244">
        <v>12.77</v>
      </c>
      <c r="E26" s="45">
        <f>'Pacific Pgs 50-51'!C56</f>
        <v>22737</v>
      </c>
      <c r="F26" s="45">
        <f>'Pacific Pgs 50-51'!D56</f>
        <v>169075</v>
      </c>
      <c r="G26" s="45">
        <f>'Pacific Pgs 50-51'!E56</f>
        <v>141897</v>
      </c>
      <c r="H26" s="45">
        <f>'Pacific Pgs 50-51'!F56</f>
        <v>337328</v>
      </c>
      <c r="I26" s="45">
        <f>'Pacific Pgs 50-51'!G56</f>
        <v>98200</v>
      </c>
      <c r="J26" s="45">
        <f>'Pacific Pgs 50-51'!H56</f>
        <v>82336</v>
      </c>
      <c r="K26" s="45">
        <f>'Pacific Pgs 50-51'!I56</f>
        <v>15697</v>
      </c>
      <c r="L26" s="45">
        <f>'Pacific Pgs 50-51'!J56</f>
        <v>15426</v>
      </c>
      <c r="M26" s="69">
        <f t="shared" si="0"/>
        <v>882696</v>
      </c>
      <c r="N26" s="247" t="s">
        <v>160</v>
      </c>
      <c r="O26" s="249" t="s">
        <v>160</v>
      </c>
    </row>
    <row r="27" spans="1:21" ht="15.75" customHeight="1" x14ac:dyDescent="0.35">
      <c r="A27" s="93" t="s">
        <v>104</v>
      </c>
      <c r="B27" s="161" t="s">
        <v>159</v>
      </c>
      <c r="C27" s="73">
        <v>16180</v>
      </c>
      <c r="D27" s="244">
        <v>25.58</v>
      </c>
      <c r="E27" s="45">
        <f>'San Juan Pgs 52-53'!C56</f>
        <v>58343</v>
      </c>
      <c r="F27" s="45">
        <f>'San Juan Pgs 52-53'!D56</f>
        <v>126568</v>
      </c>
      <c r="G27" s="45">
        <f>'San Juan Pgs 52-53'!E56</f>
        <v>952801</v>
      </c>
      <c r="H27" s="45">
        <f>'San Juan Pgs 52-53'!F56</f>
        <v>424014</v>
      </c>
      <c r="I27" s="45">
        <f>'San Juan Pgs 52-53'!G56</f>
        <v>227529</v>
      </c>
      <c r="J27" s="45">
        <f>'San Juan Pgs 52-53'!H56</f>
        <v>1186435</v>
      </c>
      <c r="K27" s="45">
        <f>'San Juan Pgs 52-53'!I56</f>
        <v>775017</v>
      </c>
      <c r="L27" s="45">
        <f>'San Juan Pgs 52-53'!J56</f>
        <v>32708</v>
      </c>
      <c r="M27" s="69">
        <f t="shared" si="0"/>
        <v>3783415</v>
      </c>
      <c r="N27" s="247" t="s">
        <v>160</v>
      </c>
      <c r="O27" s="232" t="s">
        <v>160</v>
      </c>
    </row>
    <row r="28" spans="1:21" ht="15.75" customHeight="1" x14ac:dyDescent="0.35">
      <c r="A28" s="93" t="s">
        <v>105</v>
      </c>
      <c r="B28" s="161" t="s">
        <v>159</v>
      </c>
      <c r="C28" s="73">
        <v>2052800</v>
      </c>
      <c r="D28" s="243">
        <v>1295</v>
      </c>
      <c r="E28" s="45">
        <f>'Seattle-King Pgs 54-55'!C56</f>
        <v>6065088</v>
      </c>
      <c r="F28" s="45">
        <f>'Seattle-King Pgs 54-55'!D56</f>
        <v>12685521</v>
      </c>
      <c r="G28" s="45">
        <f>'Seattle-King Pgs 54-55'!E56</f>
        <v>1775757</v>
      </c>
      <c r="H28" s="45">
        <f>'Seattle-King Pgs 54-55'!F56</f>
        <v>21261260</v>
      </c>
      <c r="I28" s="45">
        <f>'Seattle-King Pgs 54-55'!G56</f>
        <v>12013351</v>
      </c>
      <c r="J28" s="45">
        <f>'Seattle-King Pgs 54-55'!H56</f>
        <v>52966773</v>
      </c>
      <c r="K28" s="45">
        <f>'Seattle-King Pgs 54-55'!I56</f>
        <v>73371847</v>
      </c>
      <c r="L28" s="45">
        <f>'Seattle-King Pgs 54-55'!J56</f>
        <v>5368566</v>
      </c>
      <c r="M28" s="69">
        <f t="shared" si="0"/>
        <v>185508163</v>
      </c>
      <c r="N28" s="247" t="s">
        <v>160</v>
      </c>
      <c r="O28" s="246" t="s">
        <v>160</v>
      </c>
    </row>
    <row r="29" spans="1:21" ht="15.75" customHeight="1" x14ac:dyDescent="0.35">
      <c r="A29" s="93" t="s">
        <v>106</v>
      </c>
      <c r="B29" s="161" t="s">
        <v>159</v>
      </c>
      <c r="C29" s="73">
        <v>120620</v>
      </c>
      <c r="D29" s="243">
        <v>33.03</v>
      </c>
      <c r="E29" s="45">
        <f>'Skagit Pgs 56-57'!C56</f>
        <v>60283</v>
      </c>
      <c r="F29" s="45">
        <f>'Skagit Pgs 56-57'!D56</f>
        <v>449746</v>
      </c>
      <c r="G29" s="45">
        <f>'Skagit Pgs 56-57'!E56</f>
        <v>249577</v>
      </c>
      <c r="H29" s="45">
        <f>'Skagit Pgs 56-57'!F56</f>
        <v>351326</v>
      </c>
      <c r="I29" s="45">
        <f>'Skagit Pgs 56-57'!G56</f>
        <v>475631</v>
      </c>
      <c r="J29" s="45">
        <f>'Skagit Pgs 56-57'!H56</f>
        <v>1213313</v>
      </c>
      <c r="K29" s="45">
        <f>'Skagit Pgs 56-57'!I56</f>
        <v>971588</v>
      </c>
      <c r="L29" s="45" t="s">
        <v>160</v>
      </c>
      <c r="M29" s="69">
        <f t="shared" si="0"/>
        <v>3771464</v>
      </c>
      <c r="N29" s="247" t="s">
        <v>160</v>
      </c>
      <c r="O29" s="232" t="s">
        <v>160</v>
      </c>
      <c r="P29">
        <f>'San Juan Pgs 52-53'!N58</f>
        <v>0</v>
      </c>
      <c r="Q29">
        <f>'San Juan Pgs 52-53'!O58</f>
        <v>0</v>
      </c>
      <c r="R29">
        <f>'San Juan Pgs 52-53'!P58</f>
        <v>0</v>
      </c>
      <c r="S29" t="s">
        <v>160</v>
      </c>
      <c r="T29" t="s">
        <v>160</v>
      </c>
      <c r="U29" t="s">
        <v>160</v>
      </c>
    </row>
    <row r="30" spans="1:21" ht="15.75" customHeight="1" x14ac:dyDescent="0.35">
      <c r="A30" s="93" t="s">
        <v>107</v>
      </c>
      <c r="B30" s="161" t="s">
        <v>158</v>
      </c>
      <c r="C30" s="73">
        <v>11430</v>
      </c>
      <c r="D30" s="244">
        <v>2.09</v>
      </c>
      <c r="E30" s="45">
        <f>'Skamania Pgs 58-59'!C56</f>
        <v>16298</v>
      </c>
      <c r="F30" s="45">
        <f>'Skamania Pgs 58-59'!D56</f>
        <v>95036</v>
      </c>
      <c r="G30" s="45">
        <f>'Skamania Pgs 58-59'!E56</f>
        <v>146157</v>
      </c>
      <c r="H30" s="45">
        <f>'Skamania Pgs 58-59'!F56</f>
        <v>94867</v>
      </c>
      <c r="I30" s="45">
        <f>'Skamania Pgs 58-59'!G56</f>
        <v>36468</v>
      </c>
      <c r="J30" s="45">
        <f>'Skamania Pgs 58-59'!H56</f>
        <v>282260</v>
      </c>
      <c r="K30" s="45">
        <f>'Skamania Pgs 58-59'!I56</f>
        <v>1023572</v>
      </c>
      <c r="L30" s="45">
        <f>'Skamania Pgs 58-59'!J56</f>
        <v>122586</v>
      </c>
      <c r="M30" s="69">
        <f t="shared" si="0"/>
        <v>1817244</v>
      </c>
      <c r="N30" s="247" t="s">
        <v>160</v>
      </c>
      <c r="O30" s="232" t="s">
        <v>160</v>
      </c>
    </row>
    <row r="31" spans="1:21" ht="15.75" customHeight="1" x14ac:dyDescent="0.35">
      <c r="A31" s="93" t="s">
        <v>108</v>
      </c>
      <c r="B31" s="161" t="s">
        <v>159</v>
      </c>
      <c r="C31" s="73">
        <v>757600</v>
      </c>
      <c r="D31" s="244">
        <v>132.4</v>
      </c>
      <c r="E31" s="45">
        <f>'Snohomish Pgs 60-61'!C56</f>
        <v>165547</v>
      </c>
      <c r="F31" s="45">
        <f>'Snohomish Pgs 60-61'!D56</f>
        <v>3433291</v>
      </c>
      <c r="G31" s="45">
        <f>'Snohomish Pgs 60-61'!E56</f>
        <v>434316</v>
      </c>
      <c r="H31" s="45">
        <f>'Snohomish Pgs 60-61'!F56</f>
        <v>2888761</v>
      </c>
      <c r="I31" s="45">
        <f>'Snohomish Pgs 60-61'!G56</f>
        <v>166935</v>
      </c>
      <c r="J31" s="45">
        <f>'Snohomish Pgs 60-61'!H56</f>
        <v>2936843</v>
      </c>
      <c r="K31" s="45">
        <f>'Snohomish Pgs 60-61'!I56</f>
        <v>4811895</v>
      </c>
      <c r="L31" s="45">
        <f>'Snohomish Pgs 60-61'!J56</f>
        <v>710834</v>
      </c>
      <c r="M31" s="69">
        <f t="shared" si="0"/>
        <v>15548422</v>
      </c>
      <c r="N31" s="247" t="s">
        <v>160</v>
      </c>
      <c r="O31" s="246" t="s">
        <v>160</v>
      </c>
    </row>
    <row r="32" spans="1:21" ht="15.75" customHeight="1" x14ac:dyDescent="0.35">
      <c r="A32" s="93" t="s">
        <v>109</v>
      </c>
      <c r="B32" s="161" t="s">
        <v>159</v>
      </c>
      <c r="C32" s="73">
        <v>488310</v>
      </c>
      <c r="D32" s="244">
        <v>213.12</v>
      </c>
      <c r="E32" s="45">
        <f>'Spokane Pgs 62-63'!C56</f>
        <v>547469</v>
      </c>
      <c r="F32" s="45">
        <f>'Spokane Pgs 62-63'!D56</f>
        <v>2874682</v>
      </c>
      <c r="G32" s="45">
        <f>'Spokane Pgs 62-63'!E56</f>
        <v>4544518</v>
      </c>
      <c r="H32" s="45">
        <f>'Spokane Pgs 62-63'!F56</f>
        <v>4838605</v>
      </c>
      <c r="I32" s="45">
        <f>'Spokane Pgs 62-63'!G56</f>
        <v>2098246</v>
      </c>
      <c r="J32" s="45">
        <f>'Spokane Pgs 62-63'!H56</f>
        <v>2745896</v>
      </c>
      <c r="K32" s="45">
        <f>'Spokane Pgs 62-63'!I56</f>
        <v>6336271</v>
      </c>
      <c r="L32" s="45">
        <f>'Spokane Pgs 62-63'!J56</f>
        <v>406081</v>
      </c>
      <c r="M32" s="69">
        <f t="shared" si="0"/>
        <v>24391768</v>
      </c>
      <c r="N32" s="247" t="s">
        <v>160</v>
      </c>
      <c r="O32" s="232" t="s">
        <v>160</v>
      </c>
    </row>
    <row r="33" spans="1:16" ht="15.75" customHeight="1" x14ac:dyDescent="0.35">
      <c r="A33" s="93" t="s">
        <v>110</v>
      </c>
      <c r="B33" s="161" t="s">
        <v>159</v>
      </c>
      <c r="C33" s="73">
        <v>830120</v>
      </c>
      <c r="D33" s="243">
        <v>253.3</v>
      </c>
      <c r="E33" s="45">
        <f>'Tacoma-Pierce Pgs 64-65'!C56</f>
        <v>297587</v>
      </c>
      <c r="F33" s="45">
        <f>'Tacoma-Pierce Pgs 64-65'!D56</f>
        <v>4121919</v>
      </c>
      <c r="G33" s="45">
        <f>'Tacoma-Pierce Pgs 64-65'!E56</f>
        <v>2458263</v>
      </c>
      <c r="H33" s="45">
        <f>'Tacoma-Pierce Pgs 64-65'!F56</f>
        <v>2776482</v>
      </c>
      <c r="I33" s="45">
        <f>'Tacoma-Pierce Pgs 64-65'!G56</f>
        <v>1633255</v>
      </c>
      <c r="J33" s="45">
        <f>'Tacoma-Pierce Pgs 64-65'!H56</f>
        <v>5380810</v>
      </c>
      <c r="K33" s="45">
        <f>'Tacoma-Pierce Pgs 64-65'!I56</f>
        <v>11916225</v>
      </c>
      <c r="L33" s="45">
        <f>'Tacoma-Pierce Pgs 64-65'!J56</f>
        <v>1066824</v>
      </c>
      <c r="M33" s="69">
        <f t="shared" si="0"/>
        <v>29651365</v>
      </c>
      <c r="N33" s="247" t="s">
        <v>160</v>
      </c>
      <c r="O33" s="246" t="s">
        <v>160</v>
      </c>
    </row>
    <row r="34" spans="1:16" ht="15.75" customHeight="1" x14ac:dyDescent="0.35">
      <c r="A34" s="93" t="s">
        <v>111</v>
      </c>
      <c r="B34" s="161" t="s">
        <v>159</v>
      </c>
      <c r="C34" s="73">
        <v>267410</v>
      </c>
      <c r="D34" s="243">
        <v>66.95</v>
      </c>
      <c r="E34" s="45">
        <f>'Thurston Pgs 66-67'!C56</f>
        <v>113148</v>
      </c>
      <c r="F34" s="45">
        <f>'Thurston Pgs 66-67'!D56</f>
        <v>921665</v>
      </c>
      <c r="G34" s="45">
        <f>'Thurston Pgs 66-67'!E56</f>
        <v>166055</v>
      </c>
      <c r="H34" s="45">
        <f>'Thurston Pgs 66-67'!F56</f>
        <v>563851</v>
      </c>
      <c r="I34" s="45">
        <f>'Thurston Pgs 66-67'!G56</f>
        <v>530690</v>
      </c>
      <c r="J34" s="45">
        <f>'Thurston Pgs 66-67'!H56</f>
        <v>2742840</v>
      </c>
      <c r="K34" s="45">
        <f>'Thurston Pgs 66-67'!I56</f>
        <v>2908862</v>
      </c>
      <c r="L34" s="45">
        <f>'Thurston Pgs 66-67'!J56</f>
        <v>12911</v>
      </c>
      <c r="M34" s="69">
        <f t="shared" si="0"/>
        <v>7960022</v>
      </c>
      <c r="N34" s="247" t="s">
        <v>160</v>
      </c>
      <c r="O34" s="232" t="s">
        <v>160</v>
      </c>
    </row>
    <row r="35" spans="1:16" ht="15.75" customHeight="1" x14ac:dyDescent="0.35">
      <c r="A35" s="93" t="s">
        <v>112</v>
      </c>
      <c r="B35" s="161" t="s">
        <v>158</v>
      </c>
      <c r="C35" s="73">
        <v>3980</v>
      </c>
      <c r="D35" s="243">
        <v>3</v>
      </c>
      <c r="E35" s="45">
        <f>'Wahkiakum Pgs 68-69'!C56</f>
        <v>0</v>
      </c>
      <c r="F35" s="45">
        <f>'Wahkiakum Pgs 68-69'!D56</f>
        <v>93181</v>
      </c>
      <c r="G35" s="45">
        <f>'Wahkiakum Pgs 68-69'!E56</f>
        <v>8191</v>
      </c>
      <c r="H35" s="45">
        <f>'Wahkiakum Pgs 68-69'!F56</f>
        <v>69085</v>
      </c>
      <c r="I35" s="45">
        <f>'Wahkiakum Pgs 68-69'!G56</f>
        <v>0</v>
      </c>
      <c r="J35" s="45">
        <f>'Wahkiakum Pgs 68-69'!H56</f>
        <v>56696</v>
      </c>
      <c r="K35" s="45">
        <f>'Wahkiakum Pgs 68-69'!I56</f>
        <v>31420</v>
      </c>
      <c r="L35" s="45">
        <f>'Wahkiakum Pgs 68-69'!J56</f>
        <v>16949</v>
      </c>
      <c r="M35" s="69">
        <f t="shared" si="0"/>
        <v>275522</v>
      </c>
      <c r="N35" s="247" t="s">
        <v>160</v>
      </c>
      <c r="O35" s="246" t="s">
        <v>160</v>
      </c>
    </row>
    <row r="36" spans="1:16" ht="15.75" customHeight="1" x14ac:dyDescent="0.35">
      <c r="A36" s="93" t="s">
        <v>113</v>
      </c>
      <c r="B36" s="161" t="s">
        <v>159</v>
      </c>
      <c r="C36" s="73">
        <v>60650</v>
      </c>
      <c r="D36" s="243">
        <v>23.36</v>
      </c>
      <c r="E36" s="45">
        <f>'Walla Walla Pgs 70-71'!C56</f>
        <v>6079</v>
      </c>
      <c r="F36" s="45">
        <f>'Walla Walla Pgs 70-71'!D56</f>
        <v>302127</v>
      </c>
      <c r="G36" s="45">
        <f>'Walla Walla Pgs 70-71'!E56</f>
        <v>58329</v>
      </c>
      <c r="H36" s="45">
        <f>'Walla Walla Pgs 70-71'!F56</f>
        <v>387599</v>
      </c>
      <c r="I36" s="45">
        <f>'Walla Walla Pgs 70-71'!G56</f>
        <v>68040</v>
      </c>
      <c r="J36" s="45">
        <f>'Walla Walla Pgs 70-71'!H56</f>
        <v>385731</v>
      </c>
      <c r="K36" s="45">
        <f>'Walla Walla Pgs 70-71'!I56</f>
        <v>496073</v>
      </c>
      <c r="L36" s="45">
        <f>'Walla Walla Pgs 70-71'!J56</f>
        <v>413133</v>
      </c>
      <c r="M36" s="69">
        <f t="shared" si="0"/>
        <v>2117111</v>
      </c>
      <c r="N36" s="247" t="s">
        <v>160</v>
      </c>
      <c r="O36" s="232" t="s">
        <v>160</v>
      </c>
    </row>
    <row r="37" spans="1:16" ht="15.75" customHeight="1" x14ac:dyDescent="0.35">
      <c r="A37" s="93" t="s">
        <v>114</v>
      </c>
      <c r="B37" s="161" t="s">
        <v>159</v>
      </c>
      <c r="C37" s="73">
        <v>209790</v>
      </c>
      <c r="D37" s="244">
        <v>77.349999999999994</v>
      </c>
      <c r="E37" s="45">
        <f>'Whatcom Pgs 72-73'!C56</f>
        <v>31837</v>
      </c>
      <c r="F37" s="45">
        <f>'Whatcom Pgs 72-73'!D56</f>
        <v>1214301</v>
      </c>
      <c r="G37" s="45">
        <f>'Whatcom Pgs 72-73'!E56</f>
        <v>5658074</v>
      </c>
      <c r="H37" s="45">
        <f>'Whatcom Pgs 72-73'!F56</f>
        <v>813192</v>
      </c>
      <c r="I37" s="45">
        <f>'Whatcom Pgs 72-73'!G56</f>
        <v>911936</v>
      </c>
      <c r="J37" s="45">
        <f>'Whatcom Pgs 72-73'!H56</f>
        <v>6309868</v>
      </c>
      <c r="K37" s="45">
        <f>'Whatcom Pgs 72-73'!I56</f>
        <v>3108155</v>
      </c>
      <c r="L37" s="45">
        <f>'Whatcom Pgs 72-73'!J56</f>
        <v>5797</v>
      </c>
      <c r="M37" s="69">
        <f t="shared" si="0"/>
        <v>18053160</v>
      </c>
      <c r="N37" s="247" t="s">
        <v>160</v>
      </c>
      <c r="O37" s="232" t="s">
        <v>160</v>
      </c>
    </row>
    <row r="38" spans="1:16" ht="15.75" customHeight="1" x14ac:dyDescent="0.35">
      <c r="A38" s="194" t="s">
        <v>115</v>
      </c>
      <c r="B38" s="161" t="s">
        <v>158</v>
      </c>
      <c r="C38" s="73">
        <v>47250</v>
      </c>
      <c r="D38" s="243">
        <v>13</v>
      </c>
      <c r="E38" s="45">
        <f>'Whitman Pgs 74-75'!C56</f>
        <v>0</v>
      </c>
      <c r="F38" s="45">
        <f>'Whitman Pgs 74-75'!D56</f>
        <v>189355</v>
      </c>
      <c r="G38" s="45">
        <f>'Whitman Pgs 74-75'!E56</f>
        <v>28719</v>
      </c>
      <c r="H38" s="45">
        <f>'Whitman Pgs 74-75'!F56</f>
        <v>176877</v>
      </c>
      <c r="I38" s="45">
        <f>'Whitman Pgs 74-75'!G56</f>
        <v>6566</v>
      </c>
      <c r="J38" s="45">
        <f>'Whitman Pgs 74-75'!H56</f>
        <v>270112</v>
      </c>
      <c r="K38" s="45">
        <f>'Whitman Pgs 74-75'!I56</f>
        <v>263857</v>
      </c>
      <c r="L38" s="45">
        <f>'Whitman Pgs 74-75'!J56</f>
        <v>46609</v>
      </c>
      <c r="M38" s="69">
        <f t="shared" si="0"/>
        <v>982095</v>
      </c>
      <c r="N38" s="247">
        <v>25</v>
      </c>
      <c r="O38" s="250">
        <v>13</v>
      </c>
    </row>
    <row r="39" spans="1:16" ht="15.75" customHeight="1" x14ac:dyDescent="0.35">
      <c r="A39" s="194" t="s">
        <v>116</v>
      </c>
      <c r="B39" s="161" t="s">
        <v>159</v>
      </c>
      <c r="C39" s="73">
        <v>249970</v>
      </c>
      <c r="D39" s="243">
        <v>25.16</v>
      </c>
      <c r="E39" s="45">
        <f>'Yakima Pgs 76-77'!C56</f>
        <v>162132</v>
      </c>
      <c r="F39" s="45">
        <f>'Yakima Pgs 76-77'!D56</f>
        <v>1051964</v>
      </c>
      <c r="G39" s="45">
        <f>'Yakima Pgs 76-77'!E56</f>
        <v>53980</v>
      </c>
      <c r="H39" s="45">
        <f>'Yakima Pgs 76-77'!F56</f>
        <v>457969</v>
      </c>
      <c r="I39" s="45">
        <f>'Yakima Pgs 76-77'!G56</f>
        <v>33752</v>
      </c>
      <c r="J39" s="45">
        <f>'Yakima Pgs 76-77'!H56</f>
        <v>101251</v>
      </c>
      <c r="K39" s="45">
        <f>'Yakima Pgs 76-77'!I56</f>
        <v>2217831</v>
      </c>
      <c r="L39" s="45">
        <f>'Yakima Pgs 76-77'!J56</f>
        <v>109830</v>
      </c>
      <c r="M39" s="69">
        <f t="shared" si="0"/>
        <v>4188709</v>
      </c>
      <c r="N39" s="247" t="s">
        <v>160</v>
      </c>
      <c r="O39" s="232" t="s">
        <v>160</v>
      </c>
      <c r="P39" t="s">
        <v>160</v>
      </c>
    </row>
    <row r="40" spans="1:16" ht="19.149999999999999" customHeight="1" thickBot="1" x14ac:dyDescent="0.4">
      <c r="A40" s="231" t="s">
        <v>42</v>
      </c>
      <c r="B40" s="195"/>
      <c r="C40" s="193">
        <f t="shared" ref="C40:L40" si="1">SUM(C5:C39)</f>
        <v>7061410</v>
      </c>
      <c r="D40" s="245">
        <f t="shared" si="1"/>
        <v>2792.62</v>
      </c>
      <c r="E40" s="61">
        <f t="shared" si="1"/>
        <v>9261386</v>
      </c>
      <c r="F40" s="62">
        <f t="shared" si="1"/>
        <v>35965457.870000005</v>
      </c>
      <c r="G40" s="63">
        <f t="shared" si="1"/>
        <v>20196195</v>
      </c>
      <c r="H40" s="61">
        <f t="shared" si="1"/>
        <v>46727758</v>
      </c>
      <c r="I40" s="63">
        <f t="shared" si="1"/>
        <v>24881621</v>
      </c>
      <c r="J40" s="64">
        <f t="shared" si="1"/>
        <v>87220189.980000004</v>
      </c>
      <c r="K40" s="63">
        <f t="shared" si="1"/>
        <v>131876822</v>
      </c>
      <c r="L40" s="65">
        <f t="shared" si="1"/>
        <v>10724684.030000001</v>
      </c>
      <c r="M40" s="82">
        <f t="shared" si="0"/>
        <v>366854113.88</v>
      </c>
      <c r="N40" s="247" t="s">
        <v>160</v>
      </c>
      <c r="O40" s="232" t="s">
        <v>160</v>
      </c>
    </row>
    <row r="41" spans="1:16" ht="15" thickTop="1" x14ac:dyDescent="0.35">
      <c r="A41" s="197"/>
      <c r="B41" s="196"/>
      <c r="C41" s="235"/>
    </row>
    <row r="42" spans="1:16" x14ac:dyDescent="0.35">
      <c r="A42" s="196"/>
      <c r="B42" s="196"/>
      <c r="C42" s="236"/>
    </row>
    <row r="43" spans="1:16" x14ac:dyDescent="0.35">
      <c r="A43" s="196"/>
      <c r="B43" s="196"/>
      <c r="C43" s="236"/>
    </row>
  </sheetData>
  <mergeCells count="3">
    <mergeCell ref="E3:G3"/>
    <mergeCell ref="H3:I3"/>
    <mergeCell ref="J3:K3"/>
  </mergeCells>
  <conditionalFormatting sqref="D8:D39 A40:L40 M5:M40 A5:L7 A8:B39">
    <cfRule type="expression" dxfId="112" priority="9">
      <formula>ROW()=EVEN(ROW())</formula>
    </cfRule>
  </conditionalFormatting>
  <conditionalFormatting sqref="C8:C39">
    <cfRule type="expression" dxfId="111" priority="6">
      <formula>ROW()=EVEN(ROW())</formula>
    </cfRule>
  </conditionalFormatting>
  <conditionalFormatting sqref="F10:L39">
    <cfRule type="expression" dxfId="110" priority="1">
      <formula>ROW()=EVEN(ROW())</formula>
    </cfRule>
  </conditionalFormatting>
  <conditionalFormatting sqref="E9:L9 F8:L8 E10:E39">
    <cfRule type="expression" dxfId="109" priority="4">
      <formula>ROW()=EVEN(ROW())</formula>
    </cfRule>
  </conditionalFormatting>
  <conditionalFormatting sqref="E8">
    <cfRule type="expression" dxfId="108" priority="3">
      <formula>ROW()=EVEN(ROW())</formula>
    </cfRule>
  </conditionalFormatting>
  <printOptions horizontalCentered="1"/>
  <pageMargins left="0" right="0" top="1.25" bottom="0.5" header="0.5" footer="0.5"/>
  <pageSetup scale="65" fitToHeight="2" orientation="landscape" r:id="rId1"/>
  <headerFooter>
    <oddHeader xml:space="preserve">&amp;C&amp;"-,Bold"&amp;20Summary
2015
All Local Health Jurisdictions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F12" sqref="F12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2052800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223">
        <v>1295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698243</v>
      </c>
      <c r="E5" s="110">
        <v>128396</v>
      </c>
      <c r="F5" s="108">
        <v>5450212</v>
      </c>
      <c r="G5" s="110">
        <v>0</v>
      </c>
      <c r="H5" s="111">
        <f>185422+50+1855659</f>
        <v>2041131</v>
      </c>
      <c r="I5" s="110">
        <f>750+62422+357842+950</f>
        <v>421964</v>
      </c>
      <c r="J5" s="112">
        <f>203900+7273</f>
        <v>211173</v>
      </c>
      <c r="K5" s="113">
        <f t="shared" ref="K5:K55" si="0">SUM(C5:J5)</f>
        <v>8951119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>
        <v>0</v>
      </c>
      <c r="I6" s="110">
        <v>0</v>
      </c>
      <c r="J6" s="112"/>
      <c r="K6" s="224">
        <f t="shared" si="0"/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3103342</v>
      </c>
      <c r="E7" s="110">
        <v>597725</v>
      </c>
      <c r="F7" s="108">
        <f>539605-1520910</f>
        <v>-981305</v>
      </c>
      <c r="G7" s="110">
        <f>665738+430278+4241</f>
        <v>1100257</v>
      </c>
      <c r="H7" s="111">
        <f>1210814+4758892</f>
        <v>5969706</v>
      </c>
      <c r="I7" s="110">
        <v>17842503</v>
      </c>
      <c r="J7" s="112">
        <f>136279+220+484</f>
        <v>136983</v>
      </c>
      <c r="K7" s="113">
        <f t="shared" si="0"/>
        <v>27769211</v>
      </c>
      <c r="L7"/>
    </row>
    <row r="8" spans="1:12" x14ac:dyDescent="0.35">
      <c r="A8" s="93">
        <v>562.24</v>
      </c>
      <c r="B8" s="16" t="s">
        <v>11</v>
      </c>
      <c r="C8" s="108">
        <v>0</v>
      </c>
      <c r="D8" s="109"/>
      <c r="E8" s="110">
        <v>0</v>
      </c>
      <c r="F8" s="114"/>
      <c r="G8" s="115">
        <f>334873-126226</f>
        <v>208647</v>
      </c>
      <c r="H8" s="111">
        <f>727820+2800916</f>
        <v>3528736</v>
      </c>
      <c r="I8" s="110">
        <v>10093345</v>
      </c>
      <c r="J8" s="112">
        <v>27895</v>
      </c>
      <c r="K8" s="113">
        <f t="shared" si="0"/>
        <v>13858623</v>
      </c>
      <c r="L8"/>
    </row>
    <row r="9" spans="1:12" x14ac:dyDescent="0.35">
      <c r="A9" s="93">
        <v>562.25</v>
      </c>
      <c r="B9" s="29" t="s">
        <v>53</v>
      </c>
      <c r="C9" s="108">
        <v>6741</v>
      </c>
      <c r="D9" s="109"/>
      <c r="E9" s="110">
        <v>12025</v>
      </c>
      <c r="F9" s="108"/>
      <c r="G9" s="110">
        <f>263858-15492</f>
        <v>248366</v>
      </c>
      <c r="H9" s="111">
        <v>240747</v>
      </c>
      <c r="I9" s="110">
        <v>149447</v>
      </c>
      <c r="J9" s="112"/>
      <c r="K9" s="113">
        <f t="shared" si="0"/>
        <v>657326</v>
      </c>
      <c r="L9"/>
    </row>
    <row r="10" spans="1:12" x14ac:dyDescent="0.35">
      <c r="A10" s="93">
        <v>562.26</v>
      </c>
      <c r="B10" s="29" t="s">
        <v>44</v>
      </c>
      <c r="C10" s="108">
        <v>1029170</v>
      </c>
      <c r="D10" s="109">
        <v>1028958</v>
      </c>
      <c r="E10" s="110"/>
      <c r="F10" s="108"/>
      <c r="G10" s="110">
        <f>205687-258492</f>
        <v>-52805</v>
      </c>
      <c r="H10" s="111">
        <f>2061236+1810808</f>
        <v>3872044</v>
      </c>
      <c r="I10" s="110">
        <v>2216801</v>
      </c>
      <c r="J10" s="112">
        <f>120541+97+300</f>
        <v>120938</v>
      </c>
      <c r="K10" s="113">
        <f t="shared" si="0"/>
        <v>8215106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>
        <v>370868</v>
      </c>
      <c r="G11" s="110"/>
      <c r="H11" s="111">
        <v>0</v>
      </c>
      <c r="I11" s="110">
        <v>392094</v>
      </c>
      <c r="J11" s="112"/>
      <c r="K11" s="113">
        <f t="shared" si="0"/>
        <v>762962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1567454</v>
      </c>
      <c r="E12" s="110"/>
      <c r="F12" s="108">
        <f>7223277+600315+4505</f>
        <v>7828097</v>
      </c>
      <c r="G12" s="110">
        <v>50</v>
      </c>
      <c r="H12" s="111">
        <v>533812</v>
      </c>
      <c r="I12" s="110">
        <v>540800</v>
      </c>
      <c r="J12" s="112">
        <v>150</v>
      </c>
      <c r="K12" s="113">
        <f t="shared" si="0"/>
        <v>10470363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360491</v>
      </c>
      <c r="E13" s="110">
        <v>19812</v>
      </c>
      <c r="F13" s="108"/>
      <c r="G13" s="110">
        <f>65407-1371093+3161473+673979</f>
        <v>2529766</v>
      </c>
      <c r="H13" s="111">
        <f>2433347+2096005</f>
        <v>4529352</v>
      </c>
      <c r="I13" s="110">
        <v>9951225</v>
      </c>
      <c r="J13" s="112">
        <f>992989+10936</f>
        <v>1003925</v>
      </c>
      <c r="K13" s="113">
        <f t="shared" si="0"/>
        <v>18394571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550794</v>
      </c>
      <c r="G14" s="110"/>
      <c r="H14" s="111">
        <v>126707</v>
      </c>
      <c r="I14" s="110">
        <v>233585</v>
      </c>
      <c r="J14" s="112"/>
      <c r="K14" s="113">
        <f t="shared" si="0"/>
        <v>911086</v>
      </c>
      <c r="L14"/>
    </row>
    <row r="15" spans="1:12" x14ac:dyDescent="0.35">
      <c r="A15" s="93">
        <v>562.33000000000004</v>
      </c>
      <c r="B15" s="29" t="s">
        <v>55</v>
      </c>
      <c r="C15" s="108">
        <v>1109464</v>
      </c>
      <c r="D15" s="109">
        <v>474383</v>
      </c>
      <c r="E15" s="110"/>
      <c r="F15" s="108">
        <f>770248+1294374-63998</f>
        <v>2000624</v>
      </c>
      <c r="G15" s="110">
        <f>23526</f>
        <v>23526</v>
      </c>
      <c r="H15" s="111">
        <f>36516+735616</f>
        <v>772132</v>
      </c>
      <c r="I15" s="110">
        <v>608754</v>
      </c>
      <c r="J15" s="112">
        <f>1220-38</f>
        <v>1182</v>
      </c>
      <c r="K15" s="113">
        <f t="shared" si="0"/>
        <v>4990065</v>
      </c>
      <c r="L15"/>
    </row>
    <row r="16" spans="1:12" x14ac:dyDescent="0.35">
      <c r="A16" s="93">
        <v>562.34</v>
      </c>
      <c r="B16" s="16" t="s">
        <v>13</v>
      </c>
      <c r="C16" s="108">
        <v>10000</v>
      </c>
      <c r="D16" s="109">
        <v>743242</v>
      </c>
      <c r="E16" s="110"/>
      <c r="F16" s="108">
        <f>418163</f>
        <v>418163</v>
      </c>
      <c r="G16" s="110">
        <v>12259</v>
      </c>
      <c r="H16" s="111">
        <v>3052174</v>
      </c>
      <c r="I16" s="110">
        <v>522685</v>
      </c>
      <c r="J16" s="112">
        <v>68257</v>
      </c>
      <c r="K16" s="113">
        <f t="shared" si="0"/>
        <v>4826780</v>
      </c>
      <c r="L16"/>
    </row>
    <row r="17" spans="1:12" x14ac:dyDescent="0.35">
      <c r="A17" s="93">
        <v>562.35</v>
      </c>
      <c r="B17" s="16" t="s">
        <v>14</v>
      </c>
      <c r="C17" s="108">
        <v>3348079</v>
      </c>
      <c r="D17" s="109">
        <v>58404</v>
      </c>
      <c r="E17" s="110"/>
      <c r="F17" s="108">
        <f>6313-3502-187739+2042989</f>
        <v>1858061</v>
      </c>
      <c r="G17" s="110">
        <f>8926+6426161</f>
        <v>6435087</v>
      </c>
      <c r="H17" s="111">
        <f>1331749+1588192</f>
        <v>2919941</v>
      </c>
      <c r="I17" s="110">
        <v>80812</v>
      </c>
      <c r="J17" s="112">
        <v>110</v>
      </c>
      <c r="K17" s="113">
        <f t="shared" si="0"/>
        <v>14700494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>
        <f>228530-1226928+18385+1420835</f>
        <v>440822</v>
      </c>
      <c r="H18" s="111"/>
      <c r="I18" s="110"/>
      <c r="J18" s="112"/>
      <c r="K18" s="113">
        <f t="shared" si="0"/>
        <v>440822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>
        <v>131376</v>
      </c>
      <c r="E20" s="110"/>
      <c r="F20" s="108"/>
      <c r="G20" s="110"/>
      <c r="H20" s="111">
        <v>240236</v>
      </c>
      <c r="I20" s="110"/>
      <c r="J20" s="112"/>
      <c r="K20" s="113">
        <f t="shared" si="0"/>
        <v>371612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>
        <v>-401</v>
      </c>
      <c r="H21" s="111"/>
      <c r="I21" s="110"/>
      <c r="J21" s="112"/>
      <c r="K21" s="113">
        <f t="shared" si="0"/>
        <v>-401</v>
      </c>
      <c r="L21"/>
    </row>
    <row r="22" spans="1:12" x14ac:dyDescent="0.35">
      <c r="A22" s="93">
        <v>562.44000000000005</v>
      </c>
      <c r="B22" s="29" t="s">
        <v>57</v>
      </c>
      <c r="C22" s="108">
        <v>38878</v>
      </c>
      <c r="D22" s="109"/>
      <c r="E22" s="110"/>
      <c r="F22" s="108">
        <f>16413+13970+56250</f>
        <v>86633</v>
      </c>
      <c r="G22" s="110"/>
      <c r="H22" s="111"/>
      <c r="I22" s="110">
        <v>6420</v>
      </c>
      <c r="J22" s="112"/>
      <c r="K22" s="113">
        <f t="shared" si="0"/>
        <v>131931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>
        <v>264239</v>
      </c>
      <c r="E23" s="110">
        <v>27003</v>
      </c>
      <c r="F23" s="108"/>
      <c r="G23" s="110">
        <f>26682+4075</f>
        <v>30757</v>
      </c>
      <c r="H23" s="111">
        <f>50000+102896</f>
        <v>152896</v>
      </c>
      <c r="I23" s="110"/>
      <c r="J23" s="112"/>
      <c r="K23" s="113">
        <f t="shared" si="0"/>
        <v>474895</v>
      </c>
      <c r="L23"/>
    </row>
    <row r="24" spans="1:12" x14ac:dyDescent="0.35">
      <c r="A24" s="93">
        <v>562.49</v>
      </c>
      <c r="B24" s="29" t="s">
        <v>47</v>
      </c>
      <c r="C24" s="108">
        <f>63872+171154</f>
        <v>235026</v>
      </c>
      <c r="D24" s="109">
        <v>1167922</v>
      </c>
      <c r="E24" s="110"/>
      <c r="F24" s="108">
        <f>36271+1374619+28394</f>
        <v>1439284</v>
      </c>
      <c r="G24" s="110">
        <f>3018200+29824+9082+6646+51815</f>
        <v>3115567</v>
      </c>
      <c r="H24" s="111"/>
      <c r="I24" s="110"/>
      <c r="J24" s="112">
        <v>1050209</v>
      </c>
      <c r="K24" s="113">
        <f t="shared" si="0"/>
        <v>7008008</v>
      </c>
      <c r="L24"/>
    </row>
    <row r="25" spans="1:12" x14ac:dyDescent="0.35">
      <c r="A25" s="93">
        <v>562.52</v>
      </c>
      <c r="B25" s="16" t="s">
        <v>18</v>
      </c>
      <c r="C25" s="108">
        <v>49254</v>
      </c>
      <c r="D25" s="109">
        <v>32592</v>
      </c>
      <c r="E25" s="110">
        <v>5500</v>
      </c>
      <c r="F25" s="108">
        <v>119126</v>
      </c>
      <c r="G25" s="110"/>
      <c r="H25" s="111"/>
      <c r="I25" s="110">
        <f>27781+12925+2800+44602+1145</f>
        <v>89253</v>
      </c>
      <c r="J25" s="112">
        <f>523+10</f>
        <v>533</v>
      </c>
      <c r="K25" s="113">
        <f t="shared" si="0"/>
        <v>296258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98603</v>
      </c>
      <c r="F26" s="108"/>
      <c r="G26" s="110"/>
      <c r="H26" s="111"/>
      <c r="I26" s="110">
        <f>396110-115+3353367+948084+31500+116355+804</f>
        <v>4846105</v>
      </c>
      <c r="J26" s="112"/>
      <c r="K26" s="113">
        <f t="shared" si="0"/>
        <v>4944708</v>
      </c>
      <c r="L26"/>
    </row>
    <row r="27" spans="1:12" x14ac:dyDescent="0.35">
      <c r="A27" s="93">
        <v>562.54</v>
      </c>
      <c r="B27" s="29" t="s">
        <v>60</v>
      </c>
      <c r="C27" s="108">
        <v>47196</v>
      </c>
      <c r="D27" s="109"/>
      <c r="E27" s="110"/>
      <c r="F27" s="108"/>
      <c r="G27" s="110"/>
      <c r="H27" s="111"/>
      <c r="I27" s="110">
        <f>64061+951187+52065+673984+1000+4659</f>
        <v>1746956</v>
      </c>
      <c r="J27" s="112">
        <f>654-523</f>
        <v>131</v>
      </c>
      <c r="K27" s="113">
        <f t="shared" si="0"/>
        <v>1794283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60000</v>
      </c>
      <c r="E28" s="110"/>
      <c r="F28" s="108"/>
      <c r="G28" s="110"/>
      <c r="H28" s="111">
        <f>484215+158698</f>
        <v>642913</v>
      </c>
      <c r="I28" s="110">
        <f>145093+1565</f>
        <v>146658</v>
      </c>
      <c r="J28" s="112"/>
      <c r="K28" s="113">
        <f t="shared" si="0"/>
        <v>849571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10372770+25918+40+619690+146266</f>
        <v>11164684</v>
      </c>
      <c r="J29" s="112">
        <f>95-803</f>
        <v>-708</v>
      </c>
      <c r="K29" s="113">
        <f t="shared" si="0"/>
        <v>11163976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>
        <v>3146</v>
      </c>
      <c r="D31" s="109"/>
      <c r="E31" s="110"/>
      <c r="F31" s="108">
        <v>23500</v>
      </c>
      <c r="G31" s="110"/>
      <c r="H31" s="111"/>
      <c r="I31" s="110">
        <f>1048036-115+21645-80+130641+742+1417</f>
        <v>1202286</v>
      </c>
      <c r="J31" s="112"/>
      <c r="K31" s="113">
        <f t="shared" si="0"/>
        <v>1228932</v>
      </c>
      <c r="L31"/>
    </row>
    <row r="32" spans="1:12" x14ac:dyDescent="0.35">
      <c r="A32" s="93">
        <v>562.59</v>
      </c>
      <c r="B32" s="29" t="s">
        <v>49</v>
      </c>
      <c r="C32" s="108">
        <v>6860</v>
      </c>
      <c r="D32" s="109">
        <v>269303</v>
      </c>
      <c r="E32" s="110"/>
      <c r="F32" s="108"/>
      <c r="G32" s="110"/>
      <c r="H32" s="111">
        <v>77316</v>
      </c>
      <c r="I32" s="110">
        <f>167644+3031636</f>
        <v>3199280</v>
      </c>
      <c r="J32" s="112"/>
      <c r="K32" s="113">
        <f t="shared" si="0"/>
        <v>3552759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>
        <v>419551</v>
      </c>
      <c r="F33" s="108">
        <v>100465</v>
      </c>
      <c r="G33" s="110"/>
      <c r="H33" s="111"/>
      <c r="I33" s="110"/>
      <c r="J33" s="112"/>
      <c r="K33" s="113">
        <f t="shared" si="0"/>
        <v>520016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1163125</v>
      </c>
      <c r="J34" s="112">
        <v>1</v>
      </c>
      <c r="K34" s="113">
        <f t="shared" si="0"/>
        <v>1163126</v>
      </c>
      <c r="L34"/>
    </row>
    <row r="35" spans="1:12" x14ac:dyDescent="0.35">
      <c r="A35" s="93">
        <v>562.72</v>
      </c>
      <c r="B35" s="16" t="s">
        <v>23</v>
      </c>
      <c r="C35" s="108"/>
      <c r="D35" s="109">
        <v>290015</v>
      </c>
      <c r="E35" s="110"/>
      <c r="F35" s="108"/>
      <c r="G35" s="110"/>
      <c r="H35" s="111"/>
      <c r="I35" s="110">
        <v>2175161</v>
      </c>
      <c r="J35" s="112"/>
      <c r="K35" s="113">
        <f t="shared" si="0"/>
        <v>2465176</v>
      </c>
      <c r="L35"/>
    </row>
    <row r="36" spans="1:12" x14ac:dyDescent="0.35">
      <c r="A36" s="93">
        <v>562.73</v>
      </c>
      <c r="B36" s="16" t="s">
        <v>24</v>
      </c>
      <c r="C36" s="108">
        <f>4209+172856+4209</f>
        <v>181274</v>
      </c>
      <c r="D36" s="109"/>
      <c r="E36" s="110"/>
      <c r="F36" s="108">
        <f>800+445803+1399+172856+8991</f>
        <v>629849</v>
      </c>
      <c r="G36" s="110"/>
      <c r="H36" s="111"/>
      <c r="I36" s="110"/>
      <c r="J36" s="112"/>
      <c r="K36" s="113">
        <f t="shared" si="0"/>
        <v>811123</v>
      </c>
      <c r="L36"/>
    </row>
    <row r="37" spans="1:12" x14ac:dyDescent="0.35">
      <c r="A37" s="93">
        <v>562.74</v>
      </c>
      <c r="B37" s="29" t="s">
        <v>50</v>
      </c>
      <c r="C37" s="108"/>
      <c r="D37" s="109">
        <v>60000</v>
      </c>
      <c r="E37" s="110"/>
      <c r="F37" s="108"/>
      <c r="G37" s="110">
        <v>-2410886</v>
      </c>
      <c r="H37" s="111">
        <f>13491848+1123572</f>
        <v>14615420</v>
      </c>
      <c r="I37" s="110">
        <v>2211373</v>
      </c>
      <c r="J37" s="112">
        <v>715259</v>
      </c>
      <c r="K37" s="113">
        <f t="shared" si="0"/>
        <v>15191166</v>
      </c>
      <c r="L37"/>
    </row>
    <row r="38" spans="1:12" x14ac:dyDescent="0.35">
      <c r="A38" s="93">
        <v>562.78</v>
      </c>
      <c r="B38" s="16" t="s">
        <v>25</v>
      </c>
      <c r="C38" s="108"/>
      <c r="D38" s="109">
        <v>105787</v>
      </c>
      <c r="E38" s="110"/>
      <c r="F38" s="108"/>
      <c r="G38" s="110"/>
      <c r="H38" s="111">
        <v>141245</v>
      </c>
      <c r="I38" s="110">
        <v>456916</v>
      </c>
      <c r="J38" s="112">
        <v>391753</v>
      </c>
      <c r="K38" s="113">
        <f t="shared" si="0"/>
        <v>1095701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1215189</v>
      </c>
      <c r="E39" s="110"/>
      <c r="F39" s="108"/>
      <c r="G39" s="110"/>
      <c r="H39" s="111">
        <v>1580010</v>
      </c>
      <c r="I39" s="110">
        <f>200000+2388</f>
        <v>202388</v>
      </c>
      <c r="J39" s="112">
        <v>800</v>
      </c>
      <c r="K39" s="113">
        <f t="shared" si="0"/>
        <v>2998387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1003186</v>
      </c>
      <c r="E40" s="110">
        <v>84530</v>
      </c>
      <c r="F40" s="108">
        <f>73358-443</f>
        <v>72915</v>
      </c>
      <c r="G40" s="110"/>
      <c r="H40" s="111">
        <f>62648+1542898</f>
        <v>1605546</v>
      </c>
      <c r="I40" s="110">
        <v>-107052</v>
      </c>
      <c r="J40" s="112">
        <f>292590+111891</f>
        <v>404481</v>
      </c>
      <c r="K40" s="113">
        <f t="shared" si="0"/>
        <v>3063606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f>2002239+88500</f>
        <v>2090739</v>
      </c>
      <c r="G41" s="110">
        <v>256963</v>
      </c>
      <c r="H41" s="111"/>
      <c r="I41" s="110">
        <v>98522</v>
      </c>
      <c r="J41" s="112">
        <v>305</v>
      </c>
      <c r="K41" s="113">
        <f t="shared" si="0"/>
        <v>2446529</v>
      </c>
      <c r="L41"/>
    </row>
    <row r="42" spans="1:12" x14ac:dyDescent="0.35">
      <c r="A42" s="93">
        <v>562.9</v>
      </c>
      <c r="B42" s="16" t="s">
        <v>28</v>
      </c>
      <c r="C42" s="108"/>
      <c r="D42" s="109">
        <v>51395</v>
      </c>
      <c r="E42" s="110"/>
      <c r="F42" s="108">
        <v>-824234</v>
      </c>
      <c r="G42" s="110"/>
      <c r="H42" s="111">
        <f>600282+1428077</f>
        <v>2028359</v>
      </c>
      <c r="I42" s="110">
        <v>496011</v>
      </c>
      <c r="J42" s="112">
        <f>132710+500-683+460176</f>
        <v>592703</v>
      </c>
      <c r="K42" s="113">
        <f t="shared" si="0"/>
        <v>2344234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6065088</v>
      </c>
      <c r="D44" s="121">
        <f t="shared" si="1"/>
        <v>12685521</v>
      </c>
      <c r="E44" s="122">
        <f t="shared" si="1"/>
        <v>1393145</v>
      </c>
      <c r="F44" s="120">
        <f t="shared" si="1"/>
        <v>21233791</v>
      </c>
      <c r="G44" s="123">
        <f t="shared" si="1"/>
        <v>11937975</v>
      </c>
      <c r="H44" s="124">
        <f t="shared" si="1"/>
        <v>48670423</v>
      </c>
      <c r="I44" s="122">
        <f t="shared" si="1"/>
        <v>72152101</v>
      </c>
      <c r="J44" s="125">
        <f t="shared" si="1"/>
        <v>4726080</v>
      </c>
      <c r="K44" s="126">
        <f t="shared" si="0"/>
        <v>178864124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>
        <v>71929</v>
      </c>
      <c r="F45" s="127">
        <v>27469</v>
      </c>
      <c r="G45" s="129">
        <f>9334+66042</f>
        <v>75376</v>
      </c>
      <c r="H45" s="111">
        <v>180939</v>
      </c>
      <c r="I45" s="110">
        <f>67857+23052+205458</f>
        <v>296367</v>
      </c>
      <c r="J45" s="130">
        <f>48747+591536+2212+1</f>
        <v>642496</v>
      </c>
      <c r="K45" s="113">
        <f t="shared" si="0"/>
        <v>1294576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>
        <v>310683</v>
      </c>
      <c r="F51" s="108"/>
      <c r="G51" s="110"/>
      <c r="H51" s="111">
        <v>4115411</v>
      </c>
      <c r="I51" s="110">
        <f>38836+782940+101603</f>
        <v>923379</v>
      </c>
      <c r="J51" s="112">
        <v>-10</v>
      </c>
      <c r="K51" s="113">
        <f t="shared" si="0"/>
        <v>5349463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6065088</v>
      </c>
      <c r="D56" s="134">
        <f t="shared" si="2"/>
        <v>12685521</v>
      </c>
      <c r="E56" s="135">
        <f t="shared" si="2"/>
        <v>1775757</v>
      </c>
      <c r="F56" s="133">
        <f t="shared" si="2"/>
        <v>21261260</v>
      </c>
      <c r="G56" s="136">
        <f t="shared" si="2"/>
        <v>12013351</v>
      </c>
      <c r="H56" s="137">
        <f t="shared" si="2"/>
        <v>52966773</v>
      </c>
      <c r="I56" s="138">
        <f t="shared" si="2"/>
        <v>73371847</v>
      </c>
      <c r="J56" s="139">
        <f t="shared" si="2"/>
        <v>5368566</v>
      </c>
      <c r="K56" s="140">
        <f>SUM(C56:J56)</f>
        <v>185508163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6065088</v>
      </c>
      <c r="D62" s="20">
        <f>C56/$K56</f>
        <v>3.2694453451086139E-2</v>
      </c>
    </row>
    <row r="63" spans="1:12" x14ac:dyDescent="0.35">
      <c r="B63" s="8" t="s">
        <v>2</v>
      </c>
      <c r="C63" s="21">
        <f>D56</f>
        <v>12685521</v>
      </c>
      <c r="D63" s="20">
        <f>D56/$K56</f>
        <v>6.8382548750698366E-2</v>
      </c>
    </row>
    <row r="64" spans="1:12" x14ac:dyDescent="0.35">
      <c r="B64" s="27" t="s">
        <v>41</v>
      </c>
      <c r="C64" s="22">
        <f>E56</f>
        <v>1775757</v>
      </c>
      <c r="D64" s="57">
        <f>E56/$K56</f>
        <v>9.5723927792870228E-3</v>
      </c>
    </row>
    <row r="65" spans="2:4" ht="15" thickBot="1" x14ac:dyDescent="0.4">
      <c r="B65" s="192" t="s">
        <v>75</v>
      </c>
      <c r="C65" s="23">
        <f>SUM(C62:C64)</f>
        <v>20526366</v>
      </c>
      <c r="D65" s="24">
        <f>SUM(D62:D64)</f>
        <v>0.11064939498107153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21261260</v>
      </c>
      <c r="D67" s="7">
        <f>F56/K56</f>
        <v>0.11461091337527826</v>
      </c>
    </row>
    <row r="68" spans="2:4" x14ac:dyDescent="0.35">
      <c r="B68" s="28" t="s">
        <v>5</v>
      </c>
      <c r="C68" s="9">
        <f>G56</f>
        <v>12013351</v>
      </c>
      <c r="D68" s="10">
        <f>G56/K56</f>
        <v>6.4759150248283145E-2</v>
      </c>
    </row>
    <row r="69" spans="2:4" ht="15" thickBot="1" x14ac:dyDescent="0.4">
      <c r="B69" s="192" t="s">
        <v>76</v>
      </c>
      <c r="C69" s="23">
        <f>SUM(C67:C68)</f>
        <v>33274611</v>
      </c>
      <c r="D69" s="24">
        <f>SUM(D67:D68)</f>
        <v>0.17937006362356139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52966773</v>
      </c>
      <c r="D71" s="7">
        <f>H56/K56</f>
        <v>0.28552259988688478</v>
      </c>
    </row>
    <row r="72" spans="2:4" x14ac:dyDescent="0.35">
      <c r="B72" s="28" t="s">
        <v>6</v>
      </c>
      <c r="C72" s="9">
        <f>I56</f>
        <v>73371847</v>
      </c>
      <c r="D72" s="10">
        <f>I56/K56</f>
        <v>0.3955181584111746</v>
      </c>
    </row>
    <row r="73" spans="2:4" ht="15" thickBot="1" x14ac:dyDescent="0.4">
      <c r="B73" s="192" t="s">
        <v>77</v>
      </c>
      <c r="C73" s="54">
        <f>SUM(C71:C72)</f>
        <v>126338620</v>
      </c>
      <c r="D73" s="24">
        <f>SUM(D71:D72)</f>
        <v>0.68104075829805932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5368566</v>
      </c>
      <c r="D75" s="24">
        <f>J56/K56</f>
        <v>2.893978309730769E-2</v>
      </c>
    </row>
    <row r="76" spans="2:4" ht="15" thickBot="1" x14ac:dyDescent="0.4">
      <c r="B76" s="36" t="s">
        <v>42</v>
      </c>
      <c r="C76" s="37">
        <f>C65+C69+C73+C75</f>
        <v>185508163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35" priority="3">
      <formula>ROW()=EVEN(ROW())</formula>
    </cfRule>
  </conditionalFormatting>
  <conditionalFormatting sqref="K45:K55">
    <cfRule type="expression" dxfId="34" priority="1">
      <formula>ROW()=EVEN(ROW())</formula>
    </cfRule>
  </conditionalFormatting>
  <conditionalFormatting sqref="K5:K44">
    <cfRule type="expression" dxfId="3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&amp;C&amp;"-,Bold"&amp;16Expenditures by Expenditure Code and Revenue Source
2015
SEATTLE-KING
</oddHeader>
  </headerFooter>
  <rowBreaks count="1" manualBreakCount="1">
    <brk id="44" max="16383" man="1"/>
  </rowBreaks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E23" sqref="E2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120620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33.03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v>95668</v>
      </c>
      <c r="H5" s="111">
        <v>1213313</v>
      </c>
      <c r="I5" s="110"/>
      <c r="J5" s="112">
        <f>201+67374+9082</f>
        <v>76657</v>
      </c>
      <c r="K5" s="113">
        <f>SUM(C5:J5)</f>
        <v>1385638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11647</v>
      </c>
      <c r="E7" s="110">
        <f>20835+28274</f>
        <v>49109</v>
      </c>
      <c r="F7" s="108">
        <v>109870</v>
      </c>
      <c r="G7" s="110">
        <f>425+364776</f>
        <v>365201</v>
      </c>
      <c r="H7" s="111"/>
      <c r="I7" s="110">
        <v>2375</v>
      </c>
      <c r="J7" s="112">
        <f>4350+160</f>
        <v>4510</v>
      </c>
      <c r="K7" s="113">
        <f t="shared" si="0"/>
        <v>542712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14312</v>
      </c>
      <c r="F8" s="114"/>
      <c r="G8" s="115">
        <v>14312</v>
      </c>
      <c r="H8" s="111"/>
      <c r="I8" s="110"/>
      <c r="J8" s="112"/>
      <c r="K8" s="113">
        <f t="shared" si="0"/>
        <v>28624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29030</v>
      </c>
      <c r="G9" s="110"/>
      <c r="H9" s="111"/>
      <c r="I9" s="110"/>
      <c r="J9" s="112"/>
      <c r="K9" s="113">
        <f t="shared" si="0"/>
        <v>29030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>
        <f>1616+6060</f>
        <v>7676</v>
      </c>
      <c r="J11" s="112">
        <v>6926</v>
      </c>
      <c r="K11" s="113">
        <f t="shared" si="0"/>
        <v>14602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91065+240</f>
        <v>91305</v>
      </c>
      <c r="G12" s="110"/>
      <c r="H12" s="111"/>
      <c r="I12" s="110"/>
      <c r="J12" s="112"/>
      <c r="K12" s="113">
        <f t="shared" si="0"/>
        <v>91305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>
        <v>13</v>
      </c>
      <c r="K13" s="113">
        <f t="shared" si="0"/>
        <v>13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41318</v>
      </c>
      <c r="G14" s="110"/>
      <c r="H14" s="111"/>
      <c r="I14" s="110">
        <f>15373+25900+218+1557+2020+463</f>
        <v>45531</v>
      </c>
      <c r="J14" s="112"/>
      <c r="K14" s="113">
        <f t="shared" si="0"/>
        <v>86849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>
        <f>514+696</f>
        <v>1210</v>
      </c>
      <c r="J15" s="112"/>
      <c r="K15" s="113">
        <f t="shared" si="0"/>
        <v>1210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117350</v>
      </c>
      <c r="E16" s="110"/>
      <c r="F16" s="108"/>
      <c r="G16" s="110"/>
      <c r="H16" s="111"/>
      <c r="I16" s="110">
        <f>6207+3614</f>
        <v>9821</v>
      </c>
      <c r="J16" s="112"/>
      <c r="K16" s="113">
        <f t="shared" si="0"/>
        <v>127171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>
        <v>145</v>
      </c>
      <c r="J17" s="112"/>
      <c r="K17" s="113">
        <f t="shared" si="0"/>
        <v>145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320749</v>
      </c>
      <c r="E18" s="110"/>
      <c r="F18" s="108"/>
      <c r="G18" s="110"/>
      <c r="H18" s="111"/>
      <c r="I18" s="110"/>
      <c r="J18" s="112"/>
      <c r="K18" s="113">
        <f t="shared" si="0"/>
        <v>320749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2730+24475+3700+10560+23482</f>
        <v>64947</v>
      </c>
      <c r="J25" s="112"/>
      <c r="K25" s="113">
        <f t="shared" si="0"/>
        <v>64947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f>56891+28592+100673</f>
        <v>186156</v>
      </c>
      <c r="F26" s="108"/>
      <c r="G26" s="110">
        <v>450</v>
      </c>
      <c r="H26" s="111"/>
      <c r="I26" s="110">
        <f>1750+8650+113619+11730</f>
        <v>135749</v>
      </c>
      <c r="J26" s="112"/>
      <c r="K26" s="113">
        <f t="shared" si="0"/>
        <v>322355</v>
      </c>
      <c r="L26"/>
    </row>
    <row r="27" spans="1:12" x14ac:dyDescent="0.35">
      <c r="A27" s="93">
        <v>562.54</v>
      </c>
      <c r="B27" s="29" t="s">
        <v>60</v>
      </c>
      <c r="C27" s="108">
        <v>55824</v>
      </c>
      <c r="D27" s="109"/>
      <c r="E27" s="110"/>
      <c r="F27" s="108">
        <v>46457</v>
      </c>
      <c r="G27" s="110"/>
      <c r="H27" s="111"/>
      <c r="I27" s="110">
        <f>26035+129125+150+128289</f>
        <v>283599</v>
      </c>
      <c r="J27" s="112"/>
      <c r="K27" s="113">
        <f t="shared" si="0"/>
        <v>385880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>
        <v>4459</v>
      </c>
      <c r="D29" s="109"/>
      <c r="E29" s="110"/>
      <c r="F29" s="108"/>
      <c r="G29" s="110"/>
      <c r="H29" s="111"/>
      <c r="I29" s="110">
        <f>225930+51608+38925+1120</f>
        <v>317583</v>
      </c>
      <c r="J29" s="112">
        <v>50</v>
      </c>
      <c r="K29" s="113">
        <f t="shared" si="0"/>
        <v>322092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11560+2030</f>
        <v>13590</v>
      </c>
      <c r="J31" s="112"/>
      <c r="K31" s="113">
        <f t="shared" si="0"/>
        <v>13590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>
        <v>512</v>
      </c>
      <c r="K32" s="113">
        <f t="shared" si="0"/>
        <v>512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89362</v>
      </c>
      <c r="J34" s="112"/>
      <c r="K34" s="113">
        <f t="shared" si="0"/>
        <v>89362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>
        <v>33346</v>
      </c>
      <c r="G40" s="110"/>
      <c r="H40" s="111"/>
      <c r="I40" s="110"/>
      <c r="J40" s="112"/>
      <c r="K40" s="113">
        <f t="shared" si="0"/>
        <v>33346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/>
      <c r="G41" s="110"/>
      <c r="H41" s="111"/>
      <c r="I41" s="110"/>
      <c r="J41" s="112"/>
      <c r="K41" s="113">
        <f t="shared" si="0"/>
        <v>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60283</v>
      </c>
      <c r="D44" s="121">
        <f t="shared" si="1"/>
        <v>449746</v>
      </c>
      <c r="E44" s="122">
        <f t="shared" si="1"/>
        <v>249577</v>
      </c>
      <c r="F44" s="120">
        <f t="shared" si="1"/>
        <v>351326</v>
      </c>
      <c r="G44" s="123">
        <f t="shared" si="1"/>
        <v>475631</v>
      </c>
      <c r="H44" s="124">
        <f t="shared" si="1"/>
        <v>1213313</v>
      </c>
      <c r="I44" s="122">
        <f t="shared" si="1"/>
        <v>971588</v>
      </c>
      <c r="J44" s="125">
        <f t="shared" si="1"/>
        <v>88668</v>
      </c>
      <c r="K44" s="126">
        <f>SUM(C44:J44)</f>
        <v>3860132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60283</v>
      </c>
      <c r="D56" s="134">
        <f t="shared" si="2"/>
        <v>449746</v>
      </c>
      <c r="E56" s="135">
        <f t="shared" si="2"/>
        <v>249577</v>
      </c>
      <c r="F56" s="133">
        <f t="shared" si="2"/>
        <v>351326</v>
      </c>
      <c r="G56" s="136">
        <f t="shared" si="2"/>
        <v>475631</v>
      </c>
      <c r="H56" s="137">
        <f t="shared" si="2"/>
        <v>1213313</v>
      </c>
      <c r="I56" s="138">
        <f t="shared" si="2"/>
        <v>971588</v>
      </c>
      <c r="J56" s="139">
        <f t="shared" si="2"/>
        <v>88668</v>
      </c>
      <c r="K56" s="140">
        <f>SUM(C56:J56)</f>
        <v>3860132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60283</v>
      </c>
      <c r="D62" s="20">
        <f>C56/$K56</f>
        <v>1.5616823466140536E-2</v>
      </c>
    </row>
    <row r="63" spans="1:12" x14ac:dyDescent="0.35">
      <c r="B63" s="8" t="s">
        <v>2</v>
      </c>
      <c r="C63" s="21">
        <f>D56</f>
        <v>449746</v>
      </c>
      <c r="D63" s="20">
        <f>D56/$K56</f>
        <v>0.11651052347432679</v>
      </c>
    </row>
    <row r="64" spans="1:12" x14ac:dyDescent="0.35">
      <c r="B64" s="27" t="s">
        <v>41</v>
      </c>
      <c r="C64" s="22">
        <f>E56</f>
        <v>249577</v>
      </c>
      <c r="D64" s="57">
        <f>E56/$K56</f>
        <v>6.4655042884543851E-2</v>
      </c>
    </row>
    <row r="65" spans="2:4" ht="15" thickBot="1" x14ac:dyDescent="0.4">
      <c r="B65" s="192" t="s">
        <v>75</v>
      </c>
      <c r="C65" s="23">
        <f>SUM(C62:C64)</f>
        <v>759606</v>
      </c>
      <c r="D65" s="24">
        <f>SUM(D62:D64)</f>
        <v>0.19678238982501117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351326</v>
      </c>
      <c r="D67" s="7">
        <f>F56/K56</f>
        <v>9.1013986050217974E-2</v>
      </c>
    </row>
    <row r="68" spans="2:4" x14ac:dyDescent="0.35">
      <c r="B68" s="28" t="s">
        <v>5</v>
      </c>
      <c r="C68" s="9">
        <f>G56</f>
        <v>475631</v>
      </c>
      <c r="D68" s="10">
        <f>G56/K56</f>
        <v>0.1232162527084566</v>
      </c>
    </row>
    <row r="69" spans="2:4" ht="15" thickBot="1" x14ac:dyDescent="0.4">
      <c r="B69" s="192" t="s">
        <v>76</v>
      </c>
      <c r="C69" s="23">
        <f>SUM(C67:C68)</f>
        <v>826957</v>
      </c>
      <c r="D69" s="24">
        <f>SUM(D67:D68)</f>
        <v>0.21423023875867458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1213313</v>
      </c>
      <c r="D71" s="7">
        <f>H56/K56</f>
        <v>0.31431904401196642</v>
      </c>
    </row>
    <row r="72" spans="2:4" x14ac:dyDescent="0.35">
      <c r="B72" s="28" t="s">
        <v>6</v>
      </c>
      <c r="C72" s="9">
        <f>I56</f>
        <v>971588</v>
      </c>
      <c r="D72" s="10">
        <f>I56/K56</f>
        <v>0.25169812845778333</v>
      </c>
    </row>
    <row r="73" spans="2:4" ht="15" thickBot="1" x14ac:dyDescent="0.4">
      <c r="B73" s="192" t="s">
        <v>77</v>
      </c>
      <c r="C73" s="54">
        <f>SUM(C71:C72)</f>
        <v>2184901</v>
      </c>
      <c r="D73" s="24">
        <f>SUM(D71:D72)</f>
        <v>0.56601717246974981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88668</v>
      </c>
      <c r="D75" s="24">
        <f>J56/K56</f>
        <v>2.2970198946564522E-2</v>
      </c>
    </row>
    <row r="76" spans="2:4" ht="15" thickBot="1" x14ac:dyDescent="0.4">
      <c r="B76" s="36" t="s">
        <v>42</v>
      </c>
      <c r="C76" s="37">
        <f>C65+C69+C73+C75</f>
        <v>3860132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32" priority="3">
      <formula>ROW()=EVEN(ROW())</formula>
    </cfRule>
  </conditionalFormatting>
  <conditionalFormatting sqref="K45:K55">
    <cfRule type="expression" dxfId="31" priority="1">
      <formula>ROW()=EVEN(ROW())</formula>
    </cfRule>
  </conditionalFormatting>
  <conditionalFormatting sqref="K5:K44">
    <cfRule type="expression" dxfId="3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SKAGIT</oddHeader>
  </headerFooter>
  <rowBreaks count="1" manualBreakCount="1">
    <brk id="44" max="16383" man="1"/>
  </rowBreaks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B1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11430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2.09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>
        <f>19826+4347</f>
        <v>24173</v>
      </c>
      <c r="H5" s="111">
        <v>2659</v>
      </c>
      <c r="I5" s="110"/>
      <c r="J5" s="112"/>
      <c r="K5" s="113">
        <f>SUM(C5:J5)</f>
        <v>26832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4127</v>
      </c>
      <c r="E7" s="110"/>
      <c r="F7" s="108">
        <v>29551</v>
      </c>
      <c r="G7" s="110"/>
      <c r="H7" s="111">
        <v>3705</v>
      </c>
      <c r="I7" s="110"/>
      <c r="J7" s="112"/>
      <c r="K7" s="113">
        <f t="shared" si="0"/>
        <v>37383</v>
      </c>
      <c r="L7"/>
    </row>
    <row r="8" spans="1:12" x14ac:dyDescent="0.35">
      <c r="A8" s="93">
        <v>562.24</v>
      </c>
      <c r="B8" s="16" t="s">
        <v>11</v>
      </c>
      <c r="C8" s="108"/>
      <c r="D8" s="109">
        <v>668</v>
      </c>
      <c r="E8" s="110">
        <f>3862</f>
        <v>3862</v>
      </c>
      <c r="F8" s="114"/>
      <c r="G8" s="115">
        <v>3863</v>
      </c>
      <c r="H8" s="111">
        <v>923</v>
      </c>
      <c r="I8" s="110"/>
      <c r="J8" s="112"/>
      <c r="K8" s="113">
        <f t="shared" si="0"/>
        <v>9316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>
        <v>34610</v>
      </c>
      <c r="E10" s="110"/>
      <c r="F10" s="108"/>
      <c r="G10" s="110"/>
      <c r="H10" s="111">
        <v>8571</v>
      </c>
      <c r="I10" s="110">
        <v>3310</v>
      </c>
      <c r="J10" s="112"/>
      <c r="K10" s="113">
        <f t="shared" si="0"/>
        <v>46491</v>
      </c>
      <c r="L10"/>
    </row>
    <row r="11" spans="1:12" x14ac:dyDescent="0.35">
      <c r="A11" s="93">
        <v>562.27</v>
      </c>
      <c r="B11" s="29" t="s">
        <v>45</v>
      </c>
      <c r="C11" s="108">
        <v>16298</v>
      </c>
      <c r="D11" s="109"/>
      <c r="E11" s="110"/>
      <c r="F11" s="108">
        <v>5899</v>
      </c>
      <c r="G11" s="110"/>
      <c r="H11" s="111"/>
      <c r="I11" s="110">
        <v>17803</v>
      </c>
      <c r="J11" s="112"/>
      <c r="K11" s="113">
        <f t="shared" si="0"/>
        <v>40000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2365</v>
      </c>
      <c r="E12" s="110"/>
      <c r="F12" s="108">
        <v>41481</v>
      </c>
      <c r="G12" s="110"/>
      <c r="H12" s="111">
        <v>4823</v>
      </c>
      <c r="I12" s="110"/>
      <c r="J12" s="112"/>
      <c r="K12" s="113">
        <f t="shared" si="0"/>
        <v>48669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36</v>
      </c>
      <c r="E13" s="110"/>
      <c r="F13" s="108"/>
      <c r="G13" s="110"/>
      <c r="H13" s="111"/>
      <c r="I13" s="110"/>
      <c r="J13" s="112"/>
      <c r="K13" s="113">
        <f t="shared" si="0"/>
        <v>36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26154</v>
      </c>
      <c r="E14" s="110"/>
      <c r="F14" s="108">
        <v>4898</v>
      </c>
      <c r="G14" s="110"/>
      <c r="H14" s="111">
        <v>3824</v>
      </c>
      <c r="I14" s="110">
        <v>3713</v>
      </c>
      <c r="J14" s="112"/>
      <c r="K14" s="113">
        <f t="shared" si="0"/>
        <v>38589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1683</v>
      </c>
      <c r="E15" s="110"/>
      <c r="F15" s="108"/>
      <c r="G15" s="110"/>
      <c r="H15" s="111">
        <v>234</v>
      </c>
      <c r="I15" s="110">
        <v>445</v>
      </c>
      <c r="J15" s="112"/>
      <c r="K15" s="113">
        <f t="shared" si="0"/>
        <v>2362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9165</v>
      </c>
      <c r="E16" s="110"/>
      <c r="F16" s="108"/>
      <c r="G16" s="110"/>
      <c r="H16" s="111">
        <v>1035</v>
      </c>
      <c r="I16" s="110">
        <v>240</v>
      </c>
      <c r="J16" s="112"/>
      <c r="K16" s="113">
        <f t="shared" si="0"/>
        <v>10440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133</v>
      </c>
      <c r="E17" s="110"/>
      <c r="F17" s="108"/>
      <c r="G17" s="110"/>
      <c r="H17" s="111"/>
      <c r="I17" s="110"/>
      <c r="J17" s="112"/>
      <c r="K17" s="113">
        <f t="shared" si="0"/>
        <v>133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6280</v>
      </c>
      <c r="E18" s="110"/>
      <c r="F18" s="108"/>
      <c r="G18" s="110"/>
      <c r="H18" s="111">
        <v>691</v>
      </c>
      <c r="I18" s="110"/>
      <c r="J18" s="112"/>
      <c r="K18" s="113">
        <f t="shared" si="0"/>
        <v>6971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>
        <v>2873</v>
      </c>
      <c r="E20" s="110"/>
      <c r="F20" s="108"/>
      <c r="G20" s="110"/>
      <c r="H20" s="111">
        <v>316</v>
      </c>
      <c r="I20" s="110"/>
      <c r="J20" s="112"/>
      <c r="K20" s="113">
        <f t="shared" si="0"/>
        <v>3189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442</v>
      </c>
      <c r="F25" s="108"/>
      <c r="G25" s="110"/>
      <c r="H25" s="111"/>
      <c r="I25" s="110">
        <v>10644</v>
      </c>
      <c r="J25" s="112"/>
      <c r="K25" s="113">
        <f t="shared" si="0"/>
        <v>11086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2475</v>
      </c>
      <c r="F26" s="108"/>
      <c r="G26" s="110"/>
      <c r="H26" s="111">
        <v>8611</v>
      </c>
      <c r="I26" s="110"/>
      <c r="J26" s="112"/>
      <c r="K26" s="113">
        <f t="shared" si="0"/>
        <v>11086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v>24944</v>
      </c>
      <c r="J27" s="112"/>
      <c r="K27" s="113">
        <f t="shared" si="0"/>
        <v>24944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>
        <v>2772</v>
      </c>
      <c r="I28" s="110"/>
      <c r="J28" s="112"/>
      <c r="K28" s="113">
        <f t="shared" si="0"/>
        <v>2772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>
        <v>2961</v>
      </c>
      <c r="I29" s="110">
        <v>26920</v>
      </c>
      <c r="J29" s="112"/>
      <c r="K29" s="113">
        <f t="shared" si="0"/>
        <v>29881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>
        <v>2772</v>
      </c>
      <c r="I31" s="110"/>
      <c r="J31" s="112"/>
      <c r="K31" s="113">
        <f t="shared" si="0"/>
        <v>2772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>
        <v>2772</v>
      </c>
      <c r="I32" s="110"/>
      <c r="J32" s="112"/>
      <c r="K32" s="113">
        <f t="shared" si="0"/>
        <v>2772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4640</v>
      </c>
      <c r="E34" s="110"/>
      <c r="F34" s="108"/>
      <c r="G34" s="110"/>
      <c r="H34" s="111">
        <v>615</v>
      </c>
      <c r="I34" s="110">
        <v>949</v>
      </c>
      <c r="J34" s="112"/>
      <c r="K34" s="113">
        <f t="shared" si="0"/>
        <v>6204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1217</v>
      </c>
      <c r="E41" s="110"/>
      <c r="F41" s="108">
        <v>13038</v>
      </c>
      <c r="G41" s="110"/>
      <c r="H41" s="111">
        <v>1568</v>
      </c>
      <c r="I41" s="110"/>
      <c r="J41" s="112"/>
      <c r="K41" s="113">
        <f t="shared" si="0"/>
        <v>15823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16298</v>
      </c>
      <c r="D44" s="121">
        <f>SUM(D5:D43)</f>
        <v>93951</v>
      </c>
      <c r="E44" s="122">
        <f>SUM(E5:E43)</f>
        <v>6779</v>
      </c>
      <c r="F44" s="120">
        <f t="shared" si="1"/>
        <v>94867</v>
      </c>
      <c r="G44" s="123">
        <f t="shared" si="1"/>
        <v>28036</v>
      </c>
      <c r="H44" s="124">
        <f t="shared" si="1"/>
        <v>48852</v>
      </c>
      <c r="I44" s="122">
        <f t="shared" si="1"/>
        <v>88968</v>
      </c>
      <c r="J44" s="125">
        <f t="shared" si="1"/>
        <v>0</v>
      </c>
      <c r="K44" s="126">
        <f>SUM(C44:J44)</f>
        <v>377751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>
        <v>28687</v>
      </c>
      <c r="F52" s="108"/>
      <c r="G52" s="110">
        <v>805</v>
      </c>
      <c r="H52" s="111">
        <f>19795+53458</f>
        <v>73253</v>
      </c>
      <c r="I52" s="110">
        <v>811991</v>
      </c>
      <c r="J52" s="112">
        <f>119523+3063</f>
        <v>122586</v>
      </c>
      <c r="K52" s="113">
        <f t="shared" si="0"/>
        <v>1037322</v>
      </c>
      <c r="L52"/>
    </row>
    <row r="53" spans="1:12" x14ac:dyDescent="0.35">
      <c r="A53" s="93">
        <v>566</v>
      </c>
      <c r="B53" s="16" t="s">
        <v>38</v>
      </c>
      <c r="C53" s="108"/>
      <c r="D53" s="109">
        <v>1085</v>
      </c>
      <c r="E53" s="110">
        <f>48738</f>
        <v>48738</v>
      </c>
      <c r="F53" s="108"/>
      <c r="G53" s="110">
        <v>7627</v>
      </c>
      <c r="H53" s="111">
        <f>100505+27513</f>
        <v>128018</v>
      </c>
      <c r="I53" s="110">
        <v>92165</v>
      </c>
      <c r="J53" s="112"/>
      <c r="K53" s="113">
        <f t="shared" si="0"/>
        <v>277633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>
        <v>61953</v>
      </c>
      <c r="F54" s="108"/>
      <c r="G54" s="110"/>
      <c r="H54" s="111">
        <f>19795+12342</f>
        <v>32137</v>
      </c>
      <c r="I54" s="110">
        <v>30448</v>
      </c>
      <c r="J54" s="112"/>
      <c r="K54" s="113">
        <f t="shared" si="0"/>
        <v>124538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16298</v>
      </c>
      <c r="D56" s="134">
        <f>SUM(D44:D55)</f>
        <v>95036</v>
      </c>
      <c r="E56" s="135">
        <f>SUM(E44:E55)</f>
        <v>146157</v>
      </c>
      <c r="F56" s="133">
        <f t="shared" si="2"/>
        <v>94867</v>
      </c>
      <c r="G56" s="136">
        <f t="shared" si="2"/>
        <v>36468</v>
      </c>
      <c r="H56" s="137">
        <f t="shared" si="2"/>
        <v>282260</v>
      </c>
      <c r="I56" s="138">
        <f t="shared" si="2"/>
        <v>1023572</v>
      </c>
      <c r="J56" s="139">
        <f t="shared" si="2"/>
        <v>122586</v>
      </c>
      <c r="K56" s="140">
        <f>SUM(C56:J56)</f>
        <v>1817244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16298</v>
      </c>
      <c r="D62" s="20">
        <f>C56/$K56</f>
        <v>8.9685259656931051E-3</v>
      </c>
    </row>
    <row r="63" spans="1:12" x14ac:dyDescent="0.35">
      <c r="B63" s="8" t="s">
        <v>2</v>
      </c>
      <c r="C63" s="21">
        <f>D56</f>
        <v>95036</v>
      </c>
      <c r="D63" s="20">
        <f>D56/$K56</f>
        <v>5.2296774676378076E-2</v>
      </c>
    </row>
    <row r="64" spans="1:12" x14ac:dyDescent="0.35">
      <c r="B64" s="27" t="s">
        <v>41</v>
      </c>
      <c r="C64" s="22">
        <f>E56</f>
        <v>146157</v>
      </c>
      <c r="D64" s="57">
        <f>E56/$K56</f>
        <v>8.0427834677126456E-2</v>
      </c>
    </row>
    <row r="65" spans="2:4" ht="15" thickBot="1" x14ac:dyDescent="0.4">
      <c r="B65" s="192" t="s">
        <v>75</v>
      </c>
      <c r="C65" s="23">
        <f>SUM(C62:C64)</f>
        <v>257491</v>
      </c>
      <c r="D65" s="24">
        <f>SUM(D62:D64)</f>
        <v>0.14169313531919764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94867</v>
      </c>
      <c r="D67" s="7">
        <f>F56/K56</f>
        <v>5.2203776708025999E-2</v>
      </c>
    </row>
    <row r="68" spans="2:4" x14ac:dyDescent="0.35">
      <c r="B68" s="28" t="s">
        <v>5</v>
      </c>
      <c r="C68" s="9">
        <f>G56</f>
        <v>36468</v>
      </c>
      <c r="D68" s="10">
        <f>G56/K56</f>
        <v>2.0067750945937914E-2</v>
      </c>
    </row>
    <row r="69" spans="2:4" ht="15" thickBot="1" x14ac:dyDescent="0.4">
      <c r="B69" s="192" t="s">
        <v>76</v>
      </c>
      <c r="C69" s="23">
        <f>SUM(C67:C68)</f>
        <v>131335</v>
      </c>
      <c r="D69" s="24">
        <f>SUM(D67:D68)</f>
        <v>7.2271527653963913E-2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282260</v>
      </c>
      <c r="D71" s="7">
        <f>H56/K56</f>
        <v>0.15532311566305901</v>
      </c>
    </row>
    <row r="72" spans="2:4" x14ac:dyDescent="0.35">
      <c r="B72" s="28" t="s">
        <v>6</v>
      </c>
      <c r="C72" s="9">
        <f>I56</f>
        <v>1023572</v>
      </c>
      <c r="D72" s="10">
        <f>I56/K56</f>
        <v>0.56325512699450375</v>
      </c>
    </row>
    <row r="73" spans="2:4" ht="15" thickBot="1" x14ac:dyDescent="0.4">
      <c r="B73" s="192" t="s">
        <v>77</v>
      </c>
      <c r="C73" s="54">
        <f>SUM(C71:C72)</f>
        <v>1305832</v>
      </c>
      <c r="D73" s="24">
        <f>SUM(D71:D72)</f>
        <v>0.71857824265756276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122586</v>
      </c>
      <c r="D75" s="24">
        <f>J56/K56</f>
        <v>6.7457094369275675E-2</v>
      </c>
    </row>
    <row r="76" spans="2:4" ht="15" thickBot="1" x14ac:dyDescent="0.4">
      <c r="B76" s="36" t="s">
        <v>42</v>
      </c>
      <c r="C76" s="37">
        <f>C65+C69+C73+C75</f>
        <v>1817244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29" priority="3">
      <formula>ROW()=EVEN(ROW())</formula>
    </cfRule>
  </conditionalFormatting>
  <conditionalFormatting sqref="K45:K55">
    <cfRule type="expression" dxfId="28" priority="1">
      <formula>ROW()=EVEN(ROW())</formula>
    </cfRule>
  </conditionalFormatting>
  <conditionalFormatting sqref="K5:K44">
    <cfRule type="expression" dxfId="27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SKAMANIA</oddHeader>
  </headerFooter>
  <rowBreaks count="1" manualBreakCount="1">
    <brk id="44" max="16383" man="1"/>
  </rowBreaks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757600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132.4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314815</v>
      </c>
      <c r="E5" s="110"/>
      <c r="F5" s="108"/>
      <c r="G5" s="110">
        <v>25843</v>
      </c>
      <c r="H5" s="111">
        <f>653200+1850</f>
        <v>655050</v>
      </c>
      <c r="I5" s="110">
        <f>330+214+260</f>
        <v>804</v>
      </c>
      <c r="J5" s="112">
        <f>11559+64+8743+191478-395-35573</f>
        <v>175876</v>
      </c>
      <c r="K5" s="113">
        <f>SUM(C5:J5)</f>
        <v>1172388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684507</v>
      </c>
      <c r="E7" s="110"/>
      <c r="F7" s="108">
        <v>95592</v>
      </c>
      <c r="G7" s="110"/>
      <c r="H7" s="111">
        <v>681793</v>
      </c>
      <c r="I7" s="110">
        <v>262350</v>
      </c>
      <c r="J7" s="112"/>
      <c r="K7" s="113">
        <f t="shared" si="0"/>
        <v>1724242</v>
      </c>
      <c r="L7"/>
    </row>
    <row r="8" spans="1:12" x14ac:dyDescent="0.35">
      <c r="A8" s="93">
        <v>562.24</v>
      </c>
      <c r="B8" s="16" t="s">
        <v>11</v>
      </c>
      <c r="C8" s="108"/>
      <c r="D8" s="109">
        <v>18783</v>
      </c>
      <c r="E8" s="110"/>
      <c r="F8" s="114"/>
      <c r="G8" s="115">
        <f>87518+44124</f>
        <v>131642</v>
      </c>
      <c r="H8" s="111"/>
      <c r="I8" s="110">
        <f>8672-10</f>
        <v>8662</v>
      </c>
      <c r="J8" s="112"/>
      <c r="K8" s="113">
        <f t="shared" si="0"/>
        <v>159087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>
        <v>250582</v>
      </c>
      <c r="G9" s="110"/>
      <c r="H9" s="111"/>
      <c r="I9" s="110">
        <v>5525</v>
      </c>
      <c r="J9" s="112">
        <v>-10171</v>
      </c>
      <c r="K9" s="113">
        <f t="shared" si="0"/>
        <v>245936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116466</v>
      </c>
      <c r="E12" s="110"/>
      <c r="F12" s="108">
        <v>1307065</v>
      </c>
      <c r="G12" s="110"/>
      <c r="H12" s="111"/>
      <c r="I12" s="110"/>
      <c r="J12" s="112"/>
      <c r="K12" s="113">
        <f t="shared" si="0"/>
        <v>1423531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73174</v>
      </c>
      <c r="E13" s="110"/>
      <c r="F13" s="108"/>
      <c r="G13" s="110"/>
      <c r="H13" s="111"/>
      <c r="I13" s="110">
        <v>188768</v>
      </c>
      <c r="J13" s="112"/>
      <c r="K13" s="113">
        <f t="shared" si="0"/>
        <v>261942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865288</v>
      </c>
      <c r="E14" s="110"/>
      <c r="F14" s="108">
        <v>155159</v>
      </c>
      <c r="G14" s="110"/>
      <c r="H14" s="111"/>
      <c r="I14" s="110">
        <f>105006+15819+497</f>
        <v>121322</v>
      </c>
      <c r="J14" s="112">
        <f>2660+100</f>
        <v>2760</v>
      </c>
      <c r="K14" s="113">
        <f t="shared" si="0"/>
        <v>1144529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136819</v>
      </c>
      <c r="E15" s="110"/>
      <c r="F15" s="108">
        <v>27529</v>
      </c>
      <c r="G15" s="110"/>
      <c r="H15" s="111">
        <v>63268</v>
      </c>
      <c r="I15" s="110"/>
      <c r="J15" s="112"/>
      <c r="K15" s="113">
        <f t="shared" si="0"/>
        <v>227616</v>
      </c>
      <c r="L15"/>
    </row>
    <row r="16" spans="1:12" x14ac:dyDescent="0.35">
      <c r="A16" s="93">
        <v>562.34</v>
      </c>
      <c r="B16" s="16" t="s">
        <v>13</v>
      </c>
      <c r="C16" s="108">
        <v>8333</v>
      </c>
      <c r="D16" s="109"/>
      <c r="E16" s="110"/>
      <c r="F16" s="108">
        <v>86184</v>
      </c>
      <c r="G16" s="110"/>
      <c r="H16" s="111">
        <v>1035180</v>
      </c>
      <c r="I16" s="110">
        <f>2961+38933+18301</f>
        <v>60195</v>
      </c>
      <c r="J16" s="112"/>
      <c r="K16" s="113">
        <f t="shared" si="0"/>
        <v>1189892</v>
      </c>
      <c r="L16"/>
    </row>
    <row r="17" spans="1:12" x14ac:dyDescent="0.35">
      <c r="A17" s="93">
        <v>562.35</v>
      </c>
      <c r="B17" s="16" t="s">
        <v>14</v>
      </c>
      <c r="C17" s="108">
        <v>61301</v>
      </c>
      <c r="D17" s="109">
        <v>11244</v>
      </c>
      <c r="E17" s="110"/>
      <c r="F17" s="108">
        <f>227526+9675</f>
        <v>237201</v>
      </c>
      <c r="G17" s="110"/>
      <c r="H17" s="111"/>
      <c r="I17" s="110">
        <v>862</v>
      </c>
      <c r="J17" s="112"/>
      <c r="K17" s="113">
        <f t="shared" si="0"/>
        <v>310608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273485</v>
      </c>
      <c r="E18" s="110"/>
      <c r="F18" s="108"/>
      <c r="G18" s="110"/>
      <c r="H18" s="111">
        <v>501552</v>
      </c>
      <c r="I18" s="110">
        <v>66</v>
      </c>
      <c r="J18" s="112"/>
      <c r="K18" s="113">
        <f t="shared" si="0"/>
        <v>775103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>
        <v>51033</v>
      </c>
      <c r="D22" s="109">
        <v>402594</v>
      </c>
      <c r="E22" s="110"/>
      <c r="F22" s="108">
        <f>7545+5545</f>
        <v>13090</v>
      </c>
      <c r="G22" s="110"/>
      <c r="H22" s="111"/>
      <c r="I22" s="110"/>
      <c r="J22" s="112"/>
      <c r="K22" s="113">
        <f t="shared" si="0"/>
        <v>466717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10743</v>
      </c>
      <c r="E24" s="110"/>
      <c r="F24" s="108">
        <v>55488</v>
      </c>
      <c r="G24" s="110"/>
      <c r="H24" s="111"/>
      <c r="I24" s="110"/>
      <c r="J24" s="112"/>
      <c r="K24" s="113">
        <f t="shared" si="0"/>
        <v>66231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15360</v>
      </c>
      <c r="F25" s="108"/>
      <c r="G25" s="110"/>
      <c r="H25" s="111"/>
      <c r="I25" s="110">
        <f>7455+66709+44320+5175+5175</f>
        <v>128834</v>
      </c>
      <c r="J25" s="112">
        <v>-51597</v>
      </c>
      <c r="K25" s="113">
        <f t="shared" si="0"/>
        <v>92597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312695</v>
      </c>
      <c r="F26" s="108"/>
      <c r="G26" s="110"/>
      <c r="H26" s="111"/>
      <c r="I26" s="110">
        <f>74424+8064</f>
        <v>82488</v>
      </c>
      <c r="J26" s="112">
        <f>11+1023096</f>
        <v>1023107</v>
      </c>
      <c r="K26" s="113">
        <f t="shared" si="0"/>
        <v>1418290</v>
      </c>
      <c r="L26"/>
    </row>
    <row r="27" spans="1:12" x14ac:dyDescent="0.35">
      <c r="A27" s="93">
        <v>562.54</v>
      </c>
      <c r="B27" s="29" t="s">
        <v>60</v>
      </c>
      <c r="C27" s="108">
        <v>40000</v>
      </c>
      <c r="D27" s="109"/>
      <c r="E27" s="110"/>
      <c r="F27" s="108"/>
      <c r="G27" s="110"/>
      <c r="H27" s="111"/>
      <c r="I27" s="110">
        <f>57153+760708+222800</f>
        <v>1040661</v>
      </c>
      <c r="J27" s="112">
        <v>-172473</v>
      </c>
      <c r="K27" s="113">
        <f t="shared" si="0"/>
        <v>908188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>
        <f>2140774+116109</f>
        <v>2256883</v>
      </c>
      <c r="J28" s="112">
        <v>-214801</v>
      </c>
      <c r="K28" s="113">
        <f t="shared" si="0"/>
        <v>2042082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243594+70707</f>
        <v>314301</v>
      </c>
      <c r="J31" s="112">
        <v>-53008</v>
      </c>
      <c r="K31" s="113">
        <f t="shared" si="0"/>
        <v>261293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>
        <v>4880</v>
      </c>
      <c r="D33" s="109"/>
      <c r="E33" s="110"/>
      <c r="F33" s="108"/>
      <c r="G33" s="110"/>
      <c r="H33" s="111"/>
      <c r="I33" s="110"/>
      <c r="J33" s="112">
        <v>25656</v>
      </c>
      <c r="K33" s="113">
        <f t="shared" si="0"/>
        <v>30536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20827</v>
      </c>
      <c r="E34" s="110"/>
      <c r="F34" s="108"/>
      <c r="G34" s="110"/>
      <c r="H34" s="111"/>
      <c r="I34" s="110">
        <f>182+339992</f>
        <v>340174</v>
      </c>
      <c r="J34" s="112">
        <f>19-58</f>
        <v>-39</v>
      </c>
      <c r="K34" s="113">
        <f t="shared" si="0"/>
        <v>360962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464003</v>
      </c>
      <c r="E40" s="110"/>
      <c r="F40" s="108"/>
      <c r="G40" s="110">
        <v>8056</v>
      </c>
      <c r="H40" s="111"/>
      <c r="I40" s="110"/>
      <c r="J40" s="112"/>
      <c r="K40" s="113">
        <f t="shared" si="0"/>
        <v>472059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f>596232+2610+62029</f>
        <v>660871</v>
      </c>
      <c r="G41" s="110">
        <v>1394</v>
      </c>
      <c r="H41" s="111"/>
      <c r="I41" s="110"/>
      <c r="J41" s="112">
        <v>-14476</v>
      </c>
      <c r="K41" s="113">
        <f t="shared" si="0"/>
        <v>647789</v>
      </c>
      <c r="L41"/>
    </row>
    <row r="42" spans="1:12" x14ac:dyDescent="0.35">
      <c r="A42" s="93">
        <v>562.9</v>
      </c>
      <c r="B42" s="16" t="s">
        <v>28</v>
      </c>
      <c r="C42" s="108"/>
      <c r="D42" s="109">
        <v>16586</v>
      </c>
      <c r="E42" s="110"/>
      <c r="F42" s="108"/>
      <c r="G42" s="110"/>
      <c r="H42" s="111"/>
      <c r="I42" s="110"/>
      <c r="J42" s="112"/>
      <c r="K42" s="113">
        <f t="shared" si="0"/>
        <v>16586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165547</v>
      </c>
      <c r="D44" s="121">
        <f t="shared" si="1"/>
        <v>3409334</v>
      </c>
      <c r="E44" s="122">
        <f t="shared" si="1"/>
        <v>328055</v>
      </c>
      <c r="F44" s="120">
        <f t="shared" si="1"/>
        <v>2888761</v>
      </c>
      <c r="G44" s="123">
        <f t="shared" si="1"/>
        <v>166935</v>
      </c>
      <c r="H44" s="124">
        <f t="shared" si="1"/>
        <v>2936843</v>
      </c>
      <c r="I44" s="122">
        <f t="shared" si="1"/>
        <v>4811895</v>
      </c>
      <c r="J44" s="125">
        <f t="shared" si="1"/>
        <v>710834</v>
      </c>
      <c r="K44" s="126">
        <f>SUM(C44:J44)</f>
        <v>15418204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>
        <v>23957</v>
      </c>
      <c r="E49" s="110">
        <v>106261</v>
      </c>
      <c r="F49" s="108"/>
      <c r="G49" s="110"/>
      <c r="H49" s="111">
        <v>0</v>
      </c>
      <c r="I49" s="110">
        <v>0</v>
      </c>
      <c r="J49" s="112"/>
      <c r="K49" s="113">
        <f t="shared" si="0"/>
        <v>130218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165547</v>
      </c>
      <c r="D56" s="134">
        <f t="shared" si="2"/>
        <v>3433291</v>
      </c>
      <c r="E56" s="135">
        <f t="shared" si="2"/>
        <v>434316</v>
      </c>
      <c r="F56" s="133">
        <f t="shared" si="2"/>
        <v>2888761</v>
      </c>
      <c r="G56" s="136">
        <f t="shared" si="2"/>
        <v>166935</v>
      </c>
      <c r="H56" s="137">
        <f t="shared" si="2"/>
        <v>2936843</v>
      </c>
      <c r="I56" s="138">
        <f t="shared" si="2"/>
        <v>4811895</v>
      </c>
      <c r="J56" s="139">
        <f t="shared" si="2"/>
        <v>710834</v>
      </c>
      <c r="K56" s="140">
        <f>SUM(C56:J56)</f>
        <v>15548422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165547</v>
      </c>
      <c r="D62" s="20">
        <f>C56/$K56</f>
        <v>1.064718979199304E-2</v>
      </c>
    </row>
    <row r="63" spans="1:12" x14ac:dyDescent="0.35">
      <c r="B63" s="8" t="s">
        <v>2</v>
      </c>
      <c r="C63" s="21">
        <f>D56</f>
        <v>3433291</v>
      </c>
      <c r="D63" s="20">
        <f>D56/$K56</f>
        <v>0.22081282589319998</v>
      </c>
    </row>
    <row r="64" spans="1:12" x14ac:dyDescent="0.35">
      <c r="B64" s="27" t="s">
        <v>41</v>
      </c>
      <c r="C64" s="22">
        <f>E56</f>
        <v>434316</v>
      </c>
      <c r="D64" s="57">
        <f>E56/$K56</f>
        <v>2.7933124017344012E-2</v>
      </c>
    </row>
    <row r="65" spans="2:4" ht="15" thickBot="1" x14ac:dyDescent="0.4">
      <c r="B65" s="192" t="s">
        <v>75</v>
      </c>
      <c r="C65" s="23">
        <f>SUM(C62:C64)</f>
        <v>4033154</v>
      </c>
      <c r="D65" s="24">
        <f>SUM(D62:D64)</f>
        <v>0.25939313970253702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2888761</v>
      </c>
      <c r="D67" s="7">
        <f>F56/K56</f>
        <v>0.18579126550591435</v>
      </c>
    </row>
    <row r="68" spans="2:4" x14ac:dyDescent="0.35">
      <c r="B68" s="28" t="s">
        <v>5</v>
      </c>
      <c r="C68" s="9">
        <f>G56</f>
        <v>166935</v>
      </c>
      <c r="D68" s="10">
        <f>G56/K56</f>
        <v>1.0736459301143229E-2</v>
      </c>
    </row>
    <row r="69" spans="2:4" ht="15" thickBot="1" x14ac:dyDescent="0.4">
      <c r="B69" s="192" t="s">
        <v>76</v>
      </c>
      <c r="C69" s="23">
        <f>SUM(C67:C68)</f>
        <v>3055696</v>
      </c>
      <c r="D69" s="24">
        <f>SUM(D67:D68)</f>
        <v>0.19652772480705757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2936843</v>
      </c>
      <c r="D71" s="7">
        <f>H56/K56</f>
        <v>0.1888836693524269</v>
      </c>
    </row>
    <row r="72" spans="2:4" x14ac:dyDescent="0.35">
      <c r="B72" s="28" t="s">
        <v>6</v>
      </c>
      <c r="C72" s="9">
        <f>I56</f>
        <v>4811895</v>
      </c>
      <c r="D72" s="10">
        <f>I56/K56</f>
        <v>0.30947802934600049</v>
      </c>
    </row>
    <row r="73" spans="2:4" ht="15" thickBot="1" x14ac:dyDescent="0.4">
      <c r="B73" s="192" t="s">
        <v>77</v>
      </c>
      <c r="C73" s="54">
        <f>SUM(C71:C72)</f>
        <v>7748738</v>
      </c>
      <c r="D73" s="24">
        <f>SUM(D71:D72)</f>
        <v>0.49836169869842739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710834</v>
      </c>
      <c r="D75" s="24">
        <f>J56/K56</f>
        <v>4.571743679197799E-2</v>
      </c>
    </row>
    <row r="76" spans="2:4" ht="15" thickBot="1" x14ac:dyDescent="0.4">
      <c r="B76" s="36" t="s">
        <v>42</v>
      </c>
      <c r="C76" s="37">
        <f>C65+C69+C73+C75</f>
        <v>15548422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26" priority="3">
      <formula>ROW()=EVEN(ROW())</formula>
    </cfRule>
  </conditionalFormatting>
  <conditionalFormatting sqref="K45:K55">
    <cfRule type="expression" dxfId="25" priority="1">
      <formula>ROW()=EVEN(ROW())</formula>
    </cfRule>
  </conditionalFormatting>
  <conditionalFormatting sqref="K5:K44">
    <cfRule type="expression" dxfId="24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SNOHOMISH</oddHeader>
  </headerFooter>
  <rowBreaks count="1" manualBreakCount="1">
    <brk id="44" max="16383" man="1"/>
  </rowBreaks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79" sqref="G79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488310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213.12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1864557</v>
      </c>
      <c r="E5" s="110"/>
      <c r="F5" s="108"/>
      <c r="G5" s="110">
        <v>374389</v>
      </c>
      <c r="H5" s="111">
        <v>85794</v>
      </c>
      <c r="I5" s="110">
        <v>6221</v>
      </c>
      <c r="J5" s="112">
        <f>81912+4867+3+53697</f>
        <v>140479</v>
      </c>
      <c r="K5" s="113">
        <f>SUM(C5:J5)</f>
        <v>2471440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423666</v>
      </c>
      <c r="E7" s="110"/>
      <c r="F7" s="108">
        <v>157664</v>
      </c>
      <c r="G7" s="110">
        <f>743280+107767</f>
        <v>851047</v>
      </c>
      <c r="H7" s="111">
        <v>78076</v>
      </c>
      <c r="I7" s="110"/>
      <c r="J7" s="112"/>
      <c r="K7" s="113">
        <f t="shared" si="0"/>
        <v>1510453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22062</v>
      </c>
      <c r="F8" s="114"/>
      <c r="G8" s="115">
        <f>22062+4504</f>
        <v>26566</v>
      </c>
      <c r="H8" s="111">
        <v>44898</v>
      </c>
      <c r="I8" s="110"/>
      <c r="J8" s="112"/>
      <c r="K8" s="113">
        <f t="shared" si="0"/>
        <v>93526</v>
      </c>
      <c r="L8"/>
    </row>
    <row r="9" spans="1:12" x14ac:dyDescent="0.35">
      <c r="A9" s="93">
        <v>562.25</v>
      </c>
      <c r="B9" s="29" t="s">
        <v>53</v>
      </c>
      <c r="C9" s="108"/>
      <c r="D9" s="109">
        <v>145137</v>
      </c>
      <c r="E9" s="110">
        <f>135405+1665+3552573</f>
        <v>3689643</v>
      </c>
      <c r="F9" s="108">
        <v>201650</v>
      </c>
      <c r="G9" s="110">
        <f>31665+423493+35091</f>
        <v>490249</v>
      </c>
      <c r="H9" s="111">
        <v>292461</v>
      </c>
      <c r="I9" s="110"/>
      <c r="J9" s="112"/>
      <c r="K9" s="113">
        <f t="shared" si="0"/>
        <v>4819140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43300</v>
      </c>
      <c r="E12" s="110"/>
      <c r="F12" s="108">
        <f>1530+2241792</f>
        <v>2243322</v>
      </c>
      <c r="G12" s="110"/>
      <c r="H12" s="111">
        <v>103413</v>
      </c>
      <c r="I12" s="110"/>
      <c r="J12" s="112"/>
      <c r="K12" s="113">
        <f t="shared" si="0"/>
        <v>2390035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17538</v>
      </c>
      <c r="E14" s="110"/>
      <c r="F14" s="108">
        <v>114008</v>
      </c>
      <c r="G14" s="110"/>
      <c r="H14" s="111">
        <v>15537</v>
      </c>
      <c r="I14" s="110"/>
      <c r="J14" s="112">
        <v>36023</v>
      </c>
      <c r="K14" s="113">
        <f t="shared" si="0"/>
        <v>183106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>
        <v>30000</v>
      </c>
      <c r="G15" s="110"/>
      <c r="H15" s="111">
        <v>6554</v>
      </c>
      <c r="I15" s="110"/>
      <c r="J15" s="112"/>
      <c r="K15" s="113">
        <f t="shared" si="0"/>
        <v>36554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116795</v>
      </c>
      <c r="I16" s="110">
        <f>-502+8990</f>
        <v>8488</v>
      </c>
      <c r="J16" s="112"/>
      <c r="K16" s="113">
        <f t="shared" si="0"/>
        <v>125283</v>
      </c>
      <c r="L16"/>
    </row>
    <row r="17" spans="1:12" x14ac:dyDescent="0.35">
      <c r="A17" s="93">
        <v>562.35</v>
      </c>
      <c r="B17" s="16" t="s">
        <v>14</v>
      </c>
      <c r="C17" s="108">
        <f>132391+248692</f>
        <v>381083</v>
      </c>
      <c r="D17" s="109"/>
      <c r="E17" s="110">
        <v>12201</v>
      </c>
      <c r="F17" s="108">
        <f>46719+106852</f>
        <v>153571</v>
      </c>
      <c r="G17" s="110">
        <v>6667</v>
      </c>
      <c r="H17" s="111">
        <v>77007</v>
      </c>
      <c r="I17" s="110">
        <v>99580</v>
      </c>
      <c r="J17" s="112">
        <v>403</v>
      </c>
      <c r="K17" s="113">
        <f t="shared" si="0"/>
        <v>730512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>
        <v>135767</v>
      </c>
      <c r="G19" s="110">
        <v>93017</v>
      </c>
      <c r="H19" s="111">
        <v>15</v>
      </c>
      <c r="I19" s="110"/>
      <c r="J19" s="112"/>
      <c r="K19" s="113">
        <f t="shared" si="0"/>
        <v>228799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>
        <v>86</v>
      </c>
      <c r="F20" s="108">
        <v>79349</v>
      </c>
      <c r="G20" s="110">
        <v>153715</v>
      </c>
      <c r="H20" s="111">
        <v>414900</v>
      </c>
      <c r="I20" s="110"/>
      <c r="J20" s="112"/>
      <c r="K20" s="113">
        <f t="shared" si="0"/>
        <v>648050</v>
      </c>
      <c r="L20"/>
    </row>
    <row r="21" spans="1:12" x14ac:dyDescent="0.35">
      <c r="A21" s="93">
        <v>562.42999999999995</v>
      </c>
      <c r="B21" s="29" t="s">
        <v>56</v>
      </c>
      <c r="C21" s="108">
        <v>117725</v>
      </c>
      <c r="D21" s="109"/>
      <c r="E21" s="110"/>
      <c r="F21" s="108">
        <f>10832+5234+256294</f>
        <v>272360</v>
      </c>
      <c r="G21" s="110"/>
      <c r="H21" s="111">
        <v>6916</v>
      </c>
      <c r="I21" s="110"/>
      <c r="J21" s="112">
        <v>14988</v>
      </c>
      <c r="K21" s="113">
        <f t="shared" si="0"/>
        <v>411989</v>
      </c>
      <c r="L21"/>
    </row>
    <row r="22" spans="1:12" x14ac:dyDescent="0.35">
      <c r="A22" s="93">
        <v>562.44000000000005</v>
      </c>
      <c r="B22" s="29" t="s">
        <v>57</v>
      </c>
      <c r="C22" s="108">
        <v>48661</v>
      </c>
      <c r="D22" s="109">
        <v>71443</v>
      </c>
      <c r="E22" s="110"/>
      <c r="F22" s="108">
        <f>25000+49895</f>
        <v>74895</v>
      </c>
      <c r="G22" s="110"/>
      <c r="H22" s="111">
        <v>16183</v>
      </c>
      <c r="I22" s="110"/>
      <c r="J22" s="112"/>
      <c r="K22" s="113">
        <f t="shared" si="0"/>
        <v>211182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>
        <v>24140</v>
      </c>
      <c r="F23" s="108"/>
      <c r="G23" s="110"/>
      <c r="H23" s="111">
        <v>23439</v>
      </c>
      <c r="I23" s="110">
        <v>5011</v>
      </c>
      <c r="J23" s="112">
        <v>2498</v>
      </c>
      <c r="K23" s="113">
        <f t="shared" si="0"/>
        <v>55088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/>
      <c r="J25" s="112"/>
      <c r="K25" s="113">
        <f t="shared" si="0"/>
        <v>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385586</v>
      </c>
      <c r="F26" s="108"/>
      <c r="G26" s="110"/>
      <c r="H26" s="111">
        <v>46404</v>
      </c>
      <c r="I26" s="110">
        <v>197099</v>
      </c>
      <c r="J26" s="112"/>
      <c r="K26" s="113">
        <f t="shared" si="0"/>
        <v>629089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>
        <v>245764</v>
      </c>
      <c r="I27" s="110">
        <f>51693+511370+102750</f>
        <v>665813</v>
      </c>
      <c r="J27" s="112"/>
      <c r="K27" s="113">
        <f t="shared" si="0"/>
        <v>911577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1330310+220741+177733</f>
        <v>1728784</v>
      </c>
      <c r="J29" s="112"/>
      <c r="K29" s="113">
        <f t="shared" si="0"/>
        <v>1728784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>
        <v>465185</v>
      </c>
      <c r="I30" s="110">
        <f>177685+23290</f>
        <v>200975</v>
      </c>
      <c r="J30" s="112"/>
      <c r="K30" s="113">
        <f t="shared" si="0"/>
        <v>666160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/>
      <c r="J31" s="112"/>
      <c r="K31" s="113">
        <f t="shared" si="0"/>
        <v>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12574</v>
      </c>
      <c r="I34" s="110">
        <v>350848</v>
      </c>
      <c r="J34" s="112"/>
      <c r="K34" s="113">
        <f t="shared" si="0"/>
        <v>363422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3781</v>
      </c>
      <c r="E36" s="110"/>
      <c r="F36" s="108">
        <v>474350</v>
      </c>
      <c r="G36" s="110"/>
      <c r="H36" s="111">
        <v>7738</v>
      </c>
      <c r="I36" s="110"/>
      <c r="J36" s="112">
        <v>2243</v>
      </c>
      <c r="K36" s="113">
        <f t="shared" si="0"/>
        <v>488112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f>254193</f>
        <v>254193</v>
      </c>
      <c r="E39" s="110">
        <v>251936</v>
      </c>
      <c r="F39" s="108">
        <v>1317</v>
      </c>
      <c r="G39" s="110"/>
      <c r="H39" s="111">
        <v>275693</v>
      </c>
      <c r="I39" s="110">
        <v>6202</v>
      </c>
      <c r="J39" s="112"/>
      <c r="K39" s="113">
        <f t="shared" si="0"/>
        <v>789341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51067</v>
      </c>
      <c r="E40" s="110">
        <f>1627</f>
        <v>1627</v>
      </c>
      <c r="F40" s="108">
        <f>25411+13437+8768</f>
        <v>47616</v>
      </c>
      <c r="G40" s="110">
        <f>25000+32166</f>
        <v>57166</v>
      </c>
      <c r="H40" s="111">
        <v>403094</v>
      </c>
      <c r="I40" s="110">
        <v>51500</v>
      </c>
      <c r="J40" s="112">
        <f>10050+199397</f>
        <v>209447</v>
      </c>
      <c r="K40" s="113">
        <f t="shared" si="0"/>
        <v>821517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f>465640+63411+23442+300243</f>
        <v>852736</v>
      </c>
      <c r="G41" s="110">
        <v>3500</v>
      </c>
      <c r="H41" s="111">
        <v>2075</v>
      </c>
      <c r="I41" s="110"/>
      <c r="J41" s="112"/>
      <c r="K41" s="113">
        <f t="shared" si="0"/>
        <v>858311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547469</v>
      </c>
      <c r="D44" s="121">
        <f t="shared" si="1"/>
        <v>2874682</v>
      </c>
      <c r="E44" s="122">
        <f t="shared" si="1"/>
        <v>4387281</v>
      </c>
      <c r="F44" s="120">
        <f t="shared" si="1"/>
        <v>4838605</v>
      </c>
      <c r="G44" s="123">
        <f t="shared" si="1"/>
        <v>2056316</v>
      </c>
      <c r="H44" s="124">
        <f t="shared" si="1"/>
        <v>2740515</v>
      </c>
      <c r="I44" s="122">
        <f t="shared" si="1"/>
        <v>3320521</v>
      </c>
      <c r="J44" s="125">
        <f t="shared" si="1"/>
        <v>406081</v>
      </c>
      <c r="K44" s="126">
        <f>SUM(C44:J44)</f>
        <v>21171470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>
        <v>157237</v>
      </c>
      <c r="F49" s="108"/>
      <c r="G49" s="110">
        <v>25791</v>
      </c>
      <c r="H49" s="111">
        <v>5381</v>
      </c>
      <c r="I49" s="110">
        <v>325</v>
      </c>
      <c r="J49" s="112"/>
      <c r="K49" s="113">
        <f t="shared" si="0"/>
        <v>188734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>
        <v>16139</v>
      </c>
      <c r="H53" s="111">
        <v>0</v>
      </c>
      <c r="I53" s="110">
        <f>614123+2401302</f>
        <v>3015425</v>
      </c>
      <c r="J53" s="112"/>
      <c r="K53" s="113">
        <f t="shared" si="0"/>
        <v>3031564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547469</v>
      </c>
      <c r="D56" s="134">
        <f t="shared" si="2"/>
        <v>2874682</v>
      </c>
      <c r="E56" s="135">
        <f t="shared" si="2"/>
        <v>4544518</v>
      </c>
      <c r="F56" s="133">
        <f t="shared" si="2"/>
        <v>4838605</v>
      </c>
      <c r="G56" s="136">
        <f t="shared" si="2"/>
        <v>2098246</v>
      </c>
      <c r="H56" s="137">
        <f t="shared" si="2"/>
        <v>2745896</v>
      </c>
      <c r="I56" s="138">
        <f t="shared" si="2"/>
        <v>6336271</v>
      </c>
      <c r="J56" s="139">
        <f t="shared" si="2"/>
        <v>406081</v>
      </c>
      <c r="K56" s="140">
        <f>SUM(C56:J56)</f>
        <v>24391768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547469</v>
      </c>
      <c r="D62" s="190">
        <f>C56/$K56</f>
        <v>2.2444826467683688E-2</v>
      </c>
    </row>
    <row r="63" spans="1:12" x14ac:dyDescent="0.35">
      <c r="B63" s="8" t="s">
        <v>2</v>
      </c>
      <c r="C63" s="21">
        <f>D56</f>
        <v>2874682</v>
      </c>
      <c r="D63" s="20">
        <f>D56/$K56</f>
        <v>0.1178545975019113</v>
      </c>
    </row>
    <row r="64" spans="1:12" x14ac:dyDescent="0.35">
      <c r="B64" s="27" t="s">
        <v>41</v>
      </c>
      <c r="C64" s="22">
        <f>E56</f>
        <v>4544518</v>
      </c>
      <c r="D64" s="57">
        <f>E56/$K56</f>
        <v>0.18631359563603589</v>
      </c>
    </row>
    <row r="65" spans="2:4" ht="15" thickBot="1" x14ac:dyDescent="0.4">
      <c r="B65" s="192" t="s">
        <v>75</v>
      </c>
      <c r="C65" s="23">
        <f>SUM(C62:C64)</f>
        <v>7966669</v>
      </c>
      <c r="D65" s="24">
        <f>SUM(D62:D64)</f>
        <v>0.32661301960563088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4838605</v>
      </c>
      <c r="D67" s="7">
        <f>F56/K56</f>
        <v>0.19837040922986804</v>
      </c>
    </row>
    <row r="68" spans="2:4" x14ac:dyDescent="0.35">
      <c r="B68" s="28" t="s">
        <v>5</v>
      </c>
      <c r="C68" s="9">
        <f>G56</f>
        <v>2098246</v>
      </c>
      <c r="D68" s="10">
        <f>G56/K56</f>
        <v>8.6022710612859224E-2</v>
      </c>
    </row>
    <row r="69" spans="2:4" ht="15" thickBot="1" x14ac:dyDescent="0.4">
      <c r="B69" s="192" t="s">
        <v>76</v>
      </c>
      <c r="C69" s="23">
        <f>SUM(C67:C68)</f>
        <v>6936851</v>
      </c>
      <c r="D69" s="24">
        <f>SUM(D67:D68)</f>
        <v>0.28439311984272725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2745896</v>
      </c>
      <c r="D71" s="7">
        <f>H56/K56</f>
        <v>0.11257470143205692</v>
      </c>
    </row>
    <row r="72" spans="2:4" x14ac:dyDescent="0.35">
      <c r="B72" s="28" t="s">
        <v>6</v>
      </c>
      <c r="C72" s="9">
        <f>I56</f>
        <v>6336271</v>
      </c>
      <c r="D72" s="10">
        <f>I56/K56</f>
        <v>0.2597708784373482</v>
      </c>
    </row>
    <row r="73" spans="2:4" ht="15" thickBot="1" x14ac:dyDescent="0.4">
      <c r="B73" s="192" t="s">
        <v>77</v>
      </c>
      <c r="C73" s="54">
        <f>SUM(C71:C72)</f>
        <v>9082167</v>
      </c>
      <c r="D73" s="24">
        <f>SUM(D71:D72)</f>
        <v>0.37234557986940509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406081</v>
      </c>
      <c r="D75" s="24">
        <f>J56/K56</f>
        <v>1.6648280682236727E-2</v>
      </c>
    </row>
    <row r="76" spans="2:4" ht="15" thickBot="1" x14ac:dyDescent="0.4">
      <c r="B76" s="36" t="s">
        <v>42</v>
      </c>
      <c r="C76" s="37">
        <f>C65+C69+C73+C75</f>
        <v>24391768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23" priority="3">
      <formula>ROW()=EVEN(ROW())</formula>
    </cfRule>
  </conditionalFormatting>
  <conditionalFormatting sqref="K45:K55">
    <cfRule type="expression" dxfId="22" priority="1">
      <formula>ROW()=EVEN(ROW())</formula>
    </cfRule>
  </conditionalFormatting>
  <conditionalFormatting sqref="K5:K44">
    <cfRule type="expression" dxfId="21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SPOKANE</oddHeader>
  </headerFooter>
  <rowBreaks count="1" manualBreakCount="1">
    <brk id="44" max="16383" man="1"/>
  </rowBreaks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="85" zoomScaleNormal="100" zoomScalePageLayoutView="85" workbookViewId="0">
      <selection activeCell="E80" sqref="E80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830120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253.3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28380</v>
      </c>
      <c r="E5" s="110">
        <v>100000</v>
      </c>
      <c r="F5" s="108"/>
      <c r="G5" s="110">
        <v>163706</v>
      </c>
      <c r="H5" s="111">
        <v>207583</v>
      </c>
      <c r="I5" s="110"/>
      <c r="J5" s="112">
        <f>5104+12000+339445</f>
        <v>356549</v>
      </c>
      <c r="K5" s="113">
        <f>SUM(C5:J5)</f>
        <v>856218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405260</v>
      </c>
      <c r="E7" s="110">
        <f>146364+268125+80000+15000</f>
        <v>509489</v>
      </c>
      <c r="F7" s="108">
        <v>649609</v>
      </c>
      <c r="G7" s="110">
        <f>152627+29109+7000+239148</f>
        <v>427884</v>
      </c>
      <c r="H7" s="111">
        <f>283893+50000+211750+88686+13122</f>
        <v>647451</v>
      </c>
      <c r="I7" s="110">
        <f>2380+52745</f>
        <v>55125</v>
      </c>
      <c r="J7" s="112">
        <f>14100+42561+246+8220</f>
        <v>65127</v>
      </c>
      <c r="K7" s="113">
        <f t="shared" si="0"/>
        <v>2759945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f>28688+44896</f>
        <v>73584</v>
      </c>
      <c r="F8" s="114"/>
      <c r="G8" s="115">
        <v>54759</v>
      </c>
      <c r="H8" s="111">
        <f>28996+25000+2025</f>
        <v>56021</v>
      </c>
      <c r="I8" s="110"/>
      <c r="J8" s="112">
        <v>17</v>
      </c>
      <c r="K8" s="113">
        <f t="shared" si="0"/>
        <v>184381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6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449197</v>
      </c>
      <c r="E13" s="110"/>
      <c r="F13" s="108"/>
      <c r="G13" s="110">
        <f>17780+172500+191942</f>
        <v>382222</v>
      </c>
      <c r="H13" s="111">
        <f>348579+80790+63000+395151+63051</f>
        <v>950571</v>
      </c>
      <c r="I13" s="110">
        <v>174572</v>
      </c>
      <c r="J13" s="112">
        <f>3346+140+239</f>
        <v>3725</v>
      </c>
      <c r="K13" s="113">
        <f t="shared" si="0"/>
        <v>1960287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189160</v>
      </c>
      <c r="E14" s="110"/>
      <c r="F14" s="108">
        <v>153907</v>
      </c>
      <c r="G14" s="110">
        <v>82275</v>
      </c>
      <c r="H14" s="111">
        <f>112656+25000+27580+12525</f>
        <v>177761</v>
      </c>
      <c r="I14" s="110">
        <v>20613</v>
      </c>
      <c r="J14" s="112">
        <v>9</v>
      </c>
      <c r="K14" s="113">
        <f t="shared" si="0"/>
        <v>623725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119335</v>
      </c>
      <c r="E15" s="110"/>
      <c r="F15" s="108">
        <v>121000</v>
      </c>
      <c r="G15" s="110">
        <v>16886</v>
      </c>
      <c r="H15" s="111">
        <f>91857+25000+94400+22896</f>
        <v>234153</v>
      </c>
      <c r="I15" s="110"/>
      <c r="J15" s="112">
        <v>46</v>
      </c>
      <c r="K15" s="113">
        <f t="shared" si="0"/>
        <v>491420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120811</v>
      </c>
      <c r="E16" s="110"/>
      <c r="F16" s="108">
        <v>82593</v>
      </c>
      <c r="G16" s="110">
        <f>56003+32735</f>
        <v>88738</v>
      </c>
      <c r="H16" s="111">
        <f>78024+25000+45153</f>
        <v>148177</v>
      </c>
      <c r="I16" s="110"/>
      <c r="J16" s="112">
        <v>3</v>
      </c>
      <c r="K16" s="113">
        <f t="shared" si="0"/>
        <v>440322</v>
      </c>
      <c r="L16"/>
    </row>
    <row r="17" spans="1:12" x14ac:dyDescent="0.35">
      <c r="A17" s="93">
        <v>562.35</v>
      </c>
      <c r="B17" s="16" t="s">
        <v>14</v>
      </c>
      <c r="C17" s="108">
        <v>207613</v>
      </c>
      <c r="D17" s="109">
        <v>47880</v>
      </c>
      <c r="E17" s="110"/>
      <c r="F17" s="108">
        <v>270142</v>
      </c>
      <c r="G17" s="110">
        <v>24024</v>
      </c>
      <c r="H17" s="111">
        <f>25950+25000+134672+8053+12078</f>
        <v>205753</v>
      </c>
      <c r="I17" s="110">
        <v>5385</v>
      </c>
      <c r="J17" s="112">
        <v>21</v>
      </c>
      <c r="K17" s="113">
        <f t="shared" si="0"/>
        <v>760818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763429</v>
      </c>
      <c r="E18" s="110"/>
      <c r="F18" s="108">
        <v>434</v>
      </c>
      <c r="G18" s="110">
        <v>255358</v>
      </c>
      <c r="H18" s="111">
        <f>231317+75000+85599+16420</f>
        <v>408336</v>
      </c>
      <c r="I18" s="110">
        <v>350</v>
      </c>
      <c r="J18" s="112">
        <f>806+9608</f>
        <v>10414</v>
      </c>
      <c r="K18" s="113">
        <f t="shared" si="0"/>
        <v>1438321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>
        <v>400355</v>
      </c>
      <c r="E20" s="110"/>
      <c r="F20" s="108"/>
      <c r="G20" s="110"/>
      <c r="H20" s="111">
        <f>296728+25000</f>
        <v>321728</v>
      </c>
      <c r="I20" s="110"/>
      <c r="J20" s="112">
        <v>1041</v>
      </c>
      <c r="K20" s="113">
        <f t="shared" si="0"/>
        <v>723124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>
        <v>39019</v>
      </c>
      <c r="D22" s="109">
        <v>400616</v>
      </c>
      <c r="E22" s="110"/>
      <c r="F22" s="108">
        <f>14746+1174+58805</f>
        <v>74725</v>
      </c>
      <c r="G22" s="110"/>
      <c r="H22" s="111">
        <f>243347+25000</f>
        <v>268347</v>
      </c>
      <c r="I22" s="110"/>
      <c r="J22" s="112">
        <f>95+338</f>
        <v>433</v>
      </c>
      <c r="K22" s="113">
        <f t="shared" si="0"/>
        <v>783140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152205</v>
      </c>
      <c r="E24" s="110"/>
      <c r="F24" s="108"/>
      <c r="G24" s="110">
        <v>90961</v>
      </c>
      <c r="H24" s="111">
        <f>100219+25000+15892+50000+20217+26402</f>
        <v>237730</v>
      </c>
      <c r="I24" s="110"/>
      <c r="J24" s="112">
        <f>101+5352+2255</f>
        <v>7708</v>
      </c>
      <c r="K24" s="113">
        <f t="shared" si="0"/>
        <v>488604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241108</v>
      </c>
      <c r="E25" s="110"/>
      <c r="F25" s="108"/>
      <c r="G25" s="110">
        <v>4140</v>
      </c>
      <c r="H25" s="111">
        <f>151194+75000+29241</f>
        <v>255435</v>
      </c>
      <c r="I25" s="110">
        <f>77809+83388+195+6000+50828+23500+16000</f>
        <v>257720</v>
      </c>
      <c r="J25" s="112">
        <v>5790</v>
      </c>
      <c r="K25" s="113">
        <f t="shared" si="0"/>
        <v>764193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1775190</v>
      </c>
      <c r="F26" s="108"/>
      <c r="G26" s="110">
        <v>18112</v>
      </c>
      <c r="H26" s="111">
        <f>8200+280730+21300+400854</f>
        <v>711084</v>
      </c>
      <c r="I26" s="110">
        <f>249743+402492</f>
        <v>652235</v>
      </c>
      <c r="J26" s="112">
        <f>54939+95624</f>
        <v>150563</v>
      </c>
      <c r="K26" s="113">
        <f t="shared" si="0"/>
        <v>3307184</v>
      </c>
      <c r="L26"/>
    </row>
    <row r="27" spans="1:12" x14ac:dyDescent="0.35">
      <c r="A27" s="93">
        <v>562.54</v>
      </c>
      <c r="B27" s="29" t="s">
        <v>60</v>
      </c>
      <c r="C27" s="108">
        <v>41439</v>
      </c>
      <c r="D27" s="109">
        <v>2774</v>
      </c>
      <c r="E27" s="110"/>
      <c r="F27" s="108">
        <v>51174</v>
      </c>
      <c r="G27" s="110"/>
      <c r="H27" s="111"/>
      <c r="I27" s="110">
        <f>1017317+1772532</f>
        <v>2789849</v>
      </c>
      <c r="J27" s="112">
        <v>46222</v>
      </c>
      <c r="K27" s="113">
        <f t="shared" si="0"/>
        <v>2931458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>
        <v>1284</v>
      </c>
      <c r="H29" s="111"/>
      <c r="I29" s="110">
        <f>2971077+314596</f>
        <v>3285673</v>
      </c>
      <c r="J29" s="112">
        <f>50000+7944</f>
        <v>57944</v>
      </c>
      <c r="K29" s="113">
        <f t="shared" si="0"/>
        <v>3344901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248512+26510</f>
        <v>275022</v>
      </c>
      <c r="J31" s="112">
        <v>22</v>
      </c>
      <c r="K31" s="113">
        <f t="shared" si="0"/>
        <v>275044</v>
      </c>
      <c r="L31"/>
    </row>
    <row r="32" spans="1:12" x14ac:dyDescent="0.35">
      <c r="A32" s="93">
        <v>562.59</v>
      </c>
      <c r="B32" s="29" t="s">
        <v>49</v>
      </c>
      <c r="C32" s="108"/>
      <c r="D32" s="109">
        <v>103347</v>
      </c>
      <c r="E32" s="110"/>
      <c r="F32" s="108"/>
      <c r="G32" s="110"/>
      <c r="H32" s="111">
        <f>83137+25000</f>
        <v>108137</v>
      </c>
      <c r="I32" s="110"/>
      <c r="J32" s="112">
        <v>5</v>
      </c>
      <c r="K32" s="113">
        <f t="shared" si="0"/>
        <v>211489</v>
      </c>
      <c r="L32"/>
    </row>
    <row r="33" spans="1:12" x14ac:dyDescent="0.35">
      <c r="A33" s="93">
        <v>562.6</v>
      </c>
      <c r="B33" s="16" t="s">
        <v>21</v>
      </c>
      <c r="C33" s="108">
        <v>9516</v>
      </c>
      <c r="D33" s="109">
        <f>2307+23644</f>
        <v>25951</v>
      </c>
      <c r="E33" s="110"/>
      <c r="F33" s="108">
        <v>166943</v>
      </c>
      <c r="G33" s="110">
        <v>22906</v>
      </c>
      <c r="H33" s="111">
        <f>4149+199000</f>
        <v>203149</v>
      </c>
      <c r="I33" s="110">
        <f>92185+78990</f>
        <v>171175</v>
      </c>
      <c r="J33" s="112">
        <f>24+18000</f>
        <v>18024</v>
      </c>
      <c r="K33" s="113">
        <f t="shared" si="0"/>
        <v>617664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447603</v>
      </c>
      <c r="J34" s="112">
        <v>66377</v>
      </c>
      <c r="K34" s="113">
        <f t="shared" si="0"/>
        <v>513980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24221</v>
      </c>
      <c r="E36" s="110"/>
      <c r="F36" s="108">
        <v>204908</v>
      </c>
      <c r="G36" s="110"/>
      <c r="H36" s="111"/>
      <c r="I36" s="110"/>
      <c r="J36" s="112">
        <v>12</v>
      </c>
      <c r="K36" s="113">
        <f t="shared" si="0"/>
        <v>229141</v>
      </c>
      <c r="L36"/>
    </row>
    <row r="37" spans="1:12" x14ac:dyDescent="0.35">
      <c r="A37" s="93">
        <v>562.74</v>
      </c>
      <c r="B37" s="29" t="s">
        <v>50</v>
      </c>
      <c r="C37" s="108"/>
      <c r="D37" s="109">
        <v>85859</v>
      </c>
      <c r="E37" s="110"/>
      <c r="F37" s="108"/>
      <c r="G37" s="110"/>
      <c r="H37" s="111">
        <f>74714+34784</f>
        <v>109498</v>
      </c>
      <c r="I37" s="110"/>
      <c r="J37" s="112"/>
      <c r="K37" s="113">
        <f t="shared" si="0"/>
        <v>195357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417936</v>
      </c>
      <c r="E40" s="110"/>
      <c r="F40" s="108">
        <f>51221+11743</f>
        <v>62964</v>
      </c>
      <c r="G40" s="110"/>
      <c r="H40" s="111">
        <v>13300</v>
      </c>
      <c r="I40" s="110">
        <v>90105</v>
      </c>
      <c r="J40" s="112">
        <f>2213+810+7020</f>
        <v>10043</v>
      </c>
      <c r="K40" s="113">
        <f t="shared" si="0"/>
        <v>594348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7616</v>
      </c>
      <c r="E41" s="110"/>
      <c r="F41" s="108">
        <f>100905+807608+29570</f>
        <v>938083</v>
      </c>
      <c r="G41" s="110"/>
      <c r="H41" s="111"/>
      <c r="I41" s="110"/>
      <c r="J41" s="112">
        <v>83</v>
      </c>
      <c r="K41" s="113">
        <f t="shared" si="0"/>
        <v>945782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>
        <v>80547</v>
      </c>
      <c r="K42" s="113">
        <f t="shared" si="0"/>
        <v>80547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297587</v>
      </c>
      <c r="D44" s="121">
        <f t="shared" si="1"/>
        <v>3985440</v>
      </c>
      <c r="E44" s="122">
        <f t="shared" si="1"/>
        <v>2458263</v>
      </c>
      <c r="F44" s="120">
        <f t="shared" si="1"/>
        <v>2776482</v>
      </c>
      <c r="G44" s="123">
        <f t="shared" si="1"/>
        <v>1633255</v>
      </c>
      <c r="H44" s="124">
        <f t="shared" si="1"/>
        <v>5264214</v>
      </c>
      <c r="I44" s="122">
        <f t="shared" si="1"/>
        <v>8225427</v>
      </c>
      <c r="J44" s="125">
        <f t="shared" si="1"/>
        <v>880725</v>
      </c>
      <c r="K44" s="126">
        <f>SUM(C44:J44)</f>
        <v>25521393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>
        <v>94306</v>
      </c>
      <c r="E53" s="110"/>
      <c r="F53" s="108"/>
      <c r="G53" s="110"/>
      <c r="H53" s="111">
        <f>66596+50000</f>
        <v>116596</v>
      </c>
      <c r="I53" s="110">
        <v>3690798</v>
      </c>
      <c r="J53" s="112">
        <v>-622</v>
      </c>
      <c r="K53" s="113">
        <f t="shared" si="0"/>
        <v>3901078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>
        <v>42173</v>
      </c>
      <c r="E55" s="118"/>
      <c r="F55" s="116"/>
      <c r="G55" s="118"/>
      <c r="H55" s="131">
        <v>0</v>
      </c>
      <c r="I55" s="118">
        <v>0</v>
      </c>
      <c r="J55" s="119">
        <f>1990+69729+115002</f>
        <v>186721</v>
      </c>
      <c r="K55" s="132">
        <f t="shared" si="0"/>
        <v>228894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297587</v>
      </c>
      <c r="D56" s="134">
        <f t="shared" si="2"/>
        <v>4121919</v>
      </c>
      <c r="E56" s="135">
        <f t="shared" si="2"/>
        <v>2458263</v>
      </c>
      <c r="F56" s="133">
        <f t="shared" si="2"/>
        <v>2776482</v>
      </c>
      <c r="G56" s="136">
        <f t="shared" si="2"/>
        <v>1633255</v>
      </c>
      <c r="H56" s="137">
        <f t="shared" si="2"/>
        <v>5380810</v>
      </c>
      <c r="I56" s="138">
        <f t="shared" si="2"/>
        <v>11916225</v>
      </c>
      <c r="J56" s="139">
        <f t="shared" si="2"/>
        <v>1066824</v>
      </c>
      <c r="K56" s="140">
        <f>SUM(C56:J56)</f>
        <v>29651365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297587</v>
      </c>
      <c r="D62" s="20">
        <f>C56/$K56</f>
        <v>1.0036199008038921E-2</v>
      </c>
    </row>
    <row r="63" spans="1:12" x14ac:dyDescent="0.35">
      <c r="B63" s="8" t="s">
        <v>2</v>
      </c>
      <c r="C63" s="21">
        <f>D56</f>
        <v>4121919</v>
      </c>
      <c r="D63" s="20">
        <f>D56/$K56</f>
        <v>0.13901279081081092</v>
      </c>
    </row>
    <row r="64" spans="1:12" x14ac:dyDescent="0.35">
      <c r="B64" s="27" t="s">
        <v>41</v>
      </c>
      <c r="C64" s="22">
        <f>E56</f>
        <v>2458263</v>
      </c>
      <c r="D64" s="57">
        <f>E56/$K56</f>
        <v>8.2905559322479755E-2</v>
      </c>
    </row>
    <row r="65" spans="2:4" ht="15" thickBot="1" x14ac:dyDescent="0.4">
      <c r="B65" s="192" t="s">
        <v>75</v>
      </c>
      <c r="C65" s="23">
        <f>SUM(C62:C64)</f>
        <v>6877769</v>
      </c>
      <c r="D65" s="24">
        <f>SUM(D62:D64)</f>
        <v>0.2319545491413296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2776482</v>
      </c>
      <c r="D67" s="7">
        <f>F56/K56</f>
        <v>9.3637577899027588E-2</v>
      </c>
    </row>
    <row r="68" spans="2:4" x14ac:dyDescent="0.35">
      <c r="B68" s="28" t="s">
        <v>5</v>
      </c>
      <c r="C68" s="9">
        <f>G56</f>
        <v>1633255</v>
      </c>
      <c r="D68" s="10">
        <f>G56/K56</f>
        <v>5.5081949852898847E-2</v>
      </c>
    </row>
    <row r="69" spans="2:4" ht="15" thickBot="1" x14ac:dyDescent="0.4">
      <c r="B69" s="192" t="s">
        <v>76</v>
      </c>
      <c r="C69" s="23">
        <f>SUM(C67:C68)</f>
        <v>4409737</v>
      </c>
      <c r="D69" s="24">
        <f>SUM(D67:D68)</f>
        <v>0.14871952775192643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5380810</v>
      </c>
      <c r="D71" s="7">
        <f>H56/K56</f>
        <v>0.18146921735306284</v>
      </c>
    </row>
    <row r="72" spans="2:4" x14ac:dyDescent="0.35">
      <c r="B72" s="28" t="s">
        <v>6</v>
      </c>
      <c r="C72" s="9">
        <f>I56</f>
        <v>11916225</v>
      </c>
      <c r="D72" s="10">
        <f>I56/K56</f>
        <v>0.40187778876284447</v>
      </c>
    </row>
    <row r="73" spans="2:4" ht="15" thickBot="1" x14ac:dyDescent="0.4">
      <c r="B73" s="192" t="s">
        <v>77</v>
      </c>
      <c r="C73" s="54">
        <f>SUM(C71:C72)</f>
        <v>17297035</v>
      </c>
      <c r="D73" s="24">
        <f>SUM(D71:D72)</f>
        <v>0.58334700611590729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1066824</v>
      </c>
      <c r="D75" s="24">
        <f>J56/K56</f>
        <v>3.5978916990836676E-2</v>
      </c>
    </row>
    <row r="76" spans="2:4" ht="15" thickBot="1" x14ac:dyDescent="0.4">
      <c r="B76" s="36" t="s">
        <v>42</v>
      </c>
      <c r="C76" s="37">
        <f>C65+C69+C73+C75</f>
        <v>29651365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20" priority="3">
      <formula>ROW()=EVEN(ROW())</formula>
    </cfRule>
  </conditionalFormatting>
  <conditionalFormatting sqref="K45:K55">
    <cfRule type="expression" dxfId="19" priority="1">
      <formula>ROW()=EVEN(ROW())</formula>
    </cfRule>
  </conditionalFormatting>
  <conditionalFormatting sqref="K5:K44">
    <cfRule type="expression" dxfId="18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TACOMA-PIERCE</oddHeader>
  </headerFooter>
  <rowBreaks count="1" manualBreakCount="1">
    <brk id="44" max="16383" man="1"/>
  </rowBreaks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A11" sqref="A11:XFD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267410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99">
        <v>66.95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271397</v>
      </c>
      <c r="E5" s="110"/>
      <c r="F5" s="108"/>
      <c r="G5" s="110"/>
      <c r="H5" s="111">
        <v>158089</v>
      </c>
      <c r="I5" s="110">
        <f>38612+43308</f>
        <v>81920</v>
      </c>
      <c r="J5" s="112"/>
      <c r="K5" s="113">
        <f>SUM(C5:J5)</f>
        <v>511406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149339</v>
      </c>
      <c r="E7" s="110"/>
      <c r="F7" s="108">
        <v>214660</v>
      </c>
      <c r="G7" s="110"/>
      <c r="H7" s="111">
        <f>311292+551636</f>
        <v>862928</v>
      </c>
      <c r="I7" s="110">
        <v>27255</v>
      </c>
      <c r="J7" s="112">
        <v>10000</v>
      </c>
      <c r="K7" s="113">
        <f t="shared" si="0"/>
        <v>1264182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>
        <v>214660</v>
      </c>
      <c r="H9" s="111">
        <v>27027</v>
      </c>
      <c r="I9" s="110">
        <v>18250</v>
      </c>
      <c r="J9" s="112"/>
      <c r="K9" s="113">
        <f t="shared" si="0"/>
        <v>259937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51754</v>
      </c>
      <c r="G14" s="110"/>
      <c r="H14" s="111">
        <v>70249</v>
      </c>
      <c r="I14" s="110"/>
      <c r="J14" s="112"/>
      <c r="K14" s="113">
        <f t="shared" si="0"/>
        <v>122003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68020</v>
      </c>
      <c r="E15" s="110"/>
      <c r="F15" s="108"/>
      <c r="G15" s="110"/>
      <c r="H15" s="111"/>
      <c r="I15" s="110"/>
      <c r="J15" s="112"/>
      <c r="K15" s="113">
        <f t="shared" si="0"/>
        <v>68020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332559</v>
      </c>
      <c r="E16" s="110"/>
      <c r="F16" s="108">
        <v>25137</v>
      </c>
      <c r="G16" s="110"/>
      <c r="H16" s="111">
        <v>123895</v>
      </c>
      <c r="I16" s="110"/>
      <c r="J16" s="112"/>
      <c r="K16" s="113">
        <f t="shared" si="0"/>
        <v>481591</v>
      </c>
      <c r="L16"/>
    </row>
    <row r="17" spans="1:12" x14ac:dyDescent="0.35">
      <c r="A17" s="93">
        <v>562.35</v>
      </c>
      <c r="B17" s="16" t="s">
        <v>14</v>
      </c>
      <c r="C17" s="108">
        <v>54817</v>
      </c>
      <c r="D17" s="109"/>
      <c r="E17" s="110"/>
      <c r="F17" s="108"/>
      <c r="G17" s="110"/>
      <c r="H17" s="111">
        <v>37463</v>
      </c>
      <c r="I17" s="110"/>
      <c r="J17" s="112"/>
      <c r="K17" s="113">
        <f t="shared" si="0"/>
        <v>92280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>
        <v>47709</v>
      </c>
      <c r="G19" s="110"/>
      <c r="H19" s="111"/>
      <c r="I19" s="110"/>
      <c r="J19" s="112"/>
      <c r="K19" s="113">
        <f t="shared" si="0"/>
        <v>47709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>
        <v>41995</v>
      </c>
      <c r="G24" s="110">
        <v>316030</v>
      </c>
      <c r="H24" s="111">
        <v>143326</v>
      </c>
      <c r="I24" s="110"/>
      <c r="J24" s="112"/>
      <c r="K24" s="113">
        <f t="shared" si="0"/>
        <v>501351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5750</v>
      </c>
      <c r="F25" s="108"/>
      <c r="G25" s="110"/>
      <c r="H25" s="111"/>
      <c r="I25" s="110">
        <f>17250+5600+93685</f>
        <v>116535</v>
      </c>
      <c r="J25" s="112"/>
      <c r="K25" s="113">
        <f t="shared" si="0"/>
        <v>122285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-43418</v>
      </c>
      <c r="F26" s="108"/>
      <c r="G26" s="110"/>
      <c r="H26" s="111">
        <v>117139</v>
      </c>
      <c r="I26" s="110">
        <f>122630+23515</f>
        <v>146145</v>
      </c>
      <c r="J26" s="112"/>
      <c r="K26" s="113">
        <f t="shared" si="0"/>
        <v>219866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>
        <v>68577</v>
      </c>
      <c r="G27" s="110"/>
      <c r="H27" s="111">
        <f>49795+465084</f>
        <v>514879</v>
      </c>
      <c r="I27" s="110">
        <f>218063+46112+42886</f>
        <v>307061</v>
      </c>
      <c r="J27" s="112"/>
      <c r="K27" s="113">
        <f t="shared" si="0"/>
        <v>890517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144090+756963</f>
        <v>901053</v>
      </c>
      <c r="J29" s="112"/>
      <c r="K29" s="113">
        <f t="shared" si="0"/>
        <v>901053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>
        <v>90877</v>
      </c>
      <c r="F30" s="108"/>
      <c r="G30" s="110"/>
      <c r="H30" s="111"/>
      <c r="I30" s="110">
        <f>203459+371325</f>
        <v>574784</v>
      </c>
      <c r="J30" s="112"/>
      <c r="K30" s="113">
        <f t="shared" si="0"/>
        <v>665661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196603</v>
      </c>
      <c r="J31" s="112"/>
      <c r="K31" s="113">
        <f t="shared" si="0"/>
        <v>196603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>
        <f>11220+235</f>
        <v>11455</v>
      </c>
      <c r="J32" s="112"/>
      <c r="K32" s="113">
        <f t="shared" si="0"/>
        <v>11455</v>
      </c>
      <c r="L32"/>
    </row>
    <row r="33" spans="1:12" x14ac:dyDescent="0.35">
      <c r="A33" s="93">
        <v>562.6</v>
      </c>
      <c r="B33" s="16" t="s">
        <v>21</v>
      </c>
      <c r="C33" s="108">
        <v>58331</v>
      </c>
      <c r="D33" s="109"/>
      <c r="E33" s="110">
        <f>70702+42144</f>
        <v>112846</v>
      </c>
      <c r="F33" s="108">
        <f>57115+3518</f>
        <v>60633</v>
      </c>
      <c r="G33" s="110"/>
      <c r="H33" s="111">
        <f>49795+498621</f>
        <v>548416</v>
      </c>
      <c r="I33" s="110">
        <f>119688+17997</f>
        <v>137685</v>
      </c>
      <c r="J33" s="112">
        <v>2911</v>
      </c>
      <c r="K33" s="113">
        <f t="shared" si="0"/>
        <v>920822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26021</v>
      </c>
      <c r="E34" s="110"/>
      <c r="F34" s="108"/>
      <c r="G34" s="110"/>
      <c r="H34" s="111"/>
      <c r="I34" s="110">
        <v>71086</v>
      </c>
      <c r="J34" s="112"/>
      <c r="K34" s="113">
        <f t="shared" si="0"/>
        <v>97107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>
        <f>12762+306268</f>
        <v>319030</v>
      </c>
      <c r="J35" s="112"/>
      <c r="K35" s="113">
        <f t="shared" si="0"/>
        <v>319030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74329</v>
      </c>
      <c r="E39" s="110"/>
      <c r="F39" s="108"/>
      <c r="G39" s="110"/>
      <c r="H39" s="111">
        <v>10094</v>
      </c>
      <c r="I39" s="110"/>
      <c r="J39" s="112"/>
      <c r="K39" s="113">
        <f t="shared" si="0"/>
        <v>84423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>
        <f>25636+27750</f>
        <v>53386</v>
      </c>
      <c r="G40" s="110"/>
      <c r="H40" s="111">
        <v>91157</v>
      </c>
      <c r="I40" s="110"/>
      <c r="J40" s="112"/>
      <c r="K40" s="113">
        <f t="shared" si="0"/>
        <v>144543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/>
      <c r="G41" s="110"/>
      <c r="H41" s="111"/>
      <c r="I41" s="110"/>
      <c r="J41" s="112"/>
      <c r="K41" s="113">
        <f t="shared" si="0"/>
        <v>0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>
        <v>38178</v>
      </c>
      <c r="I42" s="110"/>
      <c r="J42" s="112"/>
      <c r="K42" s="113">
        <f t="shared" si="0"/>
        <v>38178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113148</v>
      </c>
      <c r="D44" s="121">
        <f t="shared" si="1"/>
        <v>921665</v>
      </c>
      <c r="E44" s="122">
        <f t="shared" si="1"/>
        <v>166055</v>
      </c>
      <c r="F44" s="120">
        <f t="shared" si="1"/>
        <v>563851</v>
      </c>
      <c r="G44" s="123">
        <f t="shared" si="1"/>
        <v>530690</v>
      </c>
      <c r="H44" s="124">
        <f t="shared" si="1"/>
        <v>2742840</v>
      </c>
      <c r="I44" s="122">
        <f t="shared" si="1"/>
        <v>2908862</v>
      </c>
      <c r="J44" s="125">
        <f t="shared" si="1"/>
        <v>12911</v>
      </c>
      <c r="K44" s="126">
        <f>SUM(C44:J44)</f>
        <v>7960022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113148</v>
      </c>
      <c r="D56" s="134">
        <f t="shared" si="2"/>
        <v>921665</v>
      </c>
      <c r="E56" s="135">
        <f t="shared" si="2"/>
        <v>166055</v>
      </c>
      <c r="F56" s="133">
        <f t="shared" si="2"/>
        <v>563851</v>
      </c>
      <c r="G56" s="136">
        <f t="shared" si="2"/>
        <v>530690</v>
      </c>
      <c r="H56" s="137">
        <f t="shared" si="2"/>
        <v>2742840</v>
      </c>
      <c r="I56" s="138">
        <f t="shared" si="2"/>
        <v>2908862</v>
      </c>
      <c r="J56" s="139">
        <f t="shared" si="2"/>
        <v>12911</v>
      </c>
      <c r="K56" s="140">
        <f>SUM(C56:J56)</f>
        <v>7960022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113148</v>
      </c>
      <c r="D62" s="20">
        <f>C56/$K56</f>
        <v>1.4214533577922272E-2</v>
      </c>
    </row>
    <row r="63" spans="1:12" x14ac:dyDescent="0.35">
      <c r="B63" s="8" t="s">
        <v>2</v>
      </c>
      <c r="C63" s="21">
        <f>D56</f>
        <v>921665</v>
      </c>
      <c r="D63" s="20">
        <f>D56/$K56</f>
        <v>0.11578674028790373</v>
      </c>
    </row>
    <row r="64" spans="1:12" x14ac:dyDescent="0.35">
      <c r="B64" s="27" t="s">
        <v>41</v>
      </c>
      <c r="C64" s="22">
        <f>E56</f>
        <v>166055</v>
      </c>
      <c r="D64" s="57">
        <f>E56/$K56</f>
        <v>2.0861123248151828E-2</v>
      </c>
    </row>
    <row r="65" spans="2:4" ht="15" thickBot="1" x14ac:dyDescent="0.4">
      <c r="B65" s="192" t="s">
        <v>75</v>
      </c>
      <c r="C65" s="23">
        <f>SUM(C62:C64)</f>
        <v>1200868</v>
      </c>
      <c r="D65" s="24">
        <f>SUM(D62:D64)</f>
        <v>0.15086239711397781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563851</v>
      </c>
      <c r="D67" s="7">
        <f>F56/K56</f>
        <v>7.0835356987706821E-2</v>
      </c>
    </row>
    <row r="68" spans="2:4" x14ac:dyDescent="0.35">
      <c r="B68" s="28" t="s">
        <v>5</v>
      </c>
      <c r="C68" s="9">
        <f>G56</f>
        <v>530690</v>
      </c>
      <c r="D68" s="10">
        <f>G56/K56</f>
        <v>6.6669413727751009E-2</v>
      </c>
    </row>
    <row r="69" spans="2:4" ht="15" thickBot="1" x14ac:dyDescent="0.4">
      <c r="B69" s="192" t="s">
        <v>76</v>
      </c>
      <c r="C69" s="23">
        <f>SUM(C67:C68)</f>
        <v>1094541</v>
      </c>
      <c r="D69" s="24">
        <f>SUM(D67:D68)</f>
        <v>0.13750477071545783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2742840</v>
      </c>
      <c r="D71" s="7">
        <f>H56/K56</f>
        <v>0.34457693709891757</v>
      </c>
    </row>
    <row r="72" spans="2:4" x14ac:dyDescent="0.35">
      <c r="B72" s="28" t="s">
        <v>6</v>
      </c>
      <c r="C72" s="9">
        <f>I56</f>
        <v>2908862</v>
      </c>
      <c r="D72" s="10">
        <f>I56/K56</f>
        <v>0.36543391462988417</v>
      </c>
    </row>
    <row r="73" spans="2:4" ht="15" thickBot="1" x14ac:dyDescent="0.4">
      <c r="B73" s="192" t="s">
        <v>77</v>
      </c>
      <c r="C73" s="54">
        <f>SUM(C71:C72)</f>
        <v>5651702</v>
      </c>
      <c r="D73" s="24">
        <f>SUM(D71:D72)</f>
        <v>0.71001085172880174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12911</v>
      </c>
      <c r="D75" s="24">
        <f>J56/K56</f>
        <v>1.6219804417625982E-3</v>
      </c>
    </row>
    <row r="76" spans="2:4" ht="15" thickBot="1" x14ac:dyDescent="0.4">
      <c r="B76" s="36" t="s">
        <v>42</v>
      </c>
      <c r="C76" s="37">
        <f>C65+C69+C73+C75</f>
        <v>7960022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7" priority="3">
      <formula>ROW()=EVEN(ROW())</formula>
    </cfRule>
  </conditionalFormatting>
  <conditionalFormatting sqref="K45:K55">
    <cfRule type="expression" dxfId="16" priority="1">
      <formula>ROW()=EVEN(ROW())</formula>
    </cfRule>
  </conditionalFormatting>
  <conditionalFormatting sqref="K5:K44">
    <cfRule type="expression" dxfId="1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&amp;C&amp;"-,Bold"&amp;16Expenditues by Expenditure Code and Revenue Source
2015
THURSTON</oddHeader>
  </headerFooter>
  <rowBreaks count="1" manualBreakCount="1">
    <brk id="44" max="16383" man="1"/>
  </rowBreaks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A88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3980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3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/>
      <c r="H5" s="111">
        <v>56696</v>
      </c>
      <c r="I5" s="110"/>
      <c r="J5" s="112">
        <v>459</v>
      </c>
      <c r="K5" s="113">
        <f>SUM(C5:J5)</f>
        <v>57155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22667</v>
      </c>
      <c r="G7" s="110"/>
      <c r="H7" s="111"/>
      <c r="I7" s="110"/>
      <c r="J7" s="112"/>
      <c r="K7" s="113">
        <f t="shared" si="0"/>
        <v>22667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v>30861</v>
      </c>
      <c r="G12" s="110"/>
      <c r="H12" s="111"/>
      <c r="I12" s="110"/>
      <c r="J12" s="112"/>
      <c r="K12" s="113">
        <f t="shared" si="0"/>
        <v>30861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1561</v>
      </c>
      <c r="G14" s="110"/>
      <c r="H14" s="111"/>
      <c r="I14" s="110">
        <v>1061</v>
      </c>
      <c r="J14" s="112"/>
      <c r="K14" s="113">
        <f t="shared" si="0"/>
        <v>2622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/>
      <c r="I16" s="110"/>
      <c r="J16" s="112"/>
      <c r="K16" s="113">
        <f t="shared" si="0"/>
        <v>0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/>
      <c r="J17" s="112"/>
      <c r="K17" s="11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/>
      <c r="I18" s="110"/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93181</v>
      </c>
      <c r="E24" s="110"/>
      <c r="F24" s="108"/>
      <c r="G24" s="110"/>
      <c r="H24" s="111"/>
      <c r="I24" s="110"/>
      <c r="J24" s="112">
        <v>16490</v>
      </c>
      <c r="K24" s="113">
        <f t="shared" si="0"/>
        <v>109671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/>
      <c r="J25" s="112"/>
      <c r="K25" s="113">
        <f t="shared" si="0"/>
        <v>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8191</v>
      </c>
      <c r="F26" s="108"/>
      <c r="G26" s="110"/>
      <c r="H26" s="111"/>
      <c r="I26" s="110"/>
      <c r="J26" s="112"/>
      <c r="K26" s="113">
        <f t="shared" si="0"/>
        <v>8191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v>16950</v>
      </c>
      <c r="J27" s="112"/>
      <c r="K27" s="113">
        <f t="shared" si="0"/>
        <v>16950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>
        <v>6956</v>
      </c>
      <c r="J28" s="112"/>
      <c r="K28" s="113">
        <f t="shared" si="0"/>
        <v>6956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/>
      <c r="J29" s="112"/>
      <c r="K29" s="113">
        <f t="shared" si="0"/>
        <v>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v>185</v>
      </c>
      <c r="J31" s="112"/>
      <c r="K31" s="113">
        <f t="shared" si="0"/>
        <v>185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v>808</v>
      </c>
      <c r="J34" s="112"/>
      <c r="K34" s="113">
        <f t="shared" si="0"/>
        <v>808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>
        <v>5460</v>
      </c>
      <c r="J35" s="112"/>
      <c r="K35" s="113">
        <f t="shared" si="0"/>
        <v>5460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13996</v>
      </c>
      <c r="G41" s="110"/>
      <c r="H41" s="111"/>
      <c r="I41" s="110"/>
      <c r="J41" s="112"/>
      <c r="K41" s="113">
        <f t="shared" si="0"/>
        <v>13996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93181</v>
      </c>
      <c r="E44" s="122">
        <f t="shared" si="1"/>
        <v>8191</v>
      </c>
      <c r="F44" s="120">
        <f t="shared" si="1"/>
        <v>69085</v>
      </c>
      <c r="G44" s="123">
        <f t="shared" si="1"/>
        <v>0</v>
      </c>
      <c r="H44" s="124">
        <f t="shared" si="1"/>
        <v>56696</v>
      </c>
      <c r="I44" s="122">
        <f t="shared" si="1"/>
        <v>31420</v>
      </c>
      <c r="J44" s="125">
        <f t="shared" si="1"/>
        <v>16949</v>
      </c>
      <c r="K44" s="126">
        <f>SUM(C44:J44)</f>
        <v>275522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93181</v>
      </c>
      <c r="E56" s="135">
        <f t="shared" si="2"/>
        <v>8191</v>
      </c>
      <c r="F56" s="133">
        <f t="shared" si="2"/>
        <v>69085</v>
      </c>
      <c r="G56" s="136">
        <f t="shared" si="2"/>
        <v>0</v>
      </c>
      <c r="H56" s="137">
        <f t="shared" si="2"/>
        <v>56696</v>
      </c>
      <c r="I56" s="138">
        <f t="shared" si="2"/>
        <v>31420</v>
      </c>
      <c r="J56" s="139">
        <f t="shared" si="2"/>
        <v>16949</v>
      </c>
      <c r="K56" s="140">
        <f>SUM(C56:J56)</f>
        <v>275522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93181</v>
      </c>
      <c r="D63" s="20">
        <f>D56/$K56</f>
        <v>0.33819803863212378</v>
      </c>
    </row>
    <row r="64" spans="1:12" x14ac:dyDescent="0.35">
      <c r="B64" s="27" t="s">
        <v>41</v>
      </c>
      <c r="C64" s="22">
        <f>E56</f>
        <v>8191</v>
      </c>
      <c r="D64" s="57">
        <f>E56/$K56</f>
        <v>2.9729023453662504E-2</v>
      </c>
    </row>
    <row r="65" spans="2:4" ht="15" thickBot="1" x14ac:dyDescent="0.4">
      <c r="B65" s="192" t="s">
        <v>75</v>
      </c>
      <c r="C65" s="23">
        <f>SUM(C62:C64)</f>
        <v>101372</v>
      </c>
      <c r="D65" s="24">
        <f>SUM(D62:D64)</f>
        <v>0.36792706208578629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69085</v>
      </c>
      <c r="D67" s="7">
        <f>F56/K56</f>
        <v>0.25074222748092712</v>
      </c>
    </row>
    <row r="68" spans="2:4" x14ac:dyDescent="0.35">
      <c r="B68" s="28" t="s">
        <v>5</v>
      </c>
      <c r="C68" s="9">
        <f>G56</f>
        <v>0</v>
      </c>
      <c r="D68" s="10">
        <f>G56/K56</f>
        <v>0</v>
      </c>
    </row>
    <row r="69" spans="2:4" ht="15" thickBot="1" x14ac:dyDescent="0.4">
      <c r="B69" s="192" t="s">
        <v>76</v>
      </c>
      <c r="C69" s="23">
        <f>SUM(C67:C68)</f>
        <v>69085</v>
      </c>
      <c r="D69" s="24">
        <f>SUM(D67:D68)</f>
        <v>0.25074222748092712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56696</v>
      </c>
      <c r="D71" s="7">
        <f>H56/K56</f>
        <v>0.20577667119141121</v>
      </c>
    </row>
    <row r="72" spans="2:4" x14ac:dyDescent="0.35">
      <c r="B72" s="28" t="s">
        <v>6</v>
      </c>
      <c r="C72" s="9">
        <f>I56</f>
        <v>31420</v>
      </c>
      <c r="D72" s="10">
        <f>I56/K56</f>
        <v>0.11403808044366694</v>
      </c>
    </row>
    <row r="73" spans="2:4" ht="15" thickBot="1" x14ac:dyDescent="0.4">
      <c r="B73" s="192" t="s">
        <v>77</v>
      </c>
      <c r="C73" s="54">
        <f>SUM(C71:C72)</f>
        <v>88116</v>
      </c>
      <c r="D73" s="24">
        <f>SUM(D71:D72)</f>
        <v>0.31981475163507816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16949</v>
      </c>
      <c r="D75" s="24">
        <f>J56/K56</f>
        <v>6.1515958798208495E-2</v>
      </c>
    </row>
    <row r="76" spans="2:4" ht="15" thickBot="1" x14ac:dyDescent="0.4">
      <c r="B76" s="36" t="s">
        <v>42</v>
      </c>
      <c r="C76" s="37">
        <f>C65+C69+C73+C75</f>
        <v>275522</v>
      </c>
      <c r="D76" s="38">
        <f>D65+D69+D73+D75</f>
        <v>1.0000000000000002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4" priority="3">
      <formula>ROW()=EVEN(ROW())</formula>
    </cfRule>
  </conditionalFormatting>
  <conditionalFormatting sqref="K45:K55">
    <cfRule type="expression" dxfId="13" priority="1">
      <formula>ROW()=EVEN(ROW())</formula>
    </cfRule>
  </conditionalFormatting>
  <conditionalFormatting sqref="K5:K44">
    <cfRule type="expression" dxfId="1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WAHKIAKUM</oddHeader>
  </headerFooter>
  <rowBreaks count="1" manualBreakCount="1">
    <brk id="44" max="16383" man="1"/>
  </rowBreaks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A76" zoomScaleNormal="100" workbookViewId="0">
      <selection activeCell="I80" sqref="I80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60650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23.36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160636</v>
      </c>
      <c r="E5" s="110">
        <f>3154+54</f>
        <v>3208</v>
      </c>
      <c r="F5" s="108">
        <f>18002+2635+1134</f>
        <v>21771</v>
      </c>
      <c r="G5" s="110">
        <f>105+3154</f>
        <v>3259</v>
      </c>
      <c r="H5" s="111">
        <v>301314</v>
      </c>
      <c r="I5" s="110">
        <f>423+49866+7273+2+5997</f>
        <v>63561</v>
      </c>
      <c r="J5" s="112">
        <f>225-3372+3403+199558</f>
        <v>199814</v>
      </c>
      <c r="K5" s="113">
        <f>SUM(C5:J5)</f>
        <v>753563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>
        <v>1646</v>
      </c>
      <c r="F7" s="108">
        <v>67326</v>
      </c>
      <c r="G7" s="110">
        <v>2356</v>
      </c>
      <c r="H7" s="111"/>
      <c r="I7" s="110"/>
      <c r="J7" s="112">
        <f>3513+30</f>
        <v>3543</v>
      </c>
      <c r="K7" s="113">
        <f t="shared" si="0"/>
        <v>74871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>
        <v>8486</v>
      </c>
      <c r="F8" s="114"/>
      <c r="G8" s="115">
        <v>8487</v>
      </c>
      <c r="H8" s="111"/>
      <c r="I8" s="110">
        <v>393</v>
      </c>
      <c r="J8" s="112">
        <v>21516</v>
      </c>
      <c r="K8" s="113">
        <f t="shared" si="0"/>
        <v>38882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183526+185</f>
        <v>183711</v>
      </c>
      <c r="G12" s="110"/>
      <c r="H12" s="111"/>
      <c r="I12" s="110"/>
      <c r="J12" s="112"/>
      <c r="K12" s="113">
        <f t="shared" si="0"/>
        <v>183711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3429</v>
      </c>
      <c r="E14" s="110"/>
      <c r="F14" s="108">
        <v>14504</v>
      </c>
      <c r="G14" s="110">
        <v>50673</v>
      </c>
      <c r="H14" s="111">
        <v>6432</v>
      </c>
      <c r="I14" s="110">
        <f>89007+23521</f>
        <v>112528</v>
      </c>
      <c r="J14" s="112">
        <v>4261</v>
      </c>
      <c r="K14" s="113">
        <f t="shared" si="0"/>
        <v>191827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7560</v>
      </c>
      <c r="E15" s="110"/>
      <c r="F15" s="108"/>
      <c r="G15" s="110"/>
      <c r="H15" s="111">
        <v>14179</v>
      </c>
      <c r="I15" s="110">
        <v>2529</v>
      </c>
      <c r="J15" s="112">
        <v>9395</v>
      </c>
      <c r="K15" s="113">
        <f t="shared" si="0"/>
        <v>33663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3118</v>
      </c>
      <c r="E16" s="110"/>
      <c r="F16" s="108"/>
      <c r="G16" s="110"/>
      <c r="H16" s="111">
        <v>5848</v>
      </c>
      <c r="I16" s="110">
        <f>5802+12338</f>
        <v>18140</v>
      </c>
      <c r="J16" s="112">
        <v>3875</v>
      </c>
      <c r="K16" s="113">
        <f t="shared" si="0"/>
        <v>30981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340</v>
      </c>
      <c r="E17" s="110"/>
      <c r="F17" s="108"/>
      <c r="G17" s="110"/>
      <c r="H17" s="111">
        <v>637</v>
      </c>
      <c r="I17" s="110">
        <v>50</v>
      </c>
      <c r="J17" s="112">
        <v>422</v>
      </c>
      <c r="K17" s="113">
        <f t="shared" si="0"/>
        <v>1449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7671</v>
      </c>
      <c r="E18" s="110"/>
      <c r="F18" s="108"/>
      <c r="G18" s="110"/>
      <c r="H18" s="111">
        <v>14388</v>
      </c>
      <c r="I18" s="110">
        <v>2147</v>
      </c>
      <c r="J18" s="112">
        <v>9533</v>
      </c>
      <c r="K18" s="113">
        <f t="shared" si="0"/>
        <v>33739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>
        <v>38824</v>
      </c>
      <c r="G20" s="110"/>
      <c r="H20" s="111"/>
      <c r="I20" s="110"/>
      <c r="J20" s="112"/>
      <c r="K20" s="113">
        <f t="shared" si="0"/>
        <v>38824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>
        <v>1687</v>
      </c>
      <c r="F22" s="108"/>
      <c r="G22" s="110">
        <v>3265</v>
      </c>
      <c r="H22" s="111"/>
      <c r="I22" s="110"/>
      <c r="J22" s="112"/>
      <c r="K22" s="113">
        <f t="shared" si="0"/>
        <v>4952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272</v>
      </c>
      <c r="E24" s="110"/>
      <c r="F24" s="108"/>
      <c r="G24" s="110"/>
      <c r="H24" s="111">
        <v>509</v>
      </c>
      <c r="I24" s="110"/>
      <c r="J24" s="112">
        <v>338</v>
      </c>
      <c r="K24" s="113">
        <f t="shared" si="0"/>
        <v>1119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1618</v>
      </c>
      <c r="E25" s="110"/>
      <c r="F25" s="108"/>
      <c r="G25" s="110"/>
      <c r="H25" s="111">
        <v>3036</v>
      </c>
      <c r="I25" s="110">
        <f>1750+2000+2000</f>
        <v>5750</v>
      </c>
      <c r="J25" s="112">
        <v>2012</v>
      </c>
      <c r="K25" s="113">
        <f t="shared" si="0"/>
        <v>12416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/>
      <c r="F26" s="108"/>
      <c r="G26" s="110"/>
      <c r="H26" s="111"/>
      <c r="I26" s="110">
        <f>1327+1022</f>
        <v>2349</v>
      </c>
      <c r="J26" s="112"/>
      <c r="K26" s="113">
        <f t="shared" si="0"/>
        <v>2349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2269</v>
      </c>
      <c r="E27" s="110"/>
      <c r="F27" s="108"/>
      <c r="G27" s="110"/>
      <c r="H27" s="111">
        <v>4257</v>
      </c>
      <c r="I27" s="110">
        <f>1760+3500+55265+3680+8072</f>
        <v>72277</v>
      </c>
      <c r="J27" s="112">
        <v>2820</v>
      </c>
      <c r="K27" s="113">
        <f t="shared" si="0"/>
        <v>81623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1383</v>
      </c>
      <c r="E28" s="110"/>
      <c r="F28" s="108"/>
      <c r="G28" s="110"/>
      <c r="H28" s="111">
        <v>2595</v>
      </c>
      <c r="I28" s="110"/>
      <c r="J28" s="112">
        <v>1719</v>
      </c>
      <c r="K28" s="113">
        <f t="shared" si="0"/>
        <v>5697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>
        <v>10691</v>
      </c>
      <c r="I29" s="110">
        <f>95748+13964+6000</f>
        <v>115712</v>
      </c>
      <c r="J29" s="112"/>
      <c r="K29" s="113">
        <f t="shared" si="0"/>
        <v>126403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5728</v>
      </c>
      <c r="E31" s="110"/>
      <c r="F31" s="108"/>
      <c r="G31" s="110"/>
      <c r="H31" s="111">
        <f>10745+930</f>
        <v>11675</v>
      </c>
      <c r="I31" s="110">
        <v>5450</v>
      </c>
      <c r="J31" s="112">
        <v>7120</v>
      </c>
      <c r="K31" s="113">
        <f t="shared" si="0"/>
        <v>29973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f>25129+1125</f>
        <v>26254</v>
      </c>
      <c r="J34" s="112"/>
      <c r="K34" s="113">
        <f t="shared" si="0"/>
        <v>26254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>
        <v>30643</v>
      </c>
      <c r="E36" s="110">
        <v>43302</v>
      </c>
      <c r="F36" s="108"/>
      <c r="G36" s="110"/>
      <c r="H36" s="111"/>
      <c r="I36" s="110"/>
      <c r="J36" s="112"/>
      <c r="K36" s="113">
        <f t="shared" si="0"/>
        <v>73945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72038</v>
      </c>
      <c r="E40" s="110"/>
      <c r="F40" s="108"/>
      <c r="G40" s="110"/>
      <c r="H40" s="111"/>
      <c r="I40" s="110"/>
      <c r="J40" s="112"/>
      <c r="K40" s="113">
        <f t="shared" si="0"/>
        <v>72038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7778</v>
      </c>
      <c r="G41" s="110"/>
      <c r="H41" s="111"/>
      <c r="I41" s="110"/>
      <c r="J41" s="112"/>
      <c r="K41" s="113">
        <f t="shared" si="0"/>
        <v>7778</v>
      </c>
      <c r="L41"/>
    </row>
    <row r="42" spans="1:12" x14ac:dyDescent="0.35">
      <c r="A42" s="93">
        <v>562.9</v>
      </c>
      <c r="B42" s="16" t="s">
        <v>28</v>
      </c>
      <c r="C42" s="108"/>
      <c r="D42" s="109">
        <v>5422</v>
      </c>
      <c r="E42" s="110"/>
      <c r="F42" s="108"/>
      <c r="G42" s="110"/>
      <c r="H42" s="111">
        <v>10170</v>
      </c>
      <c r="I42" s="110">
        <v>68933</v>
      </c>
      <c r="J42" s="112">
        <f>140026+6739</f>
        <v>146765</v>
      </c>
      <c r="K42" s="113">
        <f t="shared" si="0"/>
        <v>231290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302127</v>
      </c>
      <c r="E44" s="122">
        <f t="shared" si="1"/>
        <v>58329</v>
      </c>
      <c r="F44" s="120">
        <f t="shared" si="1"/>
        <v>333914</v>
      </c>
      <c r="G44" s="123">
        <f t="shared" si="1"/>
        <v>68040</v>
      </c>
      <c r="H44" s="124">
        <f t="shared" si="1"/>
        <v>385731</v>
      </c>
      <c r="I44" s="122">
        <f t="shared" si="1"/>
        <v>496073</v>
      </c>
      <c r="J44" s="125">
        <f t="shared" si="1"/>
        <v>413133</v>
      </c>
      <c r="K44" s="126">
        <f>SUM(C44:J44)</f>
        <v>2057347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>
        <v>6079</v>
      </c>
      <c r="D55" s="117"/>
      <c r="E55" s="118"/>
      <c r="F55" s="116">
        <v>53685</v>
      </c>
      <c r="G55" s="118"/>
      <c r="H55" s="131">
        <v>0</v>
      </c>
      <c r="I55" s="118">
        <v>0</v>
      </c>
      <c r="J55" s="119"/>
      <c r="K55" s="132">
        <f t="shared" si="0"/>
        <v>59764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6079</v>
      </c>
      <c r="D56" s="134">
        <f t="shared" si="2"/>
        <v>302127</v>
      </c>
      <c r="E56" s="135">
        <f t="shared" si="2"/>
        <v>58329</v>
      </c>
      <c r="F56" s="133">
        <f t="shared" si="2"/>
        <v>387599</v>
      </c>
      <c r="G56" s="136">
        <f t="shared" si="2"/>
        <v>68040</v>
      </c>
      <c r="H56" s="137">
        <f t="shared" si="2"/>
        <v>385731</v>
      </c>
      <c r="I56" s="138">
        <f t="shared" si="2"/>
        <v>496073</v>
      </c>
      <c r="J56" s="139">
        <f t="shared" si="2"/>
        <v>413133</v>
      </c>
      <c r="K56" s="140">
        <f>SUM(C56:J56)</f>
        <v>2117111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6079</v>
      </c>
      <c r="D62" s="20">
        <f>C56/$K56</f>
        <v>2.8713657432227219E-3</v>
      </c>
    </row>
    <row r="63" spans="1:12" x14ac:dyDescent="0.35">
      <c r="B63" s="8" t="s">
        <v>2</v>
      </c>
      <c r="C63" s="21">
        <f>D56</f>
        <v>302127</v>
      </c>
      <c r="D63" s="20">
        <f>D56/$K56</f>
        <v>0.14270720807742249</v>
      </c>
    </row>
    <row r="64" spans="1:12" x14ac:dyDescent="0.35">
      <c r="B64" s="27" t="s">
        <v>41</v>
      </c>
      <c r="C64" s="22">
        <f>E56</f>
        <v>58329</v>
      </c>
      <c r="D64" s="57">
        <f>E56/$K56</f>
        <v>2.7551224286303362E-2</v>
      </c>
    </row>
    <row r="65" spans="2:4" ht="15" thickBot="1" x14ac:dyDescent="0.4">
      <c r="B65" s="192" t="s">
        <v>75</v>
      </c>
      <c r="C65" s="23">
        <f>SUM(C62:C64)</f>
        <v>366535</v>
      </c>
      <c r="D65" s="24">
        <f>SUM(D62:D64)</f>
        <v>0.17312979810694856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387599</v>
      </c>
      <c r="D67" s="7">
        <f>F56/K56</f>
        <v>0.18307920557778973</v>
      </c>
    </row>
    <row r="68" spans="2:4" x14ac:dyDescent="0.35">
      <c r="B68" s="28" t="s">
        <v>5</v>
      </c>
      <c r="C68" s="9">
        <f>G56</f>
        <v>68040</v>
      </c>
      <c r="D68" s="10">
        <f>G56/K56</f>
        <v>3.2138135411889125E-2</v>
      </c>
    </row>
    <row r="69" spans="2:4" ht="15" thickBot="1" x14ac:dyDescent="0.4">
      <c r="B69" s="192" t="s">
        <v>76</v>
      </c>
      <c r="C69" s="23">
        <f>SUM(C67:C68)</f>
        <v>455639</v>
      </c>
      <c r="D69" s="24">
        <f>SUM(D67:D68)</f>
        <v>0.21521734098967885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385731</v>
      </c>
      <c r="D71" s="7">
        <f>H56/K56</f>
        <v>0.18219687111351271</v>
      </c>
    </row>
    <row r="72" spans="2:4" x14ac:dyDescent="0.35">
      <c r="B72" s="28" t="s">
        <v>6</v>
      </c>
      <c r="C72" s="9">
        <f>I56</f>
        <v>496073</v>
      </c>
      <c r="D72" s="10">
        <f>I56/K56</f>
        <v>0.23431600893859603</v>
      </c>
    </row>
    <row r="73" spans="2:4" ht="15" thickBot="1" x14ac:dyDescent="0.4">
      <c r="B73" s="192" t="s">
        <v>77</v>
      </c>
      <c r="C73" s="54">
        <f>SUM(C71:C72)</f>
        <v>881804</v>
      </c>
      <c r="D73" s="24">
        <f>SUM(D71:D72)</f>
        <v>0.41651288005210874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413133</v>
      </c>
      <c r="D75" s="24">
        <f>J56/K56</f>
        <v>0.19513998085126383</v>
      </c>
    </row>
    <row r="76" spans="2:4" ht="15" thickBot="1" x14ac:dyDescent="0.4">
      <c r="B76" s="36" t="s">
        <v>42</v>
      </c>
      <c r="C76" s="37">
        <f>C65+C69+C73+C75</f>
        <v>2117111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1" priority="3">
      <formula>ROW()=EVEN(ROW())</formula>
    </cfRule>
  </conditionalFormatting>
  <conditionalFormatting sqref="K45:K55">
    <cfRule type="expression" dxfId="10" priority="1">
      <formula>ROW()=EVEN(ROW())</formula>
    </cfRule>
  </conditionalFormatting>
  <conditionalFormatting sqref="K5:K44">
    <cfRule type="expression" dxfId="9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&amp;C&amp;"-,Bold"&amp;16Expenditues by Expenditure Code and Revenue Source
2015
WALLA WALLA</oddHeader>
  </headerFooter>
  <rowBreaks count="1" manualBreakCount="1">
    <brk id="44" max="16383" man="1"/>
  </rowBreaks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8" width="11.54296875" style="43" customWidth="1"/>
    <col min="9" max="9" width="1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209790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77.349999999999994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1214301</v>
      </c>
      <c r="E5" s="110"/>
      <c r="F5" s="108"/>
      <c r="G5" s="110">
        <v>100815</v>
      </c>
      <c r="H5" s="111">
        <v>1172388</v>
      </c>
      <c r="I5" s="110">
        <f>594+6881+93</f>
        <v>7568</v>
      </c>
      <c r="J5" s="112">
        <v>5</v>
      </c>
      <c r="K5" s="113">
        <f>SUM(C5:J5)</f>
        <v>2495077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/>
      <c r="E7" s="110"/>
      <c r="F7" s="108">
        <v>162463</v>
      </c>
      <c r="G7" s="110">
        <v>63292</v>
      </c>
      <c r="H7" s="111">
        <v>20000</v>
      </c>
      <c r="I7" s="110">
        <v>181</v>
      </c>
      <c r="J7" s="112"/>
      <c r="K7" s="113">
        <f t="shared" si="0"/>
        <v>245936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>
        <v>43888</v>
      </c>
      <c r="I9" s="110"/>
      <c r="J9" s="112"/>
      <c r="K9" s="113">
        <f t="shared" si="0"/>
        <v>43888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>
        <f>468324+275</f>
        <v>468599</v>
      </c>
      <c r="G12" s="110"/>
      <c r="H12" s="111">
        <v>33741</v>
      </c>
      <c r="I12" s="110"/>
      <c r="J12" s="112">
        <v>350</v>
      </c>
      <c r="K12" s="113">
        <f t="shared" si="0"/>
        <v>502690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>
        <v>185681</v>
      </c>
      <c r="F13" s="108"/>
      <c r="G13" s="110"/>
      <c r="H13" s="111">
        <v>85448</v>
      </c>
      <c r="I13" s="110"/>
      <c r="J13" s="112"/>
      <c r="K13" s="113">
        <f t="shared" si="0"/>
        <v>271129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/>
      <c r="E14" s="110"/>
      <c r="F14" s="108">
        <v>45175</v>
      </c>
      <c r="G14" s="110">
        <v>31870</v>
      </c>
      <c r="H14" s="111">
        <v>126058</v>
      </c>
      <c r="I14" s="110"/>
      <c r="J14" s="112">
        <v>206</v>
      </c>
      <c r="K14" s="113">
        <f t="shared" si="0"/>
        <v>203309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/>
      <c r="E15" s="110"/>
      <c r="F15" s="108"/>
      <c r="G15" s="110"/>
      <c r="H15" s="111"/>
      <c r="I15" s="110"/>
      <c r="J15" s="112"/>
      <c r="K15" s="11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08"/>
      <c r="D16" s="109"/>
      <c r="E16" s="110"/>
      <c r="F16" s="108"/>
      <c r="G16" s="110"/>
      <c r="H16" s="111">
        <v>300940</v>
      </c>
      <c r="I16" s="110"/>
      <c r="J16" s="112">
        <v>825</v>
      </c>
      <c r="K16" s="113">
        <f t="shared" si="0"/>
        <v>301765</v>
      </c>
      <c r="L16"/>
    </row>
    <row r="17" spans="1:12" x14ac:dyDescent="0.35">
      <c r="A17" s="93">
        <v>562.35</v>
      </c>
      <c r="B17" s="16" t="s">
        <v>14</v>
      </c>
      <c r="C17" s="108">
        <v>28214</v>
      </c>
      <c r="D17" s="109"/>
      <c r="E17" s="110"/>
      <c r="F17" s="108"/>
      <c r="G17" s="110"/>
      <c r="H17" s="111">
        <v>32092</v>
      </c>
      <c r="I17" s="110"/>
      <c r="J17" s="112"/>
      <c r="K17" s="113">
        <f t="shared" si="0"/>
        <v>60306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>
        <v>411715</v>
      </c>
      <c r="I18" s="110"/>
      <c r="J18" s="112"/>
      <c r="K18" s="113">
        <f t="shared" si="0"/>
        <v>411715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>
        <v>35971</v>
      </c>
      <c r="G24" s="110"/>
      <c r="H24" s="111">
        <v>98726</v>
      </c>
      <c r="I24" s="110"/>
      <c r="J24" s="112"/>
      <c r="K24" s="113">
        <f t="shared" si="0"/>
        <v>134697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>
        <v>11950</v>
      </c>
      <c r="F25" s="108"/>
      <c r="G25" s="110"/>
      <c r="H25" s="111"/>
      <c r="I25" s="110">
        <f>7000+7000+2750+9582+720+27266+5600</f>
        <v>59918</v>
      </c>
      <c r="J25" s="112"/>
      <c r="K25" s="113">
        <f t="shared" si="0"/>
        <v>71868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f>223893+61235</f>
        <v>285128</v>
      </c>
      <c r="F26" s="108"/>
      <c r="G26" s="110"/>
      <c r="H26" s="111">
        <v>12848</v>
      </c>
      <c r="I26" s="110">
        <f>38170+1149+975</f>
        <v>40294</v>
      </c>
      <c r="J26" s="112"/>
      <c r="K26" s="113">
        <f t="shared" si="0"/>
        <v>338270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>
        <v>1347</v>
      </c>
      <c r="F27" s="108"/>
      <c r="G27" s="110"/>
      <c r="H27" s="111"/>
      <c r="I27" s="110">
        <f>16924+257945+5225+3944+11210+322816+1650+61720+840+2100+2150+12190+16300</f>
        <v>715014</v>
      </c>
      <c r="J27" s="112"/>
      <c r="K27" s="113">
        <f t="shared" si="0"/>
        <v>716361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426039+53824+79102+715+22504+44869+5753</f>
        <v>632806</v>
      </c>
      <c r="J29" s="112"/>
      <c r="K29" s="113">
        <f t="shared" si="0"/>
        <v>632806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>
        <v>5158</v>
      </c>
      <c r="I31" s="110">
        <f>67128+5348+2129+430</f>
        <v>75035</v>
      </c>
      <c r="J31" s="112"/>
      <c r="K31" s="113">
        <f t="shared" si="0"/>
        <v>80193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>
        <v>14017</v>
      </c>
      <c r="F33" s="108">
        <f>12113+4743</f>
        <v>16856</v>
      </c>
      <c r="G33" s="110"/>
      <c r="H33" s="111"/>
      <c r="I33" s="110"/>
      <c r="J33" s="112"/>
      <c r="K33" s="113">
        <f t="shared" si="0"/>
        <v>30873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f>15528+1264+32168+22380-8-2</f>
        <v>71330</v>
      </c>
      <c r="J34" s="112"/>
      <c r="K34" s="113">
        <f t="shared" si="0"/>
        <v>71330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>
        <v>108888</v>
      </c>
      <c r="I39" s="110"/>
      <c r="J39" s="112"/>
      <c r="K39" s="113">
        <f t="shared" si="0"/>
        <v>108888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>
        <v>5216</v>
      </c>
      <c r="I40" s="110"/>
      <c r="J40" s="112"/>
      <c r="K40" s="113">
        <f t="shared" si="0"/>
        <v>5216</v>
      </c>
      <c r="L40"/>
    </row>
    <row r="41" spans="1:12" x14ac:dyDescent="0.35">
      <c r="A41" s="93">
        <v>562.88</v>
      </c>
      <c r="B41" s="29" t="s">
        <v>51</v>
      </c>
      <c r="C41" s="108">
        <v>3623</v>
      </c>
      <c r="D41" s="109"/>
      <c r="E41" s="110"/>
      <c r="F41" s="108">
        <v>84128</v>
      </c>
      <c r="G41" s="110"/>
      <c r="H41" s="111"/>
      <c r="I41" s="110"/>
      <c r="J41" s="112"/>
      <c r="K41" s="113">
        <f t="shared" si="0"/>
        <v>87751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31837</v>
      </c>
      <c r="D44" s="121">
        <f t="shared" si="1"/>
        <v>1214301</v>
      </c>
      <c r="E44" s="122">
        <f t="shared" si="1"/>
        <v>498123</v>
      </c>
      <c r="F44" s="120">
        <f t="shared" si="1"/>
        <v>813192</v>
      </c>
      <c r="G44" s="123">
        <f t="shared" si="1"/>
        <v>195977</v>
      </c>
      <c r="H44" s="124">
        <f t="shared" si="1"/>
        <v>2457106</v>
      </c>
      <c r="I44" s="122">
        <f t="shared" si="1"/>
        <v>1602146</v>
      </c>
      <c r="J44" s="125">
        <f t="shared" si="1"/>
        <v>1386</v>
      </c>
      <c r="K44" s="126">
        <f>SUM(C44:J44)</f>
        <v>6814068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>
        <v>71782</v>
      </c>
      <c r="F52" s="108"/>
      <c r="G52" s="110"/>
      <c r="H52" s="111">
        <f>304425+2130+2624031+2547</f>
        <v>2933133</v>
      </c>
      <c r="I52" s="110">
        <v>364569</v>
      </c>
      <c r="J52" s="112">
        <f>3709+15</f>
        <v>3724</v>
      </c>
      <c r="K52" s="113">
        <f t="shared" si="0"/>
        <v>3373208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>
        <f>288848+341534</f>
        <v>630382</v>
      </c>
      <c r="F53" s="108"/>
      <c r="G53" s="110">
        <f>97681+58278+405257</f>
        <v>561216</v>
      </c>
      <c r="H53" s="111">
        <f>1829+7089+623732</f>
        <v>632650</v>
      </c>
      <c r="I53" s="110">
        <f>35740+59013+8356</f>
        <v>103109</v>
      </c>
      <c r="J53" s="112">
        <v>687</v>
      </c>
      <c r="K53" s="113">
        <f t="shared" si="0"/>
        <v>1928044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>
        <v>2817522</v>
      </c>
      <c r="F54" s="108"/>
      <c r="G54" s="110"/>
      <c r="H54" s="111">
        <v>0</v>
      </c>
      <c r="I54" s="110">
        <v>0</v>
      </c>
      <c r="J54" s="112"/>
      <c r="K54" s="113">
        <f t="shared" si="0"/>
        <v>2817522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>
        <v>1640265</v>
      </c>
      <c r="F55" s="116"/>
      <c r="G55" s="118">
        <v>154743</v>
      </c>
      <c r="H55" s="131">
        <f>278832+4209+3938</f>
        <v>286979</v>
      </c>
      <c r="I55" s="118">
        <v>1038331</v>
      </c>
      <c r="J55" s="119"/>
      <c r="K55" s="132">
        <f t="shared" si="0"/>
        <v>3120318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31837</v>
      </c>
      <c r="D56" s="134">
        <f t="shared" si="2"/>
        <v>1214301</v>
      </c>
      <c r="E56" s="135">
        <f t="shared" si="2"/>
        <v>5658074</v>
      </c>
      <c r="F56" s="133">
        <f t="shared" si="2"/>
        <v>813192</v>
      </c>
      <c r="G56" s="136">
        <f t="shared" si="2"/>
        <v>911936</v>
      </c>
      <c r="H56" s="137">
        <f t="shared" si="2"/>
        <v>6309868</v>
      </c>
      <c r="I56" s="138">
        <f t="shared" si="2"/>
        <v>3108155</v>
      </c>
      <c r="J56" s="139">
        <f t="shared" si="2"/>
        <v>5797</v>
      </c>
      <c r="K56" s="140">
        <f>SUM(C56:J56)</f>
        <v>18053160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31837</v>
      </c>
      <c r="D62" s="20">
        <f>C56/$K56</f>
        <v>1.7635139776083523E-3</v>
      </c>
    </row>
    <row r="63" spans="1:12" x14ac:dyDescent="0.35">
      <c r="B63" s="8" t="s">
        <v>2</v>
      </c>
      <c r="C63" s="21">
        <f>D56</f>
        <v>1214301</v>
      </c>
      <c r="D63" s="20">
        <f>D56/$K56</f>
        <v>6.7262518030084484E-2</v>
      </c>
    </row>
    <row r="64" spans="1:12" x14ac:dyDescent="0.35">
      <c r="B64" s="27" t="s">
        <v>41</v>
      </c>
      <c r="C64" s="22">
        <f>E56</f>
        <v>5658074</v>
      </c>
      <c r="D64" s="57">
        <f>E56/$K56</f>
        <v>0.31341183482559287</v>
      </c>
    </row>
    <row r="65" spans="2:4" ht="15" thickBot="1" x14ac:dyDescent="0.4">
      <c r="B65" s="192" t="s">
        <v>75</v>
      </c>
      <c r="C65" s="23">
        <f>SUM(C62:C64)</f>
        <v>6904212</v>
      </c>
      <c r="D65" s="24">
        <f>SUM(D62:D64)</f>
        <v>0.38243786683328573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813192</v>
      </c>
      <c r="D67" s="7">
        <f>F56/K56</f>
        <v>4.5044302493303108E-2</v>
      </c>
    </row>
    <row r="68" spans="2:4" x14ac:dyDescent="0.35">
      <c r="B68" s="28" t="s">
        <v>5</v>
      </c>
      <c r="C68" s="9">
        <f>G56</f>
        <v>911936</v>
      </c>
      <c r="D68" s="10">
        <f>G56/K56</f>
        <v>5.0513926647744768E-2</v>
      </c>
    </row>
    <row r="69" spans="2:4" ht="15" thickBot="1" x14ac:dyDescent="0.4">
      <c r="B69" s="192" t="s">
        <v>76</v>
      </c>
      <c r="C69" s="23">
        <f>SUM(C67:C68)</f>
        <v>1725128</v>
      </c>
      <c r="D69" s="24">
        <f>SUM(D67:D68)</f>
        <v>9.5558229141047876E-2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6309868</v>
      </c>
      <c r="D71" s="7">
        <f>H56/K56</f>
        <v>0.34951598501315007</v>
      </c>
    </row>
    <row r="72" spans="2:4" x14ac:dyDescent="0.35">
      <c r="B72" s="28" t="s">
        <v>6</v>
      </c>
      <c r="C72" s="9">
        <f>I56</f>
        <v>3108155</v>
      </c>
      <c r="D72" s="10">
        <f>I56/K56</f>
        <v>0.17216681179361398</v>
      </c>
    </row>
    <row r="73" spans="2:4" ht="15" thickBot="1" x14ac:dyDescent="0.4">
      <c r="B73" s="192" t="s">
        <v>77</v>
      </c>
      <c r="C73" s="54">
        <f>SUM(C71:C72)</f>
        <v>9418023</v>
      </c>
      <c r="D73" s="24">
        <f>SUM(D71:D72)</f>
        <v>0.5216827968067641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5797</v>
      </c>
      <c r="D75" s="24">
        <f>J56/K56</f>
        <v>3.2110721890239713E-4</v>
      </c>
    </row>
    <row r="76" spans="2:4" ht="15" thickBot="1" x14ac:dyDescent="0.4">
      <c r="B76" s="36" t="s">
        <v>42</v>
      </c>
      <c r="C76" s="37">
        <f>C65+C69+C73+C75</f>
        <v>18053160</v>
      </c>
      <c r="D76" s="38">
        <f>D65+D69+D73+D75</f>
        <v>1.0000000000000002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8" priority="3">
      <formula>ROW()=EVEN(ROW())</formula>
    </cfRule>
  </conditionalFormatting>
  <conditionalFormatting sqref="K45:K55">
    <cfRule type="expression" dxfId="7" priority="1">
      <formula>ROW()=EVEN(ROW())</formula>
    </cfRule>
  </conditionalFormatting>
  <conditionalFormatting sqref="K5:K44">
    <cfRule type="expression" dxfId="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WHATCOM</oddHeader>
  </headerFooter>
  <rowBreaks count="1" manualBreakCount="1">
    <brk id="44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7"/>
  <sheetViews>
    <sheetView workbookViewId="0">
      <selection activeCell="B31" sqref="B31"/>
    </sheetView>
  </sheetViews>
  <sheetFormatPr defaultRowHeight="14.5" x14ac:dyDescent="0.35"/>
  <cols>
    <col min="2" max="2" width="16.26953125" customWidth="1"/>
  </cols>
  <sheetData>
    <row r="1" spans="1:2" x14ac:dyDescent="0.35">
      <c r="A1" t="s">
        <v>1</v>
      </c>
      <c r="B1">
        <f>'Exp Code Ag Pgs 6&amp;7 Do Not Inpt'!C18</f>
        <v>0</v>
      </c>
    </row>
    <row r="2" spans="1:2" x14ac:dyDescent="0.35">
      <c r="A2" t="s">
        <v>2</v>
      </c>
      <c r="B2">
        <f>'Exp Code Ag Pgs 6&amp;7 Do Not Inpt'!D18</f>
        <v>2459408</v>
      </c>
    </row>
    <row r="3" spans="1:2" x14ac:dyDescent="0.35">
      <c r="A3" t="s">
        <v>41</v>
      </c>
      <c r="B3">
        <f>'Exp Code Ag Pgs 6&amp;7 Do Not Inpt'!E18</f>
        <v>0</v>
      </c>
    </row>
    <row r="4" spans="1:2" x14ac:dyDescent="0.35">
      <c r="A4" t="s">
        <v>119</v>
      </c>
      <c r="B4">
        <v>10813352.030000001</v>
      </c>
    </row>
    <row r="5" spans="1:2" x14ac:dyDescent="0.35">
      <c r="A5" t="s">
        <v>4</v>
      </c>
      <c r="B5">
        <v>46674073</v>
      </c>
    </row>
    <row r="6" spans="1:2" x14ac:dyDescent="0.35">
      <c r="A6" t="s">
        <v>5</v>
      </c>
      <c r="B6">
        <v>24605017</v>
      </c>
    </row>
    <row r="7" spans="1:2" x14ac:dyDescent="0.35">
      <c r="A7" t="s">
        <v>63</v>
      </c>
      <c r="B7">
        <v>85813434.980000004</v>
      </c>
    </row>
    <row r="8" spans="1:2" x14ac:dyDescent="0.35">
      <c r="A8" t="s">
        <v>6</v>
      </c>
      <c r="B8">
        <v>10813352.030000001</v>
      </c>
    </row>
    <row r="10" spans="1:2" x14ac:dyDescent="0.35">
      <c r="A10" s="165" t="s">
        <v>1</v>
      </c>
      <c r="B10" s="167">
        <f>'Exp Code Ag Pgs 6&amp;7 Do Not Inpt'!F56</f>
        <v>46727758</v>
      </c>
    </row>
    <row r="11" spans="1:2" x14ac:dyDescent="0.35">
      <c r="A11" s="165" t="s">
        <v>2</v>
      </c>
      <c r="B11" s="167">
        <f>'Exp Code Ag Pgs 6&amp;7 Do Not Inpt'!G56</f>
        <v>24881621</v>
      </c>
    </row>
    <row r="12" spans="1:2" x14ac:dyDescent="0.35">
      <c r="A12" s="165" t="s">
        <v>41</v>
      </c>
      <c r="B12" s="167">
        <f>'Exp Code Ag Pgs 6&amp;7 Do Not Inpt'!H56</f>
        <v>87220189.980000004</v>
      </c>
    </row>
    <row r="13" spans="1:2" x14ac:dyDescent="0.35">
      <c r="A13" s="165" t="s">
        <v>119</v>
      </c>
      <c r="B13" s="167">
        <v>10813352.030000001</v>
      </c>
    </row>
    <row r="14" spans="1:2" x14ac:dyDescent="0.35">
      <c r="A14" s="162" t="s">
        <v>4</v>
      </c>
      <c r="B14" s="166">
        <v>46674073</v>
      </c>
    </row>
    <row r="15" spans="1:2" x14ac:dyDescent="0.35">
      <c r="A15" s="162" t="s">
        <v>5</v>
      </c>
      <c r="B15" s="166">
        <v>24605017</v>
      </c>
    </row>
    <row r="16" spans="1:2" x14ac:dyDescent="0.35">
      <c r="A16" s="162" t="s">
        <v>63</v>
      </c>
      <c r="B16" s="166">
        <v>85813434.980000004</v>
      </c>
    </row>
    <row r="17" spans="1:2" x14ac:dyDescent="0.35">
      <c r="A17" s="162" t="s">
        <v>6</v>
      </c>
      <c r="B17" s="166">
        <v>10813352.030000001</v>
      </c>
    </row>
  </sheetData>
  <pageMargins left="0.7" right="0.7" top="0.75" bottom="0.75" header="0.3" footer="0.3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81" sqref="G8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47250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13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118122</v>
      </c>
      <c r="E5" s="110"/>
      <c r="F5" s="108"/>
      <c r="G5" s="110"/>
      <c r="H5" s="111">
        <v>68374</v>
      </c>
      <c r="I5" s="110">
        <f>6525+45765+75+845+11647+88+675</f>
        <v>65620</v>
      </c>
      <c r="J5" s="112">
        <f>306+46213</f>
        <v>46519</v>
      </c>
      <c r="K5" s="113">
        <f>SUM(C5:J5)</f>
        <v>298635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3967</v>
      </c>
      <c r="E7" s="110"/>
      <c r="F7" s="108">
        <v>22967</v>
      </c>
      <c r="G7" s="110"/>
      <c r="H7" s="111">
        <v>5709</v>
      </c>
      <c r="I7" s="110">
        <v>1756</v>
      </c>
      <c r="J7" s="112"/>
      <c r="K7" s="113">
        <f t="shared" si="0"/>
        <v>34399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>
        <v>6566</v>
      </c>
      <c r="H8" s="111"/>
      <c r="I8" s="110"/>
      <c r="J8" s="112"/>
      <c r="K8" s="113">
        <f t="shared" si="0"/>
        <v>6566</v>
      </c>
      <c r="L8"/>
    </row>
    <row r="9" spans="1:12" x14ac:dyDescent="0.35">
      <c r="A9" s="93">
        <v>562.25</v>
      </c>
      <c r="B9" s="29" t="s">
        <v>53</v>
      </c>
      <c r="C9" s="108"/>
      <c r="D9" s="109">
        <v>6</v>
      </c>
      <c r="E9" s="110"/>
      <c r="F9" s="108">
        <v>7739</v>
      </c>
      <c r="G9" s="110"/>
      <c r="H9" s="111">
        <v>11</v>
      </c>
      <c r="I9" s="110"/>
      <c r="J9" s="112"/>
      <c r="K9" s="113">
        <f t="shared" si="0"/>
        <v>7756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735</v>
      </c>
      <c r="E12" s="110"/>
      <c r="F12" s="108">
        <f>129398+78</f>
        <v>129476</v>
      </c>
      <c r="G12" s="110"/>
      <c r="H12" s="111"/>
      <c r="I12" s="110"/>
      <c r="J12" s="112"/>
      <c r="K12" s="113">
        <f t="shared" si="0"/>
        <v>130211</v>
      </c>
      <c r="L12"/>
    </row>
    <row r="13" spans="1:12" x14ac:dyDescent="0.35">
      <c r="A13" s="93">
        <v>562.29</v>
      </c>
      <c r="B13" s="29" t="s">
        <v>46</v>
      </c>
      <c r="C13" s="108"/>
      <c r="D13" s="109">
        <v>3221</v>
      </c>
      <c r="E13" s="110"/>
      <c r="F13" s="108"/>
      <c r="G13" s="110"/>
      <c r="H13" s="111">
        <v>104889</v>
      </c>
      <c r="I13" s="110">
        <f>22890+26418+75</f>
        <v>49383</v>
      </c>
      <c r="J13" s="112"/>
      <c r="K13" s="113">
        <f t="shared" si="0"/>
        <v>157493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9323</v>
      </c>
      <c r="E14" s="110"/>
      <c r="F14" s="108">
        <v>8692</v>
      </c>
      <c r="G14" s="110"/>
      <c r="H14" s="111">
        <v>13416</v>
      </c>
      <c r="I14" s="110">
        <v>6703</v>
      </c>
      <c r="J14" s="112"/>
      <c r="K14" s="113">
        <f t="shared" si="0"/>
        <v>38134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3856</v>
      </c>
      <c r="E15" s="110"/>
      <c r="F15" s="108"/>
      <c r="G15" s="110"/>
      <c r="H15" s="111">
        <v>5550</v>
      </c>
      <c r="I15" s="110"/>
      <c r="J15" s="112"/>
      <c r="K15" s="113">
        <f t="shared" si="0"/>
        <v>9406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1741</v>
      </c>
      <c r="E16" s="110"/>
      <c r="F16" s="108"/>
      <c r="G16" s="110"/>
      <c r="H16" s="111">
        <v>2467</v>
      </c>
      <c r="I16" s="110">
        <v>2862</v>
      </c>
      <c r="J16" s="112"/>
      <c r="K16" s="113">
        <f t="shared" si="0"/>
        <v>7070</v>
      </c>
      <c r="L16"/>
    </row>
    <row r="17" spans="1:12" x14ac:dyDescent="0.35">
      <c r="A17" s="93">
        <v>562.35</v>
      </c>
      <c r="B17" s="16" t="s">
        <v>14</v>
      </c>
      <c r="C17" s="108"/>
      <c r="D17" s="109"/>
      <c r="E17" s="110"/>
      <c r="F17" s="108"/>
      <c r="G17" s="110"/>
      <c r="H17" s="111"/>
      <c r="I17" s="110">
        <v>1388</v>
      </c>
      <c r="J17" s="112"/>
      <c r="K17" s="113">
        <f t="shared" si="0"/>
        <v>1388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1390</v>
      </c>
      <c r="E18" s="110"/>
      <c r="F18" s="108"/>
      <c r="G18" s="110"/>
      <c r="H18" s="111">
        <v>2000</v>
      </c>
      <c r="I18" s="110"/>
      <c r="J18" s="112"/>
      <c r="K18" s="113">
        <f t="shared" si="0"/>
        <v>3390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4585</v>
      </c>
      <c r="E25" s="110"/>
      <c r="F25" s="108"/>
      <c r="G25" s="110"/>
      <c r="H25" s="111">
        <v>6595</v>
      </c>
      <c r="I25" s="110"/>
      <c r="J25" s="112"/>
      <c r="K25" s="113">
        <f t="shared" si="0"/>
        <v>11180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28719</v>
      </c>
      <c r="F26" s="108"/>
      <c r="G26" s="110"/>
      <c r="H26" s="111"/>
      <c r="I26" s="110">
        <v>4725</v>
      </c>
      <c r="J26" s="112"/>
      <c r="K26" s="113">
        <f t="shared" si="0"/>
        <v>33444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14227</v>
      </c>
      <c r="E27" s="110"/>
      <c r="F27" s="108"/>
      <c r="G27" s="110"/>
      <c r="H27" s="111">
        <v>20544</v>
      </c>
      <c r="I27" s="110">
        <f>11912+22464</f>
        <v>34376</v>
      </c>
      <c r="J27" s="112"/>
      <c r="K27" s="113">
        <f t="shared" si="0"/>
        <v>69147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/>
      <c r="E28" s="110"/>
      <c r="F28" s="108"/>
      <c r="G28" s="110"/>
      <c r="H28" s="111"/>
      <c r="I28" s="110"/>
      <c r="J28" s="112"/>
      <c r="K28" s="11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80+900+67229</f>
        <v>68209</v>
      </c>
      <c r="J29" s="112"/>
      <c r="K29" s="113">
        <f t="shared" si="0"/>
        <v>68209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>
        <v>1156</v>
      </c>
      <c r="E31" s="110"/>
      <c r="F31" s="108"/>
      <c r="G31" s="110"/>
      <c r="H31" s="111">
        <v>1664</v>
      </c>
      <c r="I31" s="110">
        <f>7940+4050</f>
        <v>11990</v>
      </c>
      <c r="J31" s="112">
        <f>10+80</f>
        <v>90</v>
      </c>
      <c r="K31" s="113">
        <f t="shared" si="0"/>
        <v>14900</v>
      </c>
      <c r="L31"/>
    </row>
    <row r="32" spans="1:12" x14ac:dyDescent="0.35">
      <c r="A32" s="93">
        <v>562.59</v>
      </c>
      <c r="B32" s="29" t="s">
        <v>49</v>
      </c>
      <c r="C32" s="108"/>
      <c r="D32" s="109">
        <v>16505</v>
      </c>
      <c r="E32" s="110"/>
      <c r="F32" s="108"/>
      <c r="G32" s="110"/>
      <c r="H32" s="111">
        <v>23752</v>
      </c>
      <c r="I32" s="110"/>
      <c r="J32" s="112"/>
      <c r="K32" s="113">
        <f t="shared" si="0"/>
        <v>40257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8446</v>
      </c>
      <c r="E34" s="110"/>
      <c r="F34" s="108"/>
      <c r="G34" s="110"/>
      <c r="H34" s="111">
        <v>12154</v>
      </c>
      <c r="I34" s="110">
        <v>16845</v>
      </c>
      <c r="J34" s="112"/>
      <c r="K34" s="113">
        <f t="shared" si="0"/>
        <v>37445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/>
      <c r="I40" s="110"/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2075</v>
      </c>
      <c r="E41" s="110"/>
      <c r="F41" s="108">
        <v>8003</v>
      </c>
      <c r="G41" s="110"/>
      <c r="H41" s="111">
        <v>2987</v>
      </c>
      <c r="I41" s="110"/>
      <c r="J41" s="112"/>
      <c r="K41" s="113">
        <f t="shared" si="0"/>
        <v>13065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189355</v>
      </c>
      <c r="E44" s="122">
        <f t="shared" si="1"/>
        <v>28719</v>
      </c>
      <c r="F44" s="120">
        <f t="shared" si="1"/>
        <v>176877</v>
      </c>
      <c r="G44" s="123">
        <f t="shared" si="1"/>
        <v>6566</v>
      </c>
      <c r="H44" s="124">
        <f t="shared" si="1"/>
        <v>270112</v>
      </c>
      <c r="I44" s="122">
        <f t="shared" si="1"/>
        <v>263857</v>
      </c>
      <c r="J44" s="125">
        <f t="shared" si="1"/>
        <v>46609</v>
      </c>
      <c r="K44" s="126">
        <f>SUM(C44:J44)</f>
        <v>982095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189355</v>
      </c>
      <c r="E56" s="135">
        <f t="shared" si="2"/>
        <v>28719</v>
      </c>
      <c r="F56" s="133">
        <f t="shared" si="2"/>
        <v>176877</v>
      </c>
      <c r="G56" s="136">
        <f t="shared" si="2"/>
        <v>6566</v>
      </c>
      <c r="H56" s="137">
        <f t="shared" si="2"/>
        <v>270112</v>
      </c>
      <c r="I56" s="138">
        <f t="shared" si="2"/>
        <v>263857</v>
      </c>
      <c r="J56" s="139">
        <f t="shared" si="2"/>
        <v>46609</v>
      </c>
      <c r="K56" s="140">
        <f>SUM(C56:J56)</f>
        <v>982095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189355</v>
      </c>
      <c r="D63" s="20">
        <f>D56/$K56</f>
        <v>0.1928072131514772</v>
      </c>
    </row>
    <row r="64" spans="1:12" x14ac:dyDescent="0.35">
      <c r="B64" s="27" t="s">
        <v>41</v>
      </c>
      <c r="C64" s="22">
        <f>E56</f>
        <v>28719</v>
      </c>
      <c r="D64" s="57">
        <f>E56/$K56</f>
        <v>2.9242588547951063E-2</v>
      </c>
    </row>
    <row r="65" spans="2:4" ht="15" thickBot="1" x14ac:dyDescent="0.4">
      <c r="B65" s="192" t="s">
        <v>75</v>
      </c>
      <c r="C65" s="23">
        <f>SUM(C62:C64)</f>
        <v>218074</v>
      </c>
      <c r="D65" s="24">
        <f>SUM(D62:D64)</f>
        <v>0.22204980169942826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176877</v>
      </c>
      <c r="D67" s="7">
        <f>F56/K56</f>
        <v>0.18010172132023888</v>
      </c>
    </row>
    <row r="68" spans="2:4" x14ac:dyDescent="0.35">
      <c r="B68" s="28" t="s">
        <v>5</v>
      </c>
      <c r="C68" s="9">
        <f>G56</f>
        <v>6566</v>
      </c>
      <c r="D68" s="10">
        <f>G56/K56</f>
        <v>6.685707594479149E-3</v>
      </c>
    </row>
    <row r="69" spans="2:4" ht="15" thickBot="1" x14ac:dyDescent="0.4">
      <c r="B69" s="192" t="s">
        <v>76</v>
      </c>
      <c r="C69" s="23">
        <f>SUM(C67:C68)</f>
        <v>183443</v>
      </c>
      <c r="D69" s="24">
        <f>SUM(D67:D68)</f>
        <v>0.18678742891471803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270112</v>
      </c>
      <c r="D71" s="7">
        <f>H56/K56</f>
        <v>0.27503652905268838</v>
      </c>
    </row>
    <row r="72" spans="2:4" x14ac:dyDescent="0.35">
      <c r="B72" s="28" t="s">
        <v>6</v>
      </c>
      <c r="C72" s="9">
        <f>I56</f>
        <v>263857</v>
      </c>
      <c r="D72" s="10">
        <f>I56/K56</f>
        <v>0.26866749143412805</v>
      </c>
    </row>
    <row r="73" spans="2:4" ht="15" thickBot="1" x14ac:dyDescent="0.4">
      <c r="B73" s="192" t="s">
        <v>77</v>
      </c>
      <c r="C73" s="54">
        <f>SUM(C71:C72)</f>
        <v>533969</v>
      </c>
      <c r="D73" s="24">
        <f>SUM(D71:D72)</f>
        <v>0.54370402048681643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46609</v>
      </c>
      <c r="D75" s="24">
        <f>J56/K56</f>
        <v>4.7458748899037263E-2</v>
      </c>
    </row>
    <row r="76" spans="2:4" ht="15" thickBot="1" x14ac:dyDescent="0.4">
      <c r="B76" s="36" t="s">
        <v>42</v>
      </c>
      <c r="C76" s="37">
        <f>C65+C69+C73+C75</f>
        <v>982095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5" priority="3">
      <formula>ROW()=EVEN(ROW())</formula>
    </cfRule>
  </conditionalFormatting>
  <conditionalFormatting sqref="K45:K55">
    <cfRule type="expression" dxfId="4" priority="1">
      <formula>ROW()=EVEN(ROW())</formula>
    </cfRule>
  </conditionalFormatting>
  <conditionalFormatting sqref="K5:K44">
    <cfRule type="expression" dxfId="3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WHITMAN</oddHeader>
  </headerFooter>
  <rowBreaks count="1" manualBreakCount="1">
    <brk id="44" max="16383" man="1"/>
  </rowBreaks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B11" sqref="B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249970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25.16</v>
      </c>
      <c r="D2" s="2"/>
      <c r="E2" s="41"/>
      <c r="F2" s="41"/>
      <c r="G2" s="41"/>
      <c r="H2" s="41"/>
      <c r="I2" s="59"/>
      <c r="J2" s="4"/>
      <c r="K2" s="89" t="s">
        <v>117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153540</v>
      </c>
      <c r="E5" s="110"/>
      <c r="F5" s="108"/>
      <c r="G5" s="110">
        <v>33442</v>
      </c>
      <c r="H5" s="111"/>
      <c r="I5" s="110"/>
      <c r="J5" s="112">
        <f>43101+425+24+27141-102</f>
        <v>70589</v>
      </c>
      <c r="K5" s="113">
        <f>SUM(C5:J5)</f>
        <v>257571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9181</v>
      </c>
      <c r="E7" s="110"/>
      <c r="F7" s="108">
        <v>26146</v>
      </c>
      <c r="G7" s="110"/>
      <c r="H7" s="111"/>
      <c r="I7" s="110"/>
      <c r="J7" s="112"/>
      <c r="K7" s="113">
        <f t="shared" si="0"/>
        <v>35327</v>
      </c>
      <c r="L7"/>
    </row>
    <row r="8" spans="1:12" x14ac:dyDescent="0.35">
      <c r="A8" s="93">
        <v>562.24</v>
      </c>
      <c r="B8" s="16" t="s">
        <v>11</v>
      </c>
      <c r="C8" s="108"/>
      <c r="D8" s="109"/>
      <c r="E8" s="110"/>
      <c r="F8" s="114"/>
      <c r="G8" s="115"/>
      <c r="H8" s="111"/>
      <c r="I8" s="110"/>
      <c r="J8" s="112"/>
      <c r="K8" s="113">
        <f t="shared" si="0"/>
        <v>0</v>
      </c>
      <c r="L8"/>
    </row>
    <row r="9" spans="1:12" x14ac:dyDescent="0.35">
      <c r="A9" s="93">
        <v>562.25</v>
      </c>
      <c r="B9" s="29" t="s">
        <v>53</v>
      </c>
      <c r="C9" s="108"/>
      <c r="D9" s="109"/>
      <c r="E9" s="110"/>
      <c r="F9" s="108"/>
      <c r="G9" s="110"/>
      <c r="H9" s="111"/>
      <c r="I9" s="110"/>
      <c r="J9" s="112"/>
      <c r="K9" s="113">
        <f t="shared" si="0"/>
        <v>0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/>
      <c r="E12" s="110"/>
      <c r="F12" s="108"/>
      <c r="G12" s="110"/>
      <c r="H12" s="111"/>
      <c r="I12" s="110"/>
      <c r="J12" s="112"/>
      <c r="K12" s="113">
        <f t="shared" si="0"/>
        <v>0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/>
      <c r="I13" s="110"/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19436</v>
      </c>
      <c r="E14" s="110"/>
      <c r="F14" s="108">
        <v>74531</v>
      </c>
      <c r="G14" s="110"/>
      <c r="H14" s="111"/>
      <c r="I14" s="110"/>
      <c r="J14" s="112">
        <v>430</v>
      </c>
      <c r="K14" s="113">
        <f t="shared" si="0"/>
        <v>94397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216003</v>
      </c>
      <c r="E15" s="110"/>
      <c r="F15" s="108">
        <v>7810</v>
      </c>
      <c r="G15" s="110"/>
      <c r="H15" s="111"/>
      <c r="I15" s="110"/>
      <c r="J15" s="112">
        <v>200</v>
      </c>
      <c r="K15" s="113">
        <f t="shared" si="0"/>
        <v>224013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188102</v>
      </c>
      <c r="E16" s="110"/>
      <c r="F16" s="108"/>
      <c r="G16" s="110"/>
      <c r="H16" s="111">
        <v>100000</v>
      </c>
      <c r="I16" s="110"/>
      <c r="J16" s="112">
        <v>290</v>
      </c>
      <c r="K16" s="113">
        <f t="shared" si="0"/>
        <v>288392</v>
      </c>
      <c r="L16"/>
    </row>
    <row r="17" spans="1:12" x14ac:dyDescent="0.35">
      <c r="A17" s="93">
        <v>562.35</v>
      </c>
      <c r="B17" s="16" t="s">
        <v>14</v>
      </c>
      <c r="C17" s="108">
        <v>23279</v>
      </c>
      <c r="D17" s="109">
        <v>2691</v>
      </c>
      <c r="E17" s="110"/>
      <c r="F17" s="108"/>
      <c r="G17" s="110"/>
      <c r="H17" s="111">
        <v>1251</v>
      </c>
      <c r="I17" s="110"/>
      <c r="J17" s="112"/>
      <c r="K17" s="113">
        <f t="shared" si="0"/>
        <v>27221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348045</v>
      </c>
      <c r="E18" s="110"/>
      <c r="F18" s="108">
        <v>1565</v>
      </c>
      <c r="G18" s="110"/>
      <c r="H18" s="111"/>
      <c r="I18" s="110"/>
      <c r="J18" s="112"/>
      <c r="K18" s="113">
        <f t="shared" si="0"/>
        <v>349610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>
        <v>43189</v>
      </c>
      <c r="G20" s="110"/>
      <c r="H20" s="111"/>
      <c r="I20" s="110"/>
      <c r="J20" s="112"/>
      <c r="K20" s="113">
        <f t="shared" si="0"/>
        <v>43189</v>
      </c>
      <c r="L20"/>
    </row>
    <row r="21" spans="1:12" x14ac:dyDescent="0.35">
      <c r="A21" s="93">
        <v>562.42999999999995</v>
      </c>
      <c r="B21" s="29" t="s">
        <v>56</v>
      </c>
      <c r="C21" s="108">
        <f>131632+7221</f>
        <v>138853</v>
      </c>
      <c r="D21" s="109">
        <v>51743</v>
      </c>
      <c r="E21" s="110"/>
      <c r="F21" s="108">
        <f>11849+264006</f>
        <v>275855</v>
      </c>
      <c r="G21" s="110">
        <v>310</v>
      </c>
      <c r="H21" s="111"/>
      <c r="I21" s="110"/>
      <c r="J21" s="112"/>
      <c r="K21" s="113">
        <f t="shared" si="0"/>
        <v>466761</v>
      </c>
      <c r="L21"/>
    </row>
    <row r="22" spans="1:12" x14ac:dyDescent="0.35">
      <c r="A22" s="93">
        <v>562.44000000000005</v>
      </c>
      <c r="B22" s="29" t="s">
        <v>57</v>
      </c>
      <c r="C22" s="108"/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/>
      <c r="I23" s="110"/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/>
      <c r="I24" s="110"/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/>
      <c r="I25" s="110">
        <f>7400+7400+68848</f>
        <v>83648</v>
      </c>
      <c r="J25" s="112">
        <f>20324+10</f>
        <v>20334</v>
      </c>
      <c r="K25" s="113">
        <f t="shared" si="0"/>
        <v>103982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53980</v>
      </c>
      <c r="F26" s="108"/>
      <c r="G26" s="110"/>
      <c r="H26" s="111"/>
      <c r="I26" s="110">
        <f>9286+22356</f>
        <v>31642</v>
      </c>
      <c r="J26" s="112"/>
      <c r="K26" s="113">
        <f t="shared" si="0"/>
        <v>85622</v>
      </c>
      <c r="L26"/>
    </row>
    <row r="27" spans="1:12" x14ac:dyDescent="0.35">
      <c r="A27" s="93">
        <v>562.54</v>
      </c>
      <c r="B27" s="29" t="s">
        <v>60</v>
      </c>
      <c r="C27" s="108"/>
      <c r="D27" s="109"/>
      <c r="E27" s="110"/>
      <c r="F27" s="108"/>
      <c r="G27" s="110"/>
      <c r="H27" s="111"/>
      <c r="I27" s="110">
        <f>257900+18454</f>
        <v>276354</v>
      </c>
      <c r="J27" s="112">
        <v>355</v>
      </c>
      <c r="K27" s="113">
        <f t="shared" si="0"/>
        <v>276709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18379</v>
      </c>
      <c r="E28" s="110"/>
      <c r="F28" s="108"/>
      <c r="G28" s="110"/>
      <c r="H28" s="111"/>
      <c r="I28" s="110"/>
      <c r="J28" s="112"/>
      <c r="K28" s="113">
        <f t="shared" si="0"/>
        <v>18379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/>
      <c r="I29" s="110">
        <f>441148+39490+13340</f>
        <v>493978</v>
      </c>
      <c r="J29" s="112">
        <f>13178+3894</f>
        <v>17072</v>
      </c>
      <c r="K29" s="113">
        <f t="shared" si="0"/>
        <v>511050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/>
      <c r="I30" s="110"/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42842+1257</f>
        <v>44099</v>
      </c>
      <c r="J31" s="112">
        <v>560</v>
      </c>
      <c r="K31" s="113">
        <f t="shared" si="0"/>
        <v>44659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/>
      <c r="I34" s="110">
        <f>138529+5594</f>
        <v>144123</v>
      </c>
      <c r="J34" s="112"/>
      <c r="K34" s="113">
        <f t="shared" si="0"/>
        <v>144123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/>
      <c r="I35" s="110"/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>
        <v>36655</v>
      </c>
      <c r="E39" s="110"/>
      <c r="F39" s="108"/>
      <c r="G39" s="110"/>
      <c r="H39" s="111"/>
      <c r="I39" s="110"/>
      <c r="J39" s="112"/>
      <c r="K39" s="113">
        <f t="shared" si="0"/>
        <v>36655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8189</v>
      </c>
      <c r="E40" s="110"/>
      <c r="F40" s="108"/>
      <c r="G40" s="110"/>
      <c r="H40" s="111"/>
      <c r="I40" s="110"/>
      <c r="J40" s="112"/>
      <c r="K40" s="113">
        <f t="shared" si="0"/>
        <v>8189</v>
      </c>
      <c r="L40"/>
    </row>
    <row r="41" spans="1:12" x14ac:dyDescent="0.35">
      <c r="A41" s="93">
        <v>562.88</v>
      </c>
      <c r="B41" s="29" t="s">
        <v>51</v>
      </c>
      <c r="C41" s="108"/>
      <c r="D41" s="109"/>
      <c r="E41" s="110"/>
      <c r="F41" s="108">
        <v>28873</v>
      </c>
      <c r="G41" s="110"/>
      <c r="H41" s="111"/>
      <c r="I41" s="110"/>
      <c r="J41" s="112"/>
      <c r="K41" s="113">
        <f t="shared" si="0"/>
        <v>28873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/>
      <c r="I43" s="110"/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162132</v>
      </c>
      <c r="D44" s="121">
        <f t="shared" si="1"/>
        <v>1051964</v>
      </c>
      <c r="E44" s="122">
        <f t="shared" si="1"/>
        <v>53980</v>
      </c>
      <c r="F44" s="120">
        <f t="shared" si="1"/>
        <v>457969</v>
      </c>
      <c r="G44" s="123">
        <f t="shared" si="1"/>
        <v>33752</v>
      </c>
      <c r="H44" s="124">
        <f t="shared" si="1"/>
        <v>101251</v>
      </c>
      <c r="I44" s="122">
        <f t="shared" si="1"/>
        <v>1073844</v>
      </c>
      <c r="J44" s="125">
        <f t="shared" si="1"/>
        <v>109830</v>
      </c>
      <c r="K44" s="126">
        <f>SUM(C44:J44)</f>
        <v>3044722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1143987</v>
      </c>
      <c r="J54" s="112"/>
      <c r="K54" s="113">
        <f t="shared" si="0"/>
        <v>1143987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162132</v>
      </c>
      <c r="D56" s="134">
        <f t="shared" si="2"/>
        <v>1051964</v>
      </c>
      <c r="E56" s="135">
        <f t="shared" si="2"/>
        <v>53980</v>
      </c>
      <c r="F56" s="133">
        <f t="shared" si="2"/>
        <v>457969</v>
      </c>
      <c r="G56" s="136">
        <f t="shared" si="2"/>
        <v>33752</v>
      </c>
      <c r="H56" s="137">
        <f t="shared" si="2"/>
        <v>101251</v>
      </c>
      <c r="I56" s="138">
        <f t="shared" si="2"/>
        <v>2217831</v>
      </c>
      <c r="J56" s="139">
        <f t="shared" si="2"/>
        <v>109830</v>
      </c>
      <c r="K56" s="140">
        <f>SUM(C56:J56)</f>
        <v>4188709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162132</v>
      </c>
      <c r="D62" s="20">
        <f>C56/$K56</f>
        <v>3.8706914230613773E-2</v>
      </c>
    </row>
    <row r="63" spans="1:12" x14ac:dyDescent="0.35">
      <c r="B63" s="8" t="s">
        <v>2</v>
      </c>
      <c r="C63" s="21">
        <f>D56</f>
        <v>1051964</v>
      </c>
      <c r="D63" s="20">
        <f>D56/$K56</f>
        <v>0.2511427745398403</v>
      </c>
    </row>
    <row r="64" spans="1:12" x14ac:dyDescent="0.35">
      <c r="B64" s="27" t="s">
        <v>41</v>
      </c>
      <c r="C64" s="22">
        <f>E56</f>
        <v>53980</v>
      </c>
      <c r="D64" s="57">
        <f>E56/$K56</f>
        <v>1.2887025572795819E-2</v>
      </c>
    </row>
    <row r="65" spans="2:4" ht="15" thickBot="1" x14ac:dyDescent="0.4">
      <c r="B65" s="192" t="s">
        <v>75</v>
      </c>
      <c r="C65" s="23">
        <f>SUM(C62:C64)</f>
        <v>1268076</v>
      </c>
      <c r="D65" s="24">
        <f>SUM(D62:D64)</f>
        <v>0.30273671434324989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457969</v>
      </c>
      <c r="D67" s="7">
        <f>F56/K56</f>
        <v>0.10933416477487455</v>
      </c>
    </row>
    <row r="68" spans="2:4" x14ac:dyDescent="0.35">
      <c r="B68" s="28" t="s">
        <v>5</v>
      </c>
      <c r="C68" s="9">
        <f>G56</f>
        <v>33752</v>
      </c>
      <c r="D68" s="10">
        <f>G56/K56</f>
        <v>8.0578526701186454E-3</v>
      </c>
    </row>
    <row r="69" spans="2:4" ht="15" thickBot="1" x14ac:dyDescent="0.4">
      <c r="B69" s="192" t="s">
        <v>76</v>
      </c>
      <c r="C69" s="23">
        <f>SUM(C67:C68)</f>
        <v>491721</v>
      </c>
      <c r="D69" s="24">
        <f>SUM(D67:D68)</f>
        <v>0.1173920174449932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101251</v>
      </c>
      <c r="D71" s="7">
        <f>H56/K56</f>
        <v>2.4172364325141707E-2</v>
      </c>
    </row>
    <row r="72" spans="2:4" x14ac:dyDescent="0.35">
      <c r="B72" s="28" t="s">
        <v>6</v>
      </c>
      <c r="C72" s="9">
        <f>I56</f>
        <v>2217831</v>
      </c>
      <c r="D72" s="10">
        <f>I56/K56</f>
        <v>0.5294784144709026</v>
      </c>
    </row>
    <row r="73" spans="2:4" ht="15" thickBot="1" x14ac:dyDescent="0.4">
      <c r="B73" s="192" t="s">
        <v>77</v>
      </c>
      <c r="C73" s="54">
        <f>SUM(C71:C72)</f>
        <v>2319082</v>
      </c>
      <c r="D73" s="24">
        <f>SUM(D71:D72)</f>
        <v>0.5536507787960443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109830</v>
      </c>
      <c r="D75" s="24">
        <f>J56/K56</f>
        <v>2.6220489415712575E-2</v>
      </c>
    </row>
    <row r="76" spans="2:4" ht="15" thickBot="1" x14ac:dyDescent="0.4">
      <c r="B76" s="36" t="s">
        <v>42</v>
      </c>
      <c r="C76" s="37">
        <f>C65+C69+C73+C75</f>
        <v>4188709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2" priority="3">
      <formula>ROW()=EVEN(ROW())</formula>
    </cfRule>
  </conditionalFormatting>
  <conditionalFormatting sqref="K45:K55">
    <cfRule type="expression" dxfId="1" priority="1">
      <formula>ROW()=EVEN(ROW())</formula>
    </cfRule>
  </conditionalFormatting>
  <conditionalFormatting sqref="K5:K44">
    <cfRule type="expression" dxfId="0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YAKIMA</oddHeader>
  </headerFooter>
  <rowBreaks count="1" manualBreakCount="1">
    <brk id="44" max="16383" man="1"/>
  </rowBreaks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Layout" zoomScaleNormal="100" workbookViewId="0">
      <selection activeCell="B12" sqref="B12:H12"/>
    </sheetView>
  </sheetViews>
  <sheetFormatPr defaultRowHeight="14.5" x14ac:dyDescent="0.35"/>
  <cols>
    <col min="1" max="8" width="14.453125" customWidth="1"/>
  </cols>
  <sheetData>
    <row r="1" spans="1:8" ht="40.15" customHeight="1" thickTop="1" x14ac:dyDescent="0.35">
      <c r="A1" s="260" t="s">
        <v>121</v>
      </c>
      <c r="B1" s="261"/>
      <c r="C1" s="262"/>
      <c r="D1" s="263" t="s">
        <v>122</v>
      </c>
      <c r="E1" s="261"/>
      <c r="F1" s="263" t="s">
        <v>123</v>
      </c>
      <c r="G1" s="264"/>
      <c r="H1" s="179"/>
    </row>
    <row r="2" spans="1:8" ht="40.15" customHeight="1" x14ac:dyDescent="0.35">
      <c r="A2" s="180" t="s">
        <v>1</v>
      </c>
      <c r="B2" s="178" t="s">
        <v>2</v>
      </c>
      <c r="C2" s="177" t="s">
        <v>3</v>
      </c>
      <c r="D2" s="175" t="s">
        <v>4</v>
      </c>
      <c r="E2" s="176" t="s">
        <v>5</v>
      </c>
      <c r="F2" s="175" t="s">
        <v>63</v>
      </c>
      <c r="G2" s="174" t="s">
        <v>6</v>
      </c>
      <c r="H2" s="181" t="s">
        <v>119</v>
      </c>
    </row>
    <row r="3" spans="1:8" ht="40.15" customHeight="1" x14ac:dyDescent="0.35">
      <c r="A3" s="180" t="s">
        <v>124</v>
      </c>
      <c r="B3" s="178" t="s">
        <v>125</v>
      </c>
      <c r="C3" s="177" t="s">
        <v>126</v>
      </c>
      <c r="D3" s="175" t="s">
        <v>127</v>
      </c>
      <c r="E3" s="176" t="s">
        <v>128</v>
      </c>
      <c r="F3" s="175" t="s">
        <v>129</v>
      </c>
      <c r="G3" s="174" t="s">
        <v>130</v>
      </c>
      <c r="H3" s="181" t="s">
        <v>131</v>
      </c>
    </row>
    <row r="4" spans="1:8" ht="40.15" customHeight="1" x14ac:dyDescent="0.35">
      <c r="A4" s="180" t="s">
        <v>132</v>
      </c>
      <c r="B4" s="178"/>
      <c r="C4" s="177" t="s">
        <v>133</v>
      </c>
      <c r="D4" s="175" t="s">
        <v>134</v>
      </c>
      <c r="E4" s="176" t="s">
        <v>135</v>
      </c>
      <c r="F4" s="175">
        <v>368</v>
      </c>
      <c r="G4" s="174" t="s">
        <v>136</v>
      </c>
      <c r="H4" s="182" t="s">
        <v>137</v>
      </c>
    </row>
    <row r="5" spans="1:8" ht="40.15" customHeight="1" x14ac:dyDescent="0.35">
      <c r="A5" s="180" t="s">
        <v>138</v>
      </c>
      <c r="B5" s="178"/>
      <c r="C5" s="177" t="s">
        <v>139</v>
      </c>
      <c r="D5" s="175"/>
      <c r="E5" s="176" t="s">
        <v>140</v>
      </c>
      <c r="F5" s="175" t="s">
        <v>141</v>
      </c>
      <c r="G5" s="174" t="s">
        <v>142</v>
      </c>
      <c r="H5" s="181" t="s">
        <v>143</v>
      </c>
    </row>
    <row r="6" spans="1:8" ht="40.15" customHeight="1" x14ac:dyDescent="0.35">
      <c r="A6" s="180" t="s">
        <v>144</v>
      </c>
      <c r="B6" s="178"/>
      <c r="C6" s="177"/>
      <c r="D6" s="175"/>
      <c r="E6" s="176" t="s">
        <v>145</v>
      </c>
      <c r="F6" s="175" t="s">
        <v>146</v>
      </c>
      <c r="G6" s="174" t="s">
        <v>147</v>
      </c>
      <c r="H6" s="181" t="s">
        <v>148</v>
      </c>
    </row>
    <row r="7" spans="1:8" ht="40.15" customHeight="1" x14ac:dyDescent="0.35">
      <c r="A7" s="180" t="s">
        <v>149</v>
      </c>
      <c r="B7" s="178"/>
      <c r="C7" s="177"/>
      <c r="D7" s="175"/>
      <c r="E7" s="176"/>
      <c r="F7" s="175">
        <v>337</v>
      </c>
      <c r="G7" s="174"/>
      <c r="H7" s="181">
        <v>508</v>
      </c>
    </row>
    <row r="8" spans="1:8" ht="40.15" customHeight="1" x14ac:dyDescent="0.35">
      <c r="A8" s="180" t="s">
        <v>150</v>
      </c>
      <c r="B8" s="178"/>
      <c r="C8" s="177"/>
      <c r="D8" s="175"/>
      <c r="E8" s="176"/>
      <c r="F8" s="175"/>
      <c r="G8" s="174"/>
      <c r="H8" s="181"/>
    </row>
    <row r="9" spans="1:8" ht="40.15" customHeight="1" thickBot="1" x14ac:dyDescent="0.4">
      <c r="A9" s="183" t="s">
        <v>151</v>
      </c>
      <c r="B9" s="184"/>
      <c r="C9" s="185"/>
      <c r="D9" s="186"/>
      <c r="E9" s="187"/>
      <c r="F9" s="186"/>
      <c r="G9" s="188"/>
      <c r="H9" s="189"/>
    </row>
    <row r="10" spans="1:8" ht="15" thickTop="1" x14ac:dyDescent="0.35">
      <c r="A10" s="172"/>
      <c r="B10" s="172"/>
      <c r="C10" s="172"/>
      <c r="D10" s="172"/>
      <c r="E10" s="172"/>
      <c r="F10" s="172"/>
      <c r="G10" s="172"/>
      <c r="H10" s="172"/>
    </row>
    <row r="11" spans="1:8" x14ac:dyDescent="0.35">
      <c r="A11" s="173"/>
      <c r="B11" s="259"/>
      <c r="C11" s="259"/>
      <c r="D11" s="259"/>
      <c r="E11" s="259"/>
      <c r="F11" s="259"/>
      <c r="G11" s="259"/>
      <c r="H11" s="259"/>
    </row>
    <row r="12" spans="1:8" x14ac:dyDescent="0.35">
      <c r="A12" s="171" t="s">
        <v>152</v>
      </c>
      <c r="B12" s="259" t="s">
        <v>153</v>
      </c>
      <c r="C12" s="259"/>
      <c r="D12" s="259"/>
      <c r="E12" s="259"/>
      <c r="F12" s="259"/>
      <c r="G12" s="259"/>
      <c r="H12" s="259"/>
    </row>
    <row r="13" spans="1:8" x14ac:dyDescent="0.35">
      <c r="A13" s="172"/>
      <c r="B13" s="259" t="s">
        <v>154</v>
      </c>
      <c r="C13" s="259"/>
      <c r="D13" s="259"/>
      <c r="E13" s="259"/>
      <c r="F13" s="259"/>
      <c r="G13" s="259"/>
      <c r="H13" s="259"/>
    </row>
  </sheetData>
  <mergeCells count="6">
    <mergeCell ref="B11:H11"/>
    <mergeCell ref="B12:H12"/>
    <mergeCell ref="B13:H13"/>
    <mergeCell ref="A1:C1"/>
    <mergeCell ref="D1:E1"/>
    <mergeCell ref="F1:G1"/>
  </mergeCells>
  <pageMargins left="0.7" right="0.7" top="1.25" bottom="0.75" header="0.3" footer="0.3"/>
  <pageSetup orientation="landscape" r:id="rId1"/>
  <headerFooter>
    <oddHeader>&amp;C&amp;"-,Bold"&amp;20Matrix of BARS Revenue Code Placement
2015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5" sqref="A15"/>
    </sheetView>
  </sheetViews>
  <sheetFormatPr defaultRowHeight="14.5" x14ac:dyDescent="0.35"/>
  <cols>
    <col min="1" max="1" width="28.54296875" customWidth="1"/>
    <col min="2" max="2" width="28.54296875" style="228" customWidth="1"/>
  </cols>
  <sheetData>
    <row r="1" spans="1:2" x14ac:dyDescent="0.35">
      <c r="A1" s="229" t="s">
        <v>1</v>
      </c>
      <c r="B1" s="230">
        <v>9261386</v>
      </c>
    </row>
    <row r="2" spans="1:2" x14ac:dyDescent="0.35">
      <c r="A2" s="229" t="s">
        <v>2</v>
      </c>
      <c r="B2" s="230">
        <v>35965458</v>
      </c>
    </row>
    <row r="3" spans="1:2" x14ac:dyDescent="0.35">
      <c r="A3" s="229" t="s">
        <v>41</v>
      </c>
      <c r="B3" s="230">
        <v>20196195</v>
      </c>
    </row>
    <row r="4" spans="1:2" x14ac:dyDescent="0.35">
      <c r="A4" s="229" t="s">
        <v>157</v>
      </c>
      <c r="B4" s="230">
        <v>46727758</v>
      </c>
    </row>
    <row r="5" spans="1:2" x14ac:dyDescent="0.35">
      <c r="A5" s="229" t="s">
        <v>5</v>
      </c>
      <c r="B5" s="230">
        <v>24881621</v>
      </c>
    </row>
    <row r="6" spans="1:2" x14ac:dyDescent="0.35">
      <c r="A6" s="229" t="s">
        <v>155</v>
      </c>
      <c r="B6" s="230">
        <v>87220190</v>
      </c>
    </row>
    <row r="7" spans="1:2" x14ac:dyDescent="0.35">
      <c r="A7" s="229" t="s">
        <v>156</v>
      </c>
      <c r="B7" s="230">
        <v>131876822</v>
      </c>
    </row>
    <row r="8" spans="1:2" x14ac:dyDescent="0.35">
      <c r="A8" s="229" t="s">
        <v>119</v>
      </c>
      <c r="B8" s="230">
        <v>10813352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H47"/>
  <sheetViews>
    <sheetView showGridLines="0" view="pageLayout" zoomScale="85" zoomScaleNormal="100" zoomScalePageLayoutView="85" workbookViewId="0">
      <selection activeCell="D40" sqref="D40"/>
    </sheetView>
  </sheetViews>
  <sheetFormatPr defaultColWidth="8.81640625" defaultRowHeight="12.5" outlineLevelRow="1" x14ac:dyDescent="0.25"/>
  <cols>
    <col min="1" max="1" width="30.7265625" style="162" customWidth="1"/>
    <col min="2" max="2" width="14.7265625" style="162" customWidth="1"/>
    <col min="3" max="3" width="13.7265625" style="162" customWidth="1"/>
    <col min="4" max="4" width="32" style="162" customWidth="1"/>
    <col min="5" max="5" width="14.7265625" style="162" customWidth="1"/>
    <col min="6" max="6" width="13.7265625" style="162" customWidth="1"/>
    <col min="7" max="7" width="30.7265625" style="162" customWidth="1"/>
    <col min="8" max="8" width="14.7265625" style="162" customWidth="1"/>
    <col min="9" max="9" width="8.26953125" style="162" customWidth="1"/>
    <col min="10" max="10" width="13.81640625" style="162" customWidth="1"/>
    <col min="11" max="16384" width="8.81640625" style="162"/>
  </cols>
  <sheetData>
    <row r="3" ht="70.150000000000006" customHeight="1" x14ac:dyDescent="0.25"/>
    <row r="15" ht="15" customHeight="1" x14ac:dyDescent="0.25"/>
    <row r="38" spans="1:8" ht="13" x14ac:dyDescent="0.3">
      <c r="A38" s="163" t="s">
        <v>71</v>
      </c>
      <c r="B38" s="164" t="s">
        <v>43</v>
      </c>
      <c r="G38" s="163" t="s">
        <v>72</v>
      </c>
      <c r="H38" s="164" t="s">
        <v>43</v>
      </c>
    </row>
    <row r="39" spans="1:8" outlineLevel="1" x14ac:dyDescent="0.25">
      <c r="A39" s="165" t="s">
        <v>1</v>
      </c>
      <c r="B39" s="167">
        <f>'Exp Code Ag Pgs 6&amp;7 Do Not Inpt'!C56</f>
        <v>9261386</v>
      </c>
      <c r="G39" s="165" t="s">
        <v>4</v>
      </c>
      <c r="H39" s="167">
        <f>'Exp Code Ag Pgs 6&amp;7 Do Not Inpt'!F56</f>
        <v>46727758</v>
      </c>
    </row>
    <row r="40" spans="1:8" outlineLevel="1" x14ac:dyDescent="0.25">
      <c r="A40" s="165" t="s">
        <v>2</v>
      </c>
      <c r="B40" s="167">
        <f>'Exp Code Ag Pgs 6&amp;7 Do Not Inpt'!D56</f>
        <v>35965457.870000005</v>
      </c>
      <c r="G40" s="165" t="s">
        <v>5</v>
      </c>
      <c r="H40" s="167">
        <f>'Exp Code Ag Pgs 6&amp;7 Do Not Inpt'!G56</f>
        <v>24881621</v>
      </c>
    </row>
    <row r="41" spans="1:8" ht="13" outlineLevel="1" x14ac:dyDescent="0.3">
      <c r="A41" s="165" t="s">
        <v>41</v>
      </c>
      <c r="B41" s="167">
        <f>'Exp Code Ag Pgs 6&amp;7 Do Not Inpt'!E56</f>
        <v>20196195</v>
      </c>
      <c r="G41" s="163" t="s">
        <v>76</v>
      </c>
      <c r="H41" s="168">
        <f>SUM(H39:H40)</f>
        <v>71609379</v>
      </c>
    </row>
    <row r="42" spans="1:8" ht="13" x14ac:dyDescent="0.3">
      <c r="A42" s="163" t="s">
        <v>75</v>
      </c>
      <c r="B42" s="168">
        <f>SUM(B39:B41)</f>
        <v>65423038.870000005</v>
      </c>
      <c r="H42" s="169"/>
    </row>
    <row r="43" spans="1:8" x14ac:dyDescent="0.25">
      <c r="B43" s="169"/>
      <c r="H43" s="169"/>
    </row>
    <row r="44" spans="1:8" ht="13" x14ac:dyDescent="0.3">
      <c r="B44" s="169"/>
      <c r="G44" s="163" t="s">
        <v>73</v>
      </c>
      <c r="H44" s="170" t="s">
        <v>43</v>
      </c>
    </row>
    <row r="45" spans="1:8" ht="13" x14ac:dyDescent="0.3">
      <c r="A45" s="163" t="s">
        <v>74</v>
      </c>
      <c r="B45" s="167"/>
      <c r="G45" s="165" t="s">
        <v>63</v>
      </c>
      <c r="H45" s="167">
        <f>'Exp Code Ag Pgs 6&amp;7 Do Not Inpt'!H56</f>
        <v>87220189.980000004</v>
      </c>
    </row>
    <row r="46" spans="1:8" x14ac:dyDescent="0.25">
      <c r="A46" s="165" t="s">
        <v>119</v>
      </c>
      <c r="B46" s="167">
        <f>'LHJ Summary Pg 4-Do Not Input'!L40</f>
        <v>10724684.030000001</v>
      </c>
      <c r="G46" s="165" t="s">
        <v>6</v>
      </c>
      <c r="H46" s="167">
        <f>'Exp Code Ag Pgs 6&amp;7 Do Not Inpt'!C72</f>
        <v>131876822</v>
      </c>
    </row>
    <row r="47" spans="1:8" ht="13" x14ac:dyDescent="0.3">
      <c r="A47" s="163" t="s">
        <v>120</v>
      </c>
      <c r="B47" s="168">
        <f>B46</f>
        <v>10724684.030000001</v>
      </c>
      <c r="G47" s="163" t="s">
        <v>77</v>
      </c>
      <c r="H47" s="168">
        <f>SUM(H45:H46)</f>
        <v>219097011.98000002</v>
      </c>
    </row>
  </sheetData>
  <pageMargins left="0.7" right="0.7" top="0.75" bottom="0.75" header="0.3" footer="0.3"/>
  <pageSetup scale="70" fitToHeight="0" orientation="landscape" r:id="rId1"/>
  <headerFooter>
    <oddHeader xml:space="preserve">&amp;C&amp;"-,Bold"&amp;20Expenditures by Funding Sources - Detail
2015
All Local Health Jurisdictions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topLeftCell="A10" zoomScaleNormal="100" workbookViewId="0">
      <selection activeCell="E63" sqref="E63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7061410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2792.62</v>
      </c>
      <c r="D2" s="2"/>
      <c r="E2" s="41"/>
      <c r="F2" s="41"/>
      <c r="G2" s="41"/>
      <c r="H2" s="41"/>
      <c r="I2" s="59"/>
      <c r="J2" s="4"/>
      <c r="K2" s="89"/>
    </row>
    <row r="3" spans="1:12" ht="15.5" thickTop="1" thickBot="1" x14ac:dyDescent="0.4">
      <c r="A3" s="14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151"/>
      <c r="L3"/>
    </row>
    <row r="4" spans="1:12" ht="69" customHeight="1" thickTop="1" thickBot="1" x14ac:dyDescent="0.4">
      <c r="A4" s="147" t="s">
        <v>67</v>
      </c>
      <c r="B4" s="88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4" t="s">
        <v>0</v>
      </c>
      <c r="L4"/>
    </row>
    <row r="5" spans="1:12" x14ac:dyDescent="0.35">
      <c r="A5" s="148">
        <v>562.1</v>
      </c>
      <c r="B5" s="15" t="s">
        <v>9</v>
      </c>
      <c r="C5" s="108">
        <f>'Adams Pgs 8-9'!C5+'Asotin Pgs 10-11'!C5+'Benton-Franklin Pgs 12-13'!C5+'Chelan-Douglas Pgs 14-15'!C5+'Clallam Pgs 16-17'!C5+'Clark Pgs 18-19'!C5+'Columbia Pgs 20-21'!C5+'Cowlitz Pgs 22-23'!C5+'Garfield Pgs 24-25'!C5+'Grant Pgs 26-27'!C5+'Grays Harbor Pgs 28-29'!C5+'Island Pgs 30-31'!C5+'Jefferson Pgs 32-33'!C5+'Kitsap Pgs 34-35'!C5+'Kittitas Pgs 36-37'!C5+'Klickitat Pgs 38-39'!C5+'Lewis Pgs 40-41'!C5+'Lincoln Pgs 42-43'!C5+'Mason Pgs 44-45'!C5+'Northeast Tri Pgs 46-47'!C5+'Okanogan Pgs 48-49'!C5+'Pacific Pgs 50-51'!C5+'San Juan Pgs 52-53'!C5+'[1]seattle king'!C5+'Skagit Pgs 56-57'!C5+'Skamania Pgs 58-59'!C5+'Snohomish Pgs 60-61'!C5+'Spokane Pgs 62-63'!C5+'Tacoma-Pierce Pgs 64-65'!C5+'Thurston Pgs 66-67'!C5+'Wahkiakum Pgs 68-69'!C5+'Walla Walla Pgs 70-71'!C5+'Whatcom Pgs 72-73'!C5+'Whitman Pgs 74-75'!C5+'Yakima Pgs 76-77'!C5</f>
        <v>0</v>
      </c>
      <c r="D5" s="109">
        <f>'Adams Pgs 8-9'!D5+'Asotin Pgs 10-11'!D5+'Benton-Franklin Pgs 12-13'!D5+'Chelan-Douglas Pgs 14-15'!D5+'Clallam Pgs 16-17'!D5+'Clark Pgs 18-19'!D5+'Columbia Pgs 20-21'!D5+'Cowlitz Pgs 22-23'!D5+'Garfield Pgs 24-25'!D5+'Grant Pgs 26-27'!D5+'Grays Harbor Pgs 28-29'!D5+'Island Pgs 30-31'!D5+'Jefferson Pgs 32-33'!D5+'Kitsap Pgs 34-35'!D5+'Kittitas Pgs 36-37'!D5+'Klickitat Pgs 38-39'!D5+'Lewis Pgs 40-41'!D5+'Lincoln Pgs 42-43'!D5+'Mason Pgs 44-45'!D5+'Northeast Tri Pgs 46-47'!D5+'Okanogan Pgs 48-49'!D5+'Pacific Pgs 50-51'!D5+'San Juan Pgs 52-53'!D5+'[1]seattle king'!D5+'Skagit Pgs 56-57'!D5+'Skamania Pgs 58-59'!D5+'Snohomish Pgs 60-61'!D5+'Spokane Pgs 62-63'!D5+'Tacoma-Pierce Pgs 64-65'!D5+'Thurston Pgs 66-67'!D5+'Wahkiakum Pgs 68-69'!D5+'Walla Walla Pgs 70-71'!D5+'Whatcom Pgs 72-73'!D5+'Whitman Pgs 74-75'!D5+'Yakima Pgs 76-77'!D5</f>
        <v>6227078.8700000001</v>
      </c>
      <c r="E5" s="110">
        <f>'Adams Pgs 8-9'!E5+'Asotin Pgs 10-11'!E5+'Benton-Franklin Pgs 12-13'!E5+'Chelan-Douglas Pgs 14-15'!E5+'Clallam Pgs 16-17'!E5+'Clark Pgs 18-19'!E5+'Columbia Pgs 20-21'!E5+'Cowlitz Pgs 22-23'!E5+'Garfield Pgs 24-25'!E5+'Grant Pgs 26-27'!E5+'Grays Harbor Pgs 28-29'!E5+'Island Pgs 30-31'!E5+'Jefferson Pgs 32-33'!E5+'Kitsap Pgs 34-35'!E5+'Kittitas Pgs 36-37'!E5+'Klickitat Pgs 38-39'!E5+'Lewis Pgs 40-41'!E5+'Lincoln Pgs 42-43'!E5+'Mason Pgs 44-45'!E5+'Northeast Tri Pgs 46-47'!E5+'Okanogan Pgs 48-49'!E5+'Pacific Pgs 50-51'!E5+'San Juan Pgs 52-53'!E5+'[1]seattle king'!E5+'Skagit Pgs 56-57'!E5+'Skamania Pgs 58-59'!E5+'Snohomish Pgs 60-61'!E5+'Spokane Pgs 62-63'!E5+'Tacoma-Pierce Pgs 64-65'!E5+'Thurston Pgs 66-67'!E5+'Wahkiakum Pgs 68-69'!E5+'Walla Walla Pgs 70-71'!E5+'Whatcom Pgs 72-73'!E5+'Whitman Pgs 74-75'!E5+'Yakima Pgs 76-77'!E5</f>
        <v>413657</v>
      </c>
      <c r="F5" s="108">
        <f>'Adams Pgs 8-9'!F5+'Asotin Pgs 10-11'!F5+'Benton-Franklin Pgs 12-13'!F5+'Chelan-Douglas Pgs 14-15'!F5+'Clallam Pgs 16-17'!F5+'Clark Pgs 18-19'!F5+'Columbia Pgs 20-21'!F5+'Cowlitz Pgs 22-23'!F5+'Garfield Pgs 24-25'!F5+'Grant Pgs 26-27'!F5+'Grays Harbor Pgs 28-29'!F5+'Island Pgs 30-31'!F5+'Jefferson Pgs 32-33'!F5+'Kitsap Pgs 34-35'!F5+'Kittitas Pgs 36-37'!F5+'Klickitat Pgs 38-39'!F5+'Lewis Pgs 40-41'!F5+'Lincoln Pgs 42-43'!F5+'Mason Pgs 44-45'!F5+'Northeast Tri Pgs 46-47'!F5+'Okanogan Pgs 48-49'!F5+'Pacific Pgs 50-51'!F5+'San Juan Pgs 52-53'!F5+'[1]seattle king'!F5+'Skagit Pgs 56-57'!F5+'Skamania Pgs 58-59'!F5+'Snohomish Pgs 60-61'!F5+'Spokane Pgs 62-63'!F5+'Tacoma-Pierce Pgs 64-65'!F5+'Thurston Pgs 66-67'!F5+'Wahkiakum Pgs 68-69'!F5+'Walla Walla Pgs 70-71'!F5+'Whatcom Pgs 72-73'!F5+'Whitman Pgs 74-75'!F5+'Yakima Pgs 76-77'!F5</f>
        <v>5497010</v>
      </c>
      <c r="G5" s="110">
        <f>'Adams Pgs 8-9'!G5+'Asotin Pgs 10-11'!G5+'Benton-Franklin Pgs 12-13'!G5+'Chelan-Douglas Pgs 14-15'!G5+'Clallam Pgs 16-17'!G5+'Clark Pgs 18-19'!G5+'Columbia Pgs 20-21'!G5+'Cowlitz Pgs 22-23'!G5+'Garfield Pgs 24-25'!G5+'Grant Pgs 26-27'!G5+'Grays Harbor Pgs 28-29'!G5+'Island Pgs 30-31'!G5+'Jefferson Pgs 32-33'!G5+'Kitsap Pgs 34-35'!G5+'Kittitas Pgs 36-37'!G5+'Klickitat Pgs 38-39'!G5+'Lewis Pgs 40-41'!G5+'Lincoln Pgs 42-43'!G5+'Mason Pgs 44-45'!G5+'Northeast Tri Pgs 46-47'!G5+'Okanogan Pgs 48-49'!G5+'Pacific Pgs 50-51'!G5+'San Juan Pgs 52-53'!G5+'[1]seattle king'!G5+'Skagit Pgs 56-57'!G5+'Skamania Pgs 58-59'!G5+'Snohomish Pgs 60-61'!G5+'Spokane Pgs 62-63'!G5+'Tacoma-Pierce Pgs 64-65'!G5+'Thurston Pgs 66-67'!G5+'Wahkiakum Pgs 68-69'!G5+'Walla Walla Pgs 70-71'!G5+'Whatcom Pgs 72-73'!G5+'Whitman Pgs 74-75'!G5+'Yakima Pgs 76-77'!G5</f>
        <v>1719960</v>
      </c>
      <c r="H5" s="111">
        <f>'Adams Pgs 8-9'!H5+'Asotin Pgs 10-11'!H5+'Benton-Franklin Pgs 12-13'!H5+'Chelan-Douglas Pgs 14-15'!H5+'Clallam Pgs 16-17'!H5+'Clark Pgs 18-19'!H5+'Columbia Pgs 20-21'!H5+'Cowlitz Pgs 22-23'!H5+'Garfield Pgs 24-25'!H5+'Grant Pgs 26-27'!H5+'Grays Harbor Pgs 28-29'!H5+'Island Pgs 30-31'!H5+'Jefferson Pgs 32-33'!H5+'Kitsap Pgs 34-35'!H5+'Kittitas Pgs 36-37'!H5+'Klickitat Pgs 38-39'!H5+'Lewis Pgs 40-41'!H5+'Lincoln Pgs 42-43'!H5+'Mason Pgs 44-45'!H5+'Northeast Tri Pgs 46-47'!H5+'Okanogan Pgs 48-49'!H5+'Pacific Pgs 50-51'!H5+'San Juan Pgs 52-53'!H5+'[1]seattle king'!H5+'Skagit Pgs 56-57'!H5+'Skamania Pgs 58-59'!H5+'Snohomish Pgs 60-61'!H5+'Spokane Pgs 62-63'!H5+'Tacoma-Pierce Pgs 64-65'!H5+'Thurston Pgs 66-67'!H5+'Wahkiakum Pgs 68-69'!H5+'Walla Walla Pgs 70-71'!H5+'Whatcom Pgs 72-73'!H5+'Whitman Pgs 74-75'!H5+'Yakima Pgs 76-77'!H5</f>
        <v>9390486</v>
      </c>
      <c r="I5" s="110">
        <f>'Adams Pgs 8-9'!I5+'Asotin Pgs 10-11'!I5+'Benton-Franklin Pgs 12-13'!I5+'Chelan-Douglas Pgs 14-15'!I5+'Clallam Pgs 16-17'!I5+'Clark Pgs 18-19'!I5+'Columbia Pgs 20-21'!I5+'Cowlitz Pgs 22-23'!I5+'Garfield Pgs 24-25'!I5+'Grant Pgs 26-27'!I5+'Grays Harbor Pgs 28-29'!I5+'Island Pgs 30-31'!I5+'Jefferson Pgs 32-33'!I5+'Kitsap Pgs 34-35'!I5+'Kittitas Pgs 36-37'!I5+'Klickitat Pgs 38-39'!I5+'Lewis Pgs 40-41'!I5+'Lincoln Pgs 42-43'!I5+'Mason Pgs 44-45'!I5+'Northeast Tri Pgs 46-47'!I5+'Okanogan Pgs 48-49'!I5+'Pacific Pgs 50-51'!I5+'San Juan Pgs 52-53'!I5+'[1]seattle king'!I5+'Skagit Pgs 56-57'!I5+'Skamania Pgs 58-59'!I5+'Snohomish Pgs 60-61'!I5+'Spokane Pgs 62-63'!I5+'Tacoma-Pierce Pgs 64-65'!I5+'Thurston Pgs 66-67'!I5+'Wahkiakum Pgs 68-69'!I5+'Walla Walla Pgs 70-71'!I5+'Whatcom Pgs 72-73'!I5+'Whitman Pgs 74-75'!I5+'Yakima Pgs 76-77'!I5</f>
        <v>1569701</v>
      </c>
      <c r="J5" s="112">
        <f>'Adams Pgs 8-9'!J5+'Asotin Pgs 10-11'!J5+'Benton-Franklin Pgs 12-13'!J5+'Chelan-Douglas Pgs 14-15'!J5+'Clallam Pgs 16-17'!J5+'Clark Pgs 18-19'!J5+'Columbia Pgs 20-21'!J5+'Cowlitz Pgs 22-23'!J5+'Garfield Pgs 24-25'!J5+'Grant Pgs 26-27'!J5+'Grays Harbor Pgs 28-29'!J5+'Island Pgs 30-31'!J5+'Jefferson Pgs 32-33'!J5+'Kitsap Pgs 34-35'!J5+'Kittitas Pgs 36-37'!J5+'Klickitat Pgs 38-39'!J5+'Lewis Pgs 40-41'!J5+'Lincoln Pgs 42-43'!J5+'Mason Pgs 44-45'!J5+'Northeast Tri Pgs 46-47'!J5+'Okanogan Pgs 48-49'!J5+'Pacific Pgs 50-51'!J5+'San Juan Pgs 52-53'!J5+'[1]seattle king'!J5+'Skagit Pgs 56-57'!J5+'Skamania Pgs 58-59'!J5+'Snohomish Pgs 60-61'!J5+'Spokane Pgs 62-63'!J5+'Tacoma-Pierce Pgs 64-65'!J5+'Thurston Pgs 66-67'!J5+'Wahkiakum Pgs 68-69'!J5+'Walla Walla Pgs 70-71'!J5+'Whatcom Pgs 72-73'!J5+'Whitman Pgs 74-75'!J5+'Yakima Pgs 76-77'!J5</f>
        <v>2223153.0300000003</v>
      </c>
      <c r="K5" s="142">
        <f>SUM(C5:J5)</f>
        <v>27041045.900000002</v>
      </c>
      <c r="L5"/>
    </row>
    <row r="6" spans="1:12" x14ac:dyDescent="0.35">
      <c r="A6" s="79">
        <v>562.21</v>
      </c>
      <c r="B6" s="16" t="s">
        <v>10</v>
      </c>
      <c r="C6" s="108">
        <f>'Adams Pgs 8-9'!C6+'Asotin Pgs 10-11'!C6+'Benton-Franklin Pgs 12-13'!C6+'Chelan-Douglas Pgs 14-15'!C6+'Clallam Pgs 16-17'!C6+'Clark Pgs 18-19'!C6+'Columbia Pgs 20-21'!C6+'Cowlitz Pgs 22-23'!C6+'Garfield Pgs 24-25'!C6+'Grant Pgs 26-27'!C6+'Grays Harbor Pgs 28-29'!C6+'Island Pgs 30-31'!C6+'Jefferson Pgs 32-33'!C6+'Kitsap Pgs 34-35'!C6+'Kittitas Pgs 36-37'!C6+'Klickitat Pgs 38-39'!C6+'Lewis Pgs 40-41'!C6+'Lincoln Pgs 42-43'!C6+'Mason Pgs 44-45'!C6+'Northeast Tri Pgs 46-47'!C6+'Okanogan Pgs 48-49'!C6+'Pacific Pgs 50-51'!C6+'San Juan Pgs 52-53'!C6+'[1]seattle king'!C6+'Skagit Pgs 56-57'!C6+'Skamania Pgs 58-59'!C6+'Snohomish Pgs 60-61'!C6+'Spokane Pgs 62-63'!C6+'Tacoma-Pierce Pgs 64-65'!C6+'Thurston Pgs 66-67'!C6+'Wahkiakum Pgs 68-69'!C6+'Walla Walla Pgs 70-71'!C6+'Whatcom Pgs 72-73'!C6+'Whitman Pgs 74-75'!C6+'Yakima Pgs 76-77'!C6</f>
        <v>0</v>
      </c>
      <c r="D6" s="109">
        <f>'Adams Pgs 8-9'!D6+'Asotin Pgs 10-11'!D6+'Benton-Franklin Pgs 12-13'!D6+'Chelan-Douglas Pgs 14-15'!D6+'Clallam Pgs 16-17'!D6+'Clark Pgs 18-19'!D6+'Columbia Pgs 20-21'!D6+'Cowlitz Pgs 22-23'!D6+'Garfield Pgs 24-25'!D6+'Grant Pgs 26-27'!D6+'Grays Harbor Pgs 28-29'!D6+'Island Pgs 30-31'!D6+'Jefferson Pgs 32-33'!D6+'Kitsap Pgs 34-35'!D6+'Kittitas Pgs 36-37'!D6+'Klickitat Pgs 38-39'!D6+'Lewis Pgs 40-41'!D6+'Lincoln Pgs 42-43'!D6+'Mason Pgs 44-45'!D6+'Northeast Tri Pgs 46-47'!D6+'Okanogan Pgs 48-49'!D6+'Pacific Pgs 50-51'!D6+'San Juan Pgs 52-53'!D6+'[1]seattle king'!D6+'Skagit Pgs 56-57'!D6+'Skamania Pgs 58-59'!D6+'Snohomish Pgs 60-61'!D6+'Spokane Pgs 62-63'!D6+'Tacoma-Pierce Pgs 64-65'!D6+'Thurston Pgs 66-67'!D6+'Wahkiakum Pgs 68-69'!D6+'Walla Walla Pgs 70-71'!D6+'Whatcom Pgs 72-73'!D6+'Whitman Pgs 74-75'!D6+'Yakima Pgs 76-77'!D6</f>
        <v>0</v>
      </c>
      <c r="E6" s="110">
        <f>'Adams Pgs 8-9'!E6+'Asotin Pgs 10-11'!E6+'Benton-Franklin Pgs 12-13'!E6+'Chelan-Douglas Pgs 14-15'!E6+'Clallam Pgs 16-17'!E6+'Clark Pgs 18-19'!E6+'Columbia Pgs 20-21'!E6+'Cowlitz Pgs 22-23'!E6+'Garfield Pgs 24-25'!E6+'Grant Pgs 26-27'!E6+'Grays Harbor Pgs 28-29'!E6+'Island Pgs 30-31'!E6+'Jefferson Pgs 32-33'!E6+'Kitsap Pgs 34-35'!E6+'Kittitas Pgs 36-37'!E6+'Klickitat Pgs 38-39'!E6+'Lewis Pgs 40-41'!E6+'Lincoln Pgs 42-43'!E6+'Mason Pgs 44-45'!E6+'Northeast Tri Pgs 46-47'!E6+'Okanogan Pgs 48-49'!E6+'Pacific Pgs 50-51'!E6+'San Juan Pgs 52-53'!E6+'[1]seattle king'!E6+'Skagit Pgs 56-57'!E6+'Skamania Pgs 58-59'!E6+'Snohomish Pgs 60-61'!E6+'Spokane Pgs 62-63'!E6+'Tacoma-Pierce Pgs 64-65'!E6+'Thurston Pgs 66-67'!E6+'Wahkiakum Pgs 68-69'!E6+'Walla Walla Pgs 70-71'!E6+'Whatcom Pgs 72-73'!E6+'Whitman Pgs 74-75'!E6+'Yakima Pgs 76-77'!E6</f>
        <v>0</v>
      </c>
      <c r="F6" s="108">
        <f>'Adams Pgs 8-9'!F6+'Asotin Pgs 10-11'!F6+'Benton-Franklin Pgs 12-13'!F6+'Chelan-Douglas Pgs 14-15'!F6+'Clallam Pgs 16-17'!F6+'Clark Pgs 18-19'!F6+'Columbia Pgs 20-21'!F6+'Cowlitz Pgs 22-23'!F6+'Garfield Pgs 24-25'!F6+'Grant Pgs 26-27'!F6+'Grays Harbor Pgs 28-29'!F6+'Island Pgs 30-31'!F6+'Jefferson Pgs 32-33'!F6+'Kitsap Pgs 34-35'!F6+'Kittitas Pgs 36-37'!F6+'Klickitat Pgs 38-39'!F6+'Lewis Pgs 40-41'!F6+'Lincoln Pgs 42-43'!F6+'Mason Pgs 44-45'!F6+'Northeast Tri Pgs 46-47'!F6+'Okanogan Pgs 48-49'!F6+'Pacific Pgs 50-51'!F6+'San Juan Pgs 52-53'!F6+'[1]seattle king'!F6+'Skagit Pgs 56-57'!F6+'Skamania Pgs 58-59'!F6+'Snohomish Pgs 60-61'!F6+'Spokane Pgs 62-63'!F6+'Tacoma-Pierce Pgs 64-65'!F6+'Thurston Pgs 66-67'!F6+'Wahkiakum Pgs 68-69'!F6+'Walla Walla Pgs 70-71'!F6+'Whatcom Pgs 72-73'!F6+'Whitman Pgs 74-75'!F6+'Yakima Pgs 76-77'!F6</f>
        <v>0</v>
      </c>
      <c r="G6" s="110">
        <f>'Adams Pgs 8-9'!G6+'Asotin Pgs 10-11'!G6+'Benton-Franklin Pgs 12-13'!G6+'Chelan-Douglas Pgs 14-15'!G6+'Clallam Pgs 16-17'!G6+'Clark Pgs 18-19'!G6+'Columbia Pgs 20-21'!G6+'Cowlitz Pgs 22-23'!G6+'Garfield Pgs 24-25'!G6+'Grant Pgs 26-27'!G6+'Grays Harbor Pgs 28-29'!G6+'Island Pgs 30-31'!G6+'Jefferson Pgs 32-33'!G6+'Kitsap Pgs 34-35'!G6+'Kittitas Pgs 36-37'!G6+'Klickitat Pgs 38-39'!G6+'Lewis Pgs 40-41'!G6+'Lincoln Pgs 42-43'!G6+'Mason Pgs 44-45'!G6+'Northeast Tri Pgs 46-47'!G6+'Okanogan Pgs 48-49'!G6+'Pacific Pgs 50-51'!G6+'San Juan Pgs 52-53'!G6+'[1]seattle king'!G6+'Skagit Pgs 56-57'!G6+'Skamania Pgs 58-59'!G6+'Snohomish Pgs 60-61'!G6+'Spokane Pgs 62-63'!G6+'Tacoma-Pierce Pgs 64-65'!G6+'Thurston Pgs 66-67'!G6+'Wahkiakum Pgs 68-69'!G6+'Walla Walla Pgs 70-71'!G6+'Whatcom Pgs 72-73'!G6+'Whitman Pgs 74-75'!G6+'Yakima Pgs 76-77'!G6</f>
        <v>0</v>
      </c>
      <c r="H6" s="111">
        <f>'Adams Pgs 8-9'!H6+'Asotin Pgs 10-11'!H6+'Benton-Franklin Pgs 12-13'!H6+'Chelan-Douglas Pgs 14-15'!H6+'Clallam Pgs 16-17'!H6+'Clark Pgs 18-19'!H6+'Columbia Pgs 20-21'!H6+'Cowlitz Pgs 22-23'!H6+'Garfield Pgs 24-25'!H6+'Grant Pgs 26-27'!H6+'Grays Harbor Pgs 28-29'!H6+'Island Pgs 30-31'!H6+'Jefferson Pgs 32-33'!H6+'Kitsap Pgs 34-35'!H6+'Kittitas Pgs 36-37'!H6+'Klickitat Pgs 38-39'!H6+'Lewis Pgs 40-41'!H6+'Lincoln Pgs 42-43'!H6+'Mason Pgs 44-45'!H6+'Northeast Tri Pgs 46-47'!H6+'Okanogan Pgs 48-49'!H6+'Pacific Pgs 50-51'!H6+'San Juan Pgs 52-53'!H6+'[1]seattle king'!H6+'Skagit Pgs 56-57'!H6+'Skamania Pgs 58-59'!H6+'Snohomish Pgs 60-61'!H6+'Spokane Pgs 62-63'!H6+'Tacoma-Pierce Pgs 64-65'!H6+'Thurston Pgs 66-67'!H6+'Wahkiakum Pgs 68-69'!H6+'Walla Walla Pgs 70-71'!H6+'Whatcom Pgs 72-73'!H6+'Whitman Pgs 74-75'!H6+'Yakima Pgs 76-77'!H6</f>
        <v>0</v>
      </c>
      <c r="I6" s="110">
        <f>'Adams Pgs 8-9'!I6+'Asotin Pgs 10-11'!I6+'Benton-Franklin Pgs 12-13'!I6+'Chelan-Douglas Pgs 14-15'!I6+'Clallam Pgs 16-17'!I6+'Clark Pgs 18-19'!I6+'Columbia Pgs 20-21'!I6+'Cowlitz Pgs 22-23'!I6+'Garfield Pgs 24-25'!I6+'Grant Pgs 26-27'!I6+'Grays Harbor Pgs 28-29'!I6+'Island Pgs 30-31'!I6+'Jefferson Pgs 32-33'!I6+'Kitsap Pgs 34-35'!I6+'Kittitas Pgs 36-37'!I6+'Klickitat Pgs 38-39'!I6+'Lewis Pgs 40-41'!I6+'Lincoln Pgs 42-43'!I6+'Mason Pgs 44-45'!I6+'Northeast Tri Pgs 46-47'!I6+'Okanogan Pgs 48-49'!I6+'Pacific Pgs 50-51'!I6+'San Juan Pgs 52-53'!I6+'[1]seattle king'!I6+'Skagit Pgs 56-57'!I6+'Skamania Pgs 58-59'!I6+'Snohomish Pgs 60-61'!I6+'Spokane Pgs 62-63'!I6+'Tacoma-Pierce Pgs 64-65'!I6+'Thurston Pgs 66-67'!I6+'Wahkiakum Pgs 68-69'!I6+'Walla Walla Pgs 70-71'!I6+'Whatcom Pgs 72-73'!I6+'Whitman Pgs 74-75'!I6+'Yakima Pgs 76-77'!I6</f>
        <v>0</v>
      </c>
      <c r="J6" s="112">
        <f>'Adams Pgs 8-9'!J6+'Asotin Pgs 10-11'!J6+'Benton-Franklin Pgs 12-13'!J6+'Chelan-Douglas Pgs 14-15'!J6+'Clallam Pgs 16-17'!J6+'Clark Pgs 18-19'!J6+'Columbia Pgs 20-21'!J6+'Cowlitz Pgs 22-23'!J6+'Garfield Pgs 24-25'!J6+'Grant Pgs 26-27'!J6+'Grays Harbor Pgs 28-29'!J6+'Island Pgs 30-31'!J6+'Jefferson Pgs 32-33'!J6+'Kitsap Pgs 34-35'!J6+'Kittitas Pgs 36-37'!J6+'Klickitat Pgs 38-39'!J6+'Lewis Pgs 40-41'!J6+'Lincoln Pgs 42-43'!J6+'Mason Pgs 44-45'!J6+'Northeast Tri Pgs 46-47'!J6+'Okanogan Pgs 48-49'!J6+'Pacific Pgs 50-51'!J6+'San Juan Pgs 52-53'!J6+'[1]seattle king'!J6+'Skagit Pgs 56-57'!J6+'Skamania Pgs 58-59'!J6+'Snohomish Pgs 60-61'!J6+'Spokane Pgs 62-63'!J6+'Tacoma-Pierce Pgs 64-65'!J6+'Thurston Pgs 66-67'!J6+'Wahkiakum Pgs 68-69'!J6+'Walla Walla Pgs 70-71'!J6+'Whatcom Pgs 72-73'!J6+'Whitman Pgs 74-75'!J6+'Yakima Pgs 76-77'!J6</f>
        <v>0</v>
      </c>
      <c r="K6" s="142">
        <f t="shared" ref="K6:K55" si="0">SUM(C6:J6)</f>
        <v>0</v>
      </c>
      <c r="L6"/>
    </row>
    <row r="7" spans="1:12" x14ac:dyDescent="0.35">
      <c r="A7" s="79">
        <v>562.22</v>
      </c>
      <c r="B7" s="29" t="s">
        <v>52</v>
      </c>
      <c r="C7" s="108">
        <f>'Adams Pgs 8-9'!C7+'Asotin Pgs 10-11'!C7+'Benton-Franklin Pgs 12-13'!C7+'Chelan-Douglas Pgs 14-15'!C7+'Clallam Pgs 16-17'!C7+'Clark Pgs 18-19'!C7+'Columbia Pgs 20-21'!C7+'Cowlitz Pgs 22-23'!C7+'Garfield Pgs 24-25'!C7+'Grant Pgs 26-27'!C7+'Grays Harbor Pgs 28-29'!C7+'Island Pgs 30-31'!C7+'Jefferson Pgs 32-33'!C7+'Kitsap Pgs 34-35'!C7+'Kittitas Pgs 36-37'!C7+'Klickitat Pgs 38-39'!C7+'Lewis Pgs 40-41'!C7+'Lincoln Pgs 42-43'!C7+'Mason Pgs 44-45'!C7+'Northeast Tri Pgs 46-47'!C7+'Okanogan Pgs 48-49'!C7+'Pacific Pgs 50-51'!C7+'San Juan Pgs 52-53'!C7+'[1]seattle king'!C7+'Skagit Pgs 56-57'!C7+'Skamania Pgs 58-59'!C7+'Snohomish Pgs 60-61'!C7+'Spokane Pgs 62-63'!C7+'Tacoma-Pierce Pgs 64-65'!C7+'Thurston Pgs 66-67'!C7+'Wahkiakum Pgs 68-69'!C7+'Walla Walla Pgs 70-71'!C7+'Whatcom Pgs 72-73'!C7+'Whitman Pgs 74-75'!C7+'Yakima Pgs 76-77'!C7</f>
        <v>0</v>
      </c>
      <c r="D7" s="109">
        <f>'Adams Pgs 8-9'!D7+'Asotin Pgs 10-11'!D7+'Benton-Franklin Pgs 12-13'!D7+'Chelan-Douglas Pgs 14-15'!D7+'Clallam Pgs 16-17'!D7+'Clark Pgs 18-19'!D7+'Columbia Pgs 20-21'!D7+'Cowlitz Pgs 22-23'!D7+'Garfield Pgs 24-25'!D7+'Grant Pgs 26-27'!D7+'Grays Harbor Pgs 28-29'!D7+'Island Pgs 30-31'!D7+'Jefferson Pgs 32-33'!D7+'Kitsap Pgs 34-35'!D7+'Kittitas Pgs 36-37'!D7+'Klickitat Pgs 38-39'!D7+'Lewis Pgs 40-41'!D7+'Lincoln Pgs 42-43'!D7+'Mason Pgs 44-45'!D7+'Northeast Tri Pgs 46-47'!D7+'Okanogan Pgs 48-49'!D7+'Pacific Pgs 50-51'!D7+'San Juan Pgs 52-53'!D7+'[1]seattle king'!D7+'Skagit Pgs 56-57'!D7+'Skamania Pgs 58-59'!D7+'Snohomish Pgs 60-61'!D7+'Spokane Pgs 62-63'!D7+'Tacoma-Pierce Pgs 64-65'!D7+'Thurston Pgs 66-67'!D7+'Wahkiakum Pgs 68-69'!D7+'Walla Walla Pgs 70-71'!D7+'Whatcom Pgs 72-73'!D7+'Whitman Pgs 74-75'!D7+'Yakima Pgs 76-77'!D7</f>
        <v>6023827</v>
      </c>
      <c r="E7" s="110">
        <f>'Adams Pgs 8-9'!E7+'Asotin Pgs 10-11'!E7+'Benton-Franklin Pgs 12-13'!E7+'Chelan-Douglas Pgs 14-15'!E7+'Clallam Pgs 16-17'!E7+'Clark Pgs 18-19'!E7+'Columbia Pgs 20-21'!E7+'Cowlitz Pgs 22-23'!E7+'Garfield Pgs 24-25'!E7+'Grant Pgs 26-27'!E7+'Grays Harbor Pgs 28-29'!E7+'Island Pgs 30-31'!E7+'Jefferson Pgs 32-33'!E7+'Kitsap Pgs 34-35'!E7+'Kittitas Pgs 36-37'!E7+'Klickitat Pgs 38-39'!E7+'Lewis Pgs 40-41'!E7+'Lincoln Pgs 42-43'!E7+'Mason Pgs 44-45'!E7+'Northeast Tri Pgs 46-47'!E7+'Okanogan Pgs 48-49'!E7+'Pacific Pgs 50-51'!E7+'San Juan Pgs 52-53'!E7+'[1]seattle king'!E7+'Skagit Pgs 56-57'!E7+'Skamania Pgs 58-59'!E7+'Snohomish Pgs 60-61'!E7+'Spokane Pgs 62-63'!E7+'Tacoma-Pierce Pgs 64-65'!E7+'Thurston Pgs 66-67'!E7+'Wahkiakum Pgs 68-69'!E7+'Walla Walla Pgs 70-71'!E7+'Whatcom Pgs 72-73'!E7+'Whitman Pgs 74-75'!E7+'Yakima Pgs 76-77'!E7</f>
        <v>1492408</v>
      </c>
      <c r="F7" s="108">
        <f>'Adams Pgs 8-9'!F7+'Asotin Pgs 10-11'!F7+'Benton-Franklin Pgs 12-13'!F7+'Chelan-Douglas Pgs 14-15'!F7+'Clallam Pgs 16-17'!F7+'Clark Pgs 18-19'!F7+'Columbia Pgs 20-21'!F7+'Cowlitz Pgs 22-23'!F7+'Garfield Pgs 24-25'!F7+'Grant Pgs 26-27'!F7+'Grays Harbor Pgs 28-29'!F7+'Island Pgs 30-31'!F7+'Jefferson Pgs 32-33'!F7+'Kitsap Pgs 34-35'!F7+'Kittitas Pgs 36-37'!F7+'Klickitat Pgs 38-39'!F7+'Lewis Pgs 40-41'!F7+'Lincoln Pgs 42-43'!F7+'Mason Pgs 44-45'!F7+'Northeast Tri Pgs 46-47'!F7+'Okanogan Pgs 48-49'!F7+'Pacific Pgs 50-51'!F7+'San Juan Pgs 52-53'!F7+'[1]seattle king'!F7+'Skagit Pgs 56-57'!F7+'Skamania Pgs 58-59'!F7+'Snohomish Pgs 60-61'!F7+'Spokane Pgs 62-63'!F7+'Tacoma-Pierce Pgs 64-65'!F7+'Thurston Pgs 66-67'!F7+'Wahkiakum Pgs 68-69'!F7+'Walla Walla Pgs 70-71'!F7+'Whatcom Pgs 72-73'!F7+'Whitman Pgs 74-75'!F7+'Yakima Pgs 76-77'!F7</f>
        <v>1743670</v>
      </c>
      <c r="G7" s="110">
        <f>'Adams Pgs 8-9'!G7+'Asotin Pgs 10-11'!G7+'Benton-Franklin Pgs 12-13'!G7+'Chelan-Douglas Pgs 14-15'!G7+'Clallam Pgs 16-17'!G7+'Clark Pgs 18-19'!G7+'Columbia Pgs 20-21'!G7+'Cowlitz Pgs 22-23'!G7+'Garfield Pgs 24-25'!G7+'Grant Pgs 26-27'!G7+'Grays Harbor Pgs 28-29'!G7+'Island Pgs 30-31'!G7+'Jefferson Pgs 32-33'!G7+'Kitsap Pgs 34-35'!G7+'Kittitas Pgs 36-37'!G7+'Klickitat Pgs 38-39'!G7+'Lewis Pgs 40-41'!G7+'Lincoln Pgs 42-43'!G7+'Mason Pgs 44-45'!G7+'Northeast Tri Pgs 46-47'!G7+'Okanogan Pgs 48-49'!G7+'Pacific Pgs 50-51'!G7+'San Juan Pgs 52-53'!G7+'[1]seattle king'!G7+'Skagit Pgs 56-57'!G7+'Skamania Pgs 58-59'!G7+'Snohomish Pgs 60-61'!G7+'Spokane Pgs 62-63'!G7+'Tacoma-Pierce Pgs 64-65'!G7+'Thurston Pgs 66-67'!G7+'Wahkiakum Pgs 68-69'!G7+'Walla Walla Pgs 70-71'!G7+'Whatcom Pgs 72-73'!G7+'Whitman Pgs 74-75'!G7+'Yakima Pgs 76-77'!G7</f>
        <v>4001377</v>
      </c>
      <c r="H7" s="111">
        <f>'Adams Pgs 8-9'!H7+'Asotin Pgs 10-11'!H7+'Benton-Franklin Pgs 12-13'!H7+'Chelan-Douglas Pgs 14-15'!H7+'Clallam Pgs 16-17'!H7+'Clark Pgs 18-19'!H7+'Columbia Pgs 20-21'!H7+'Cowlitz Pgs 22-23'!H7+'Garfield Pgs 24-25'!H7+'Grant Pgs 26-27'!H7+'Grays Harbor Pgs 28-29'!H7+'Island Pgs 30-31'!H7+'Jefferson Pgs 32-33'!H7+'Kitsap Pgs 34-35'!H7+'Kittitas Pgs 36-37'!H7+'Klickitat Pgs 38-39'!H7+'Lewis Pgs 40-41'!H7+'Lincoln Pgs 42-43'!H7+'Mason Pgs 44-45'!H7+'Northeast Tri Pgs 46-47'!H7+'Okanogan Pgs 48-49'!H7+'Pacific Pgs 50-51'!H7+'San Juan Pgs 52-53'!H7+'[1]seattle king'!H7+'Skagit Pgs 56-57'!H7+'Skamania Pgs 58-59'!H7+'Snohomish Pgs 60-61'!H7+'Spokane Pgs 62-63'!H7+'Tacoma-Pierce Pgs 64-65'!H7+'Thurston Pgs 66-67'!H7+'Wahkiakum Pgs 68-69'!H7+'Walla Walla Pgs 70-71'!H7+'Whatcom Pgs 72-73'!H7+'Whitman Pgs 74-75'!H7+'Yakima Pgs 76-77'!H7</f>
        <v>9323965.9800000004</v>
      </c>
      <c r="I7" s="110">
        <f>'Adams Pgs 8-9'!I7+'Asotin Pgs 10-11'!I7+'Benton-Franklin Pgs 12-13'!I7+'Chelan-Douglas Pgs 14-15'!I7+'Clallam Pgs 16-17'!I7+'Clark Pgs 18-19'!I7+'Columbia Pgs 20-21'!I7+'Cowlitz Pgs 22-23'!I7+'Garfield Pgs 24-25'!I7+'Grant Pgs 26-27'!I7+'Grays Harbor Pgs 28-29'!I7+'Island Pgs 30-31'!I7+'Jefferson Pgs 32-33'!I7+'Kitsap Pgs 34-35'!I7+'Kittitas Pgs 36-37'!I7+'Klickitat Pgs 38-39'!I7+'Lewis Pgs 40-41'!I7+'Lincoln Pgs 42-43'!I7+'Mason Pgs 44-45'!I7+'Northeast Tri Pgs 46-47'!I7+'Okanogan Pgs 48-49'!I7+'Pacific Pgs 50-51'!I7+'San Juan Pgs 52-53'!I7+'[1]seattle king'!I7+'Skagit Pgs 56-57'!I7+'Skamania Pgs 58-59'!I7+'Snohomish Pgs 60-61'!I7+'Spokane Pgs 62-63'!I7+'Tacoma-Pierce Pgs 64-65'!I7+'Thurston Pgs 66-67'!I7+'Wahkiakum Pgs 68-69'!I7+'Walla Walla Pgs 70-71'!I7+'Whatcom Pgs 72-73'!I7+'Whitman Pgs 74-75'!I7+'Yakima Pgs 76-77'!I7</f>
        <v>18838002</v>
      </c>
      <c r="J7" s="112">
        <f>'Adams Pgs 8-9'!J7+'Asotin Pgs 10-11'!J7+'Benton-Franklin Pgs 12-13'!J7+'Chelan-Douglas Pgs 14-15'!J7+'Clallam Pgs 16-17'!J7+'Clark Pgs 18-19'!J7+'Columbia Pgs 20-21'!J7+'Cowlitz Pgs 22-23'!J7+'Garfield Pgs 24-25'!J7+'Grant Pgs 26-27'!J7+'Grays Harbor Pgs 28-29'!J7+'Island Pgs 30-31'!J7+'Jefferson Pgs 32-33'!J7+'Kitsap Pgs 34-35'!J7+'Kittitas Pgs 36-37'!J7+'Klickitat Pgs 38-39'!J7+'Lewis Pgs 40-41'!J7+'Lincoln Pgs 42-43'!J7+'Mason Pgs 44-45'!J7+'Northeast Tri Pgs 46-47'!J7+'Okanogan Pgs 48-49'!J7+'Pacific Pgs 50-51'!J7+'San Juan Pgs 52-53'!J7+'[1]seattle king'!J7+'Skagit Pgs 56-57'!J7+'Skamania Pgs 58-59'!J7+'Snohomish Pgs 60-61'!J7+'Spokane Pgs 62-63'!J7+'Tacoma-Pierce Pgs 64-65'!J7+'Thurston Pgs 66-67'!J7+'Wahkiakum Pgs 68-69'!J7+'Walla Walla Pgs 70-71'!J7+'Whatcom Pgs 72-73'!J7+'Whitman Pgs 74-75'!J7+'Yakima Pgs 76-77'!J7</f>
        <v>478380</v>
      </c>
      <c r="K7" s="142">
        <f t="shared" si="0"/>
        <v>41901629.980000004</v>
      </c>
      <c r="L7"/>
    </row>
    <row r="8" spans="1:12" x14ac:dyDescent="0.35">
      <c r="A8" s="79">
        <v>562.24</v>
      </c>
      <c r="B8" s="16" t="s">
        <v>11</v>
      </c>
      <c r="C8" s="108">
        <f>'Adams Pgs 8-9'!C8+'Asotin Pgs 10-11'!C8+'Benton-Franklin Pgs 12-13'!C8+'Chelan-Douglas Pgs 14-15'!C8+'Clallam Pgs 16-17'!C8+'Clark Pgs 18-19'!C8+'Columbia Pgs 20-21'!C8+'Cowlitz Pgs 22-23'!C8+'Garfield Pgs 24-25'!C8+'Grant Pgs 26-27'!C8+'Grays Harbor Pgs 28-29'!C8+'Island Pgs 30-31'!C8+'Jefferson Pgs 32-33'!C8+'Kitsap Pgs 34-35'!C8+'Kittitas Pgs 36-37'!C8+'Klickitat Pgs 38-39'!C8+'Lewis Pgs 40-41'!C8+'Lincoln Pgs 42-43'!C8+'Mason Pgs 44-45'!C8+'Northeast Tri Pgs 46-47'!C8+'Okanogan Pgs 48-49'!C8+'Pacific Pgs 50-51'!C8+'San Juan Pgs 52-53'!C8+'[1]seattle king'!C8+'Skagit Pgs 56-57'!C8+'Skamania Pgs 58-59'!C8+'Snohomish Pgs 60-61'!C8+'Spokane Pgs 62-63'!C8+'Tacoma-Pierce Pgs 64-65'!C8+'Thurston Pgs 66-67'!C8+'Wahkiakum Pgs 68-69'!C8+'Walla Walla Pgs 70-71'!C8+'Whatcom Pgs 72-73'!C8+'Whitman Pgs 74-75'!C8+'Yakima Pgs 76-77'!C8</f>
        <v>0</v>
      </c>
      <c r="D8" s="109">
        <f>'Adams Pgs 8-9'!D8+'Asotin Pgs 10-11'!D8+'Benton-Franklin Pgs 12-13'!D8+'Chelan-Douglas Pgs 14-15'!D8+'Clallam Pgs 16-17'!D8+'Clark Pgs 18-19'!D8+'Columbia Pgs 20-21'!D8+'Cowlitz Pgs 22-23'!D8+'Garfield Pgs 24-25'!D8+'Grant Pgs 26-27'!D8+'Grays Harbor Pgs 28-29'!D8+'Island Pgs 30-31'!D8+'Jefferson Pgs 32-33'!D8+'Kitsap Pgs 34-35'!D8+'Kittitas Pgs 36-37'!D8+'Klickitat Pgs 38-39'!D8+'Lewis Pgs 40-41'!D8+'Lincoln Pgs 42-43'!D8+'Mason Pgs 44-45'!D8+'Northeast Tri Pgs 46-47'!D8+'Okanogan Pgs 48-49'!D8+'Pacific Pgs 50-51'!D8+'San Juan Pgs 52-53'!D8+'[1]seattle king'!D8+'Skagit Pgs 56-57'!D8+'Skamania Pgs 58-59'!D8+'Snohomish Pgs 60-61'!D8+'Spokane Pgs 62-63'!D8+'Tacoma-Pierce Pgs 64-65'!D8+'Thurston Pgs 66-67'!D8+'Wahkiakum Pgs 68-69'!D8+'Walla Walla Pgs 70-71'!D8+'Whatcom Pgs 72-73'!D8+'Whitman Pgs 74-75'!D8+'Yakima Pgs 76-77'!D8</f>
        <v>71019</v>
      </c>
      <c r="E8" s="110">
        <f>'Adams Pgs 8-9'!E8+'Asotin Pgs 10-11'!E8+'Benton-Franklin Pgs 12-13'!E8+'Chelan-Douglas Pgs 14-15'!E8+'Clallam Pgs 16-17'!E8+'Clark Pgs 18-19'!E8+'Columbia Pgs 20-21'!E8+'Cowlitz Pgs 22-23'!E8+'Garfield Pgs 24-25'!E8+'Grant Pgs 26-27'!E8+'Grays Harbor Pgs 28-29'!E8+'Island Pgs 30-31'!E8+'Jefferson Pgs 32-33'!E8+'Kitsap Pgs 34-35'!E8+'Kittitas Pgs 36-37'!E8+'Klickitat Pgs 38-39'!E8+'Lewis Pgs 40-41'!E8+'Lincoln Pgs 42-43'!E8+'Mason Pgs 44-45'!E8+'Northeast Tri Pgs 46-47'!E8+'Okanogan Pgs 48-49'!E8+'Pacific Pgs 50-51'!E8+'San Juan Pgs 52-53'!E8+'[1]seattle king'!E8+'Skagit Pgs 56-57'!E8+'Skamania Pgs 58-59'!E8+'Snohomish Pgs 60-61'!E8+'Spokane Pgs 62-63'!E8+'Tacoma-Pierce Pgs 64-65'!E8+'Thurston Pgs 66-67'!E8+'Wahkiakum Pgs 68-69'!E8+'Walla Walla Pgs 70-71'!E8+'Whatcom Pgs 72-73'!E8+'Whitman Pgs 74-75'!E8+'Yakima Pgs 76-77'!E8</f>
        <v>209326</v>
      </c>
      <c r="F8" s="114">
        <f>'Adams Pgs 8-9'!F8+'Asotin Pgs 10-11'!F8+'Benton-Franklin Pgs 12-13'!F8+'Chelan-Douglas Pgs 14-15'!F8+'Clallam Pgs 16-17'!F8+'Clark Pgs 18-19'!F8+'Columbia Pgs 20-21'!F8+'Cowlitz Pgs 22-23'!F8+'Garfield Pgs 24-25'!F8+'Grant Pgs 26-27'!F8+'Grays Harbor Pgs 28-29'!F8+'Island Pgs 30-31'!F8+'Jefferson Pgs 32-33'!F8+'Kitsap Pgs 34-35'!F8+'Kittitas Pgs 36-37'!F8+'Klickitat Pgs 38-39'!F8+'Lewis Pgs 40-41'!F8+'Lincoln Pgs 42-43'!F8+'Mason Pgs 44-45'!F8+'Northeast Tri Pgs 46-47'!F8+'Okanogan Pgs 48-49'!F8+'Pacific Pgs 50-51'!F8+'San Juan Pgs 52-53'!F8+'[1]seattle king'!F8+'Skagit Pgs 56-57'!F8+'Skamania Pgs 58-59'!F8+'Snohomish Pgs 60-61'!F8+'Spokane Pgs 62-63'!F8+'Tacoma-Pierce Pgs 64-65'!F8+'Thurston Pgs 66-67'!F8+'Wahkiakum Pgs 68-69'!F8+'Walla Walla Pgs 70-71'!F8+'Whatcom Pgs 72-73'!F8+'Whitman Pgs 74-75'!F8+'Yakima Pgs 76-77'!F8</f>
        <v>0</v>
      </c>
      <c r="G8" s="115">
        <f>'Adams Pgs 8-9'!G8+'Asotin Pgs 10-11'!G8+'Benton-Franklin Pgs 12-13'!G8+'Chelan-Douglas Pgs 14-15'!G8+'Clallam Pgs 16-17'!G8+'Clark Pgs 18-19'!G8+'Columbia Pgs 20-21'!G8+'Cowlitz Pgs 22-23'!G8+'Garfield Pgs 24-25'!G8+'Grant Pgs 26-27'!G8+'Grays Harbor Pgs 28-29'!G8+'Island Pgs 30-31'!G8+'Jefferson Pgs 32-33'!G8+'Kitsap Pgs 34-35'!G8+'Kittitas Pgs 36-37'!G8+'Klickitat Pgs 38-39'!G8+'Lewis Pgs 40-41'!G8+'Lincoln Pgs 42-43'!G8+'Mason Pgs 44-45'!G8+'Northeast Tri Pgs 46-47'!G8+'Okanogan Pgs 48-49'!G8+'Pacific Pgs 50-51'!G8+'San Juan Pgs 52-53'!G8+'[1]seattle king'!G8+'Skagit Pgs 56-57'!G8+'Skamania Pgs 58-59'!G8+'Snohomish Pgs 60-61'!G8+'Spokane Pgs 62-63'!G8+'Tacoma-Pierce Pgs 64-65'!G8+'Thurston Pgs 66-67'!G8+'Wahkiakum Pgs 68-69'!G8+'Walla Walla Pgs 70-71'!G8+'Whatcom Pgs 72-73'!G8+'Whitman Pgs 74-75'!G8+'Yakima Pgs 76-77'!G8</f>
        <v>692074</v>
      </c>
      <c r="H8" s="111">
        <f>'Adams Pgs 8-9'!H8+'Asotin Pgs 10-11'!H8+'Benton-Franklin Pgs 12-13'!H8+'Chelan-Douglas Pgs 14-15'!H8+'Clallam Pgs 16-17'!H8+'Clark Pgs 18-19'!H8+'Columbia Pgs 20-21'!H8+'Cowlitz Pgs 22-23'!H8+'Garfield Pgs 24-25'!H8+'Grant Pgs 26-27'!H8+'Grays Harbor Pgs 28-29'!H8+'Island Pgs 30-31'!H8+'Jefferson Pgs 32-33'!H8+'Kitsap Pgs 34-35'!H8+'Kittitas Pgs 36-37'!H8+'Klickitat Pgs 38-39'!H8+'Lewis Pgs 40-41'!H8+'Lincoln Pgs 42-43'!H8+'Mason Pgs 44-45'!H8+'Northeast Tri Pgs 46-47'!H8+'Okanogan Pgs 48-49'!H8+'Pacific Pgs 50-51'!H8+'San Juan Pgs 52-53'!H8+'[1]seattle king'!H8+'Skagit Pgs 56-57'!H8+'Skamania Pgs 58-59'!H8+'Snohomish Pgs 60-61'!H8+'Spokane Pgs 62-63'!H8+'Tacoma-Pierce Pgs 64-65'!H8+'Thurston Pgs 66-67'!H8+'Wahkiakum Pgs 68-69'!H8+'Walla Walla Pgs 70-71'!H8+'Whatcom Pgs 72-73'!H8+'Whitman Pgs 74-75'!H8+'Yakima Pgs 76-77'!H8</f>
        <v>3646654</v>
      </c>
      <c r="I8" s="110">
        <f>'Adams Pgs 8-9'!I8+'Asotin Pgs 10-11'!I8+'Benton-Franklin Pgs 12-13'!I8+'Chelan-Douglas Pgs 14-15'!I8+'Clallam Pgs 16-17'!I8+'Clark Pgs 18-19'!I8+'Columbia Pgs 20-21'!I8+'Cowlitz Pgs 22-23'!I8+'Garfield Pgs 24-25'!I8+'Grant Pgs 26-27'!I8+'Grays Harbor Pgs 28-29'!I8+'Island Pgs 30-31'!I8+'Jefferson Pgs 32-33'!I8+'Kitsap Pgs 34-35'!I8+'Kittitas Pgs 36-37'!I8+'Klickitat Pgs 38-39'!I8+'Lewis Pgs 40-41'!I8+'Lincoln Pgs 42-43'!I8+'Mason Pgs 44-45'!I8+'Northeast Tri Pgs 46-47'!I8+'Okanogan Pgs 48-49'!I8+'Pacific Pgs 50-51'!I8+'San Juan Pgs 52-53'!I8+'[1]seattle king'!I8+'Skagit Pgs 56-57'!I8+'Skamania Pgs 58-59'!I8+'Snohomish Pgs 60-61'!I8+'Spokane Pgs 62-63'!I8+'Tacoma-Pierce Pgs 64-65'!I8+'Thurston Pgs 66-67'!I8+'Wahkiakum Pgs 68-69'!I8+'Walla Walla Pgs 70-71'!I8+'Whatcom Pgs 72-73'!I8+'Whitman Pgs 74-75'!I8+'Yakima Pgs 76-77'!I8</f>
        <v>10173760</v>
      </c>
      <c r="J8" s="112">
        <f>'Adams Pgs 8-9'!J8+'Asotin Pgs 10-11'!J8+'Benton-Franklin Pgs 12-13'!J8+'Chelan-Douglas Pgs 14-15'!J8+'Clallam Pgs 16-17'!J8+'Clark Pgs 18-19'!J8+'Columbia Pgs 20-21'!J8+'Cowlitz Pgs 22-23'!J8+'Garfield Pgs 24-25'!J8+'Grant Pgs 26-27'!J8+'Grays Harbor Pgs 28-29'!J8+'Island Pgs 30-31'!J8+'Jefferson Pgs 32-33'!J8+'Kitsap Pgs 34-35'!J8+'Kittitas Pgs 36-37'!J8+'Klickitat Pgs 38-39'!J8+'Lewis Pgs 40-41'!J8+'Lincoln Pgs 42-43'!J8+'Mason Pgs 44-45'!J8+'Northeast Tri Pgs 46-47'!J8+'Okanogan Pgs 48-49'!J8+'Pacific Pgs 50-51'!J8+'San Juan Pgs 52-53'!J8+'[1]seattle king'!J8+'Skagit Pgs 56-57'!J8+'Skamania Pgs 58-59'!J8+'Snohomish Pgs 60-61'!J8+'Spokane Pgs 62-63'!J8+'Tacoma-Pierce Pgs 64-65'!J8+'Thurston Pgs 66-67'!J8+'Wahkiakum Pgs 68-69'!J8+'Walla Walla Pgs 70-71'!J8+'Whatcom Pgs 72-73'!J8+'Whitman Pgs 74-75'!J8+'Yakima Pgs 76-77'!J8</f>
        <v>69875</v>
      </c>
      <c r="K8" s="142">
        <f t="shared" si="0"/>
        <v>14862708</v>
      </c>
      <c r="L8"/>
    </row>
    <row r="9" spans="1:12" x14ac:dyDescent="0.35">
      <c r="A9" s="79">
        <v>562.25</v>
      </c>
      <c r="B9" s="29" t="s">
        <v>53</v>
      </c>
      <c r="C9" s="108">
        <f>'Adams Pgs 8-9'!C9+'Asotin Pgs 10-11'!C9+'Benton-Franklin Pgs 12-13'!C9+'Chelan-Douglas Pgs 14-15'!C9+'Clallam Pgs 16-17'!C9+'Clark Pgs 18-19'!C9+'Columbia Pgs 20-21'!C9+'Cowlitz Pgs 22-23'!C9+'Garfield Pgs 24-25'!C9+'Grant Pgs 26-27'!C9+'Grays Harbor Pgs 28-29'!C9+'Island Pgs 30-31'!C9+'Jefferson Pgs 32-33'!C9+'Kitsap Pgs 34-35'!C9+'Kittitas Pgs 36-37'!C9+'Klickitat Pgs 38-39'!C9+'Lewis Pgs 40-41'!C9+'Lincoln Pgs 42-43'!C9+'Mason Pgs 44-45'!C9+'Northeast Tri Pgs 46-47'!C9+'Okanogan Pgs 48-49'!C9+'Pacific Pgs 50-51'!C9+'San Juan Pgs 52-53'!C9+'[1]seattle king'!C9+'Skagit Pgs 56-57'!C9+'Skamania Pgs 58-59'!C9+'Snohomish Pgs 60-61'!C9+'Spokane Pgs 62-63'!C9+'Tacoma-Pierce Pgs 64-65'!C9+'Thurston Pgs 66-67'!C9+'Wahkiakum Pgs 68-69'!C9+'Walla Walla Pgs 70-71'!C9+'Whatcom Pgs 72-73'!C9+'Whitman Pgs 74-75'!C9+'Yakima Pgs 76-77'!C9</f>
        <v>6741</v>
      </c>
      <c r="D9" s="109">
        <f>'Adams Pgs 8-9'!D9+'Asotin Pgs 10-11'!D9+'Benton-Franklin Pgs 12-13'!D9+'Chelan-Douglas Pgs 14-15'!D9+'Clallam Pgs 16-17'!D9+'Clark Pgs 18-19'!D9+'Columbia Pgs 20-21'!D9+'Cowlitz Pgs 22-23'!D9+'Garfield Pgs 24-25'!D9+'Grant Pgs 26-27'!D9+'Grays Harbor Pgs 28-29'!D9+'Island Pgs 30-31'!D9+'Jefferson Pgs 32-33'!D9+'Kitsap Pgs 34-35'!D9+'Kittitas Pgs 36-37'!D9+'Klickitat Pgs 38-39'!D9+'Lewis Pgs 40-41'!D9+'Lincoln Pgs 42-43'!D9+'Mason Pgs 44-45'!D9+'Northeast Tri Pgs 46-47'!D9+'Okanogan Pgs 48-49'!D9+'Pacific Pgs 50-51'!D9+'San Juan Pgs 52-53'!D9+'[1]seattle king'!D9+'Skagit Pgs 56-57'!D9+'Skamania Pgs 58-59'!D9+'Snohomish Pgs 60-61'!D9+'Spokane Pgs 62-63'!D9+'Tacoma-Pierce Pgs 64-65'!D9+'Thurston Pgs 66-67'!D9+'Wahkiakum Pgs 68-69'!D9+'Walla Walla Pgs 70-71'!D9+'Whatcom Pgs 72-73'!D9+'Whitman Pgs 74-75'!D9+'Yakima Pgs 76-77'!D9</f>
        <v>199438</v>
      </c>
      <c r="E9" s="110">
        <f>'Adams Pgs 8-9'!E9+'Asotin Pgs 10-11'!E9+'Benton-Franklin Pgs 12-13'!E9+'Chelan-Douglas Pgs 14-15'!E9+'Clallam Pgs 16-17'!E9+'Clark Pgs 18-19'!E9+'Columbia Pgs 20-21'!E9+'Cowlitz Pgs 22-23'!E9+'Garfield Pgs 24-25'!E9+'Grant Pgs 26-27'!E9+'Grays Harbor Pgs 28-29'!E9+'Island Pgs 30-31'!E9+'Jefferson Pgs 32-33'!E9+'Kitsap Pgs 34-35'!E9+'Kittitas Pgs 36-37'!E9+'Klickitat Pgs 38-39'!E9+'Lewis Pgs 40-41'!E9+'Lincoln Pgs 42-43'!E9+'Mason Pgs 44-45'!E9+'Northeast Tri Pgs 46-47'!E9+'Okanogan Pgs 48-49'!E9+'Pacific Pgs 50-51'!E9+'San Juan Pgs 52-53'!E9+'[1]seattle king'!E9+'Skagit Pgs 56-57'!E9+'Skamania Pgs 58-59'!E9+'Snohomish Pgs 60-61'!E9+'Spokane Pgs 62-63'!E9+'Tacoma-Pierce Pgs 64-65'!E9+'Thurston Pgs 66-67'!E9+'Wahkiakum Pgs 68-69'!E9+'Walla Walla Pgs 70-71'!E9+'Whatcom Pgs 72-73'!E9+'Whitman Pgs 74-75'!E9+'Yakima Pgs 76-77'!E9</f>
        <v>3702773</v>
      </c>
      <c r="F9" s="108">
        <f>'Adams Pgs 8-9'!F9+'Asotin Pgs 10-11'!F9+'Benton-Franklin Pgs 12-13'!F9+'Chelan-Douglas Pgs 14-15'!F9+'Clallam Pgs 16-17'!F9+'Clark Pgs 18-19'!F9+'Columbia Pgs 20-21'!F9+'Cowlitz Pgs 22-23'!F9+'Garfield Pgs 24-25'!F9+'Grant Pgs 26-27'!F9+'Grays Harbor Pgs 28-29'!F9+'Island Pgs 30-31'!F9+'Jefferson Pgs 32-33'!F9+'Kitsap Pgs 34-35'!F9+'Kittitas Pgs 36-37'!F9+'Klickitat Pgs 38-39'!F9+'Lewis Pgs 40-41'!F9+'Lincoln Pgs 42-43'!F9+'Mason Pgs 44-45'!F9+'Northeast Tri Pgs 46-47'!F9+'Okanogan Pgs 48-49'!F9+'Pacific Pgs 50-51'!F9+'San Juan Pgs 52-53'!F9+'[1]seattle king'!F9+'Skagit Pgs 56-57'!F9+'Skamania Pgs 58-59'!F9+'Snohomish Pgs 60-61'!F9+'Spokane Pgs 62-63'!F9+'Tacoma-Pierce Pgs 64-65'!F9+'Thurston Pgs 66-67'!F9+'Wahkiakum Pgs 68-69'!F9+'Walla Walla Pgs 70-71'!F9+'Whatcom Pgs 72-73'!F9+'Whitman Pgs 74-75'!F9+'Yakima Pgs 76-77'!F9</f>
        <v>1153262</v>
      </c>
      <c r="G9" s="110">
        <f>'Adams Pgs 8-9'!G9+'Asotin Pgs 10-11'!G9+'Benton-Franklin Pgs 12-13'!G9+'Chelan-Douglas Pgs 14-15'!G9+'Clallam Pgs 16-17'!G9+'Clark Pgs 18-19'!G9+'Columbia Pgs 20-21'!G9+'Cowlitz Pgs 22-23'!G9+'Garfield Pgs 24-25'!G9+'Grant Pgs 26-27'!G9+'Grays Harbor Pgs 28-29'!G9+'Island Pgs 30-31'!G9+'Jefferson Pgs 32-33'!G9+'Kitsap Pgs 34-35'!G9+'Kittitas Pgs 36-37'!G9+'Klickitat Pgs 38-39'!G9+'Lewis Pgs 40-41'!G9+'Lincoln Pgs 42-43'!G9+'Mason Pgs 44-45'!G9+'Northeast Tri Pgs 46-47'!G9+'Okanogan Pgs 48-49'!G9+'Pacific Pgs 50-51'!G9+'San Juan Pgs 52-53'!G9+'[1]seattle king'!G9+'Skagit Pgs 56-57'!G9+'Skamania Pgs 58-59'!G9+'Snohomish Pgs 60-61'!G9+'Spokane Pgs 62-63'!G9+'Tacoma-Pierce Pgs 64-65'!G9+'Thurston Pgs 66-67'!G9+'Wahkiakum Pgs 68-69'!G9+'Walla Walla Pgs 70-71'!G9+'Whatcom Pgs 72-73'!G9+'Whitman Pgs 74-75'!G9+'Yakima Pgs 76-77'!G9</f>
        <v>1021804</v>
      </c>
      <c r="H9" s="111">
        <f>'Adams Pgs 8-9'!H9+'Asotin Pgs 10-11'!H9+'Benton-Franklin Pgs 12-13'!H9+'Chelan-Douglas Pgs 14-15'!H9+'Clallam Pgs 16-17'!H9+'Clark Pgs 18-19'!H9+'Columbia Pgs 20-21'!H9+'Cowlitz Pgs 22-23'!H9+'Garfield Pgs 24-25'!H9+'Grant Pgs 26-27'!H9+'Grays Harbor Pgs 28-29'!H9+'Island Pgs 30-31'!H9+'Jefferson Pgs 32-33'!H9+'Kitsap Pgs 34-35'!H9+'Kittitas Pgs 36-37'!H9+'Klickitat Pgs 38-39'!H9+'Lewis Pgs 40-41'!H9+'Lincoln Pgs 42-43'!H9+'Mason Pgs 44-45'!H9+'Northeast Tri Pgs 46-47'!H9+'Okanogan Pgs 48-49'!H9+'Pacific Pgs 50-51'!H9+'San Juan Pgs 52-53'!H9+'[1]seattle king'!H9+'Skagit Pgs 56-57'!H9+'Skamania Pgs 58-59'!H9+'Snohomish Pgs 60-61'!H9+'Spokane Pgs 62-63'!H9+'Tacoma-Pierce Pgs 64-65'!H9+'Thurston Pgs 66-67'!H9+'Wahkiakum Pgs 68-69'!H9+'Walla Walla Pgs 70-71'!H9+'Whatcom Pgs 72-73'!H9+'Whitman Pgs 74-75'!H9+'Yakima Pgs 76-77'!H9</f>
        <v>690807</v>
      </c>
      <c r="I9" s="110">
        <f>'Adams Pgs 8-9'!I9+'Asotin Pgs 10-11'!I9+'Benton-Franklin Pgs 12-13'!I9+'Chelan-Douglas Pgs 14-15'!I9+'Clallam Pgs 16-17'!I9+'Clark Pgs 18-19'!I9+'Columbia Pgs 20-21'!I9+'Cowlitz Pgs 22-23'!I9+'Garfield Pgs 24-25'!I9+'Grant Pgs 26-27'!I9+'Grays Harbor Pgs 28-29'!I9+'Island Pgs 30-31'!I9+'Jefferson Pgs 32-33'!I9+'Kitsap Pgs 34-35'!I9+'Kittitas Pgs 36-37'!I9+'Klickitat Pgs 38-39'!I9+'Lewis Pgs 40-41'!I9+'Lincoln Pgs 42-43'!I9+'Mason Pgs 44-45'!I9+'Northeast Tri Pgs 46-47'!I9+'Okanogan Pgs 48-49'!I9+'Pacific Pgs 50-51'!I9+'San Juan Pgs 52-53'!I9+'[1]seattle king'!I9+'Skagit Pgs 56-57'!I9+'Skamania Pgs 58-59'!I9+'Snohomish Pgs 60-61'!I9+'Spokane Pgs 62-63'!I9+'Tacoma-Pierce Pgs 64-65'!I9+'Thurston Pgs 66-67'!I9+'Wahkiakum Pgs 68-69'!I9+'Walla Walla Pgs 70-71'!I9+'Whatcom Pgs 72-73'!I9+'Whitman Pgs 74-75'!I9+'Yakima Pgs 76-77'!I9</f>
        <v>197910</v>
      </c>
      <c r="J9" s="112">
        <f>'Adams Pgs 8-9'!J9+'Asotin Pgs 10-11'!J9+'Benton-Franklin Pgs 12-13'!J9+'Chelan-Douglas Pgs 14-15'!J9+'Clallam Pgs 16-17'!J9+'Clark Pgs 18-19'!J9+'Columbia Pgs 20-21'!J9+'Cowlitz Pgs 22-23'!J9+'Garfield Pgs 24-25'!J9+'Grant Pgs 26-27'!J9+'Grays Harbor Pgs 28-29'!J9+'Island Pgs 30-31'!J9+'Jefferson Pgs 32-33'!J9+'Kitsap Pgs 34-35'!J9+'Kittitas Pgs 36-37'!J9+'Klickitat Pgs 38-39'!J9+'Lewis Pgs 40-41'!J9+'Lincoln Pgs 42-43'!J9+'Mason Pgs 44-45'!J9+'Northeast Tri Pgs 46-47'!J9+'Okanogan Pgs 48-49'!J9+'Pacific Pgs 50-51'!J9+'San Juan Pgs 52-53'!J9+'[1]seattle king'!J9+'Skagit Pgs 56-57'!J9+'Skamania Pgs 58-59'!J9+'Snohomish Pgs 60-61'!J9+'Spokane Pgs 62-63'!J9+'Tacoma-Pierce Pgs 64-65'!J9+'Thurston Pgs 66-67'!J9+'Wahkiakum Pgs 68-69'!J9+'Walla Walla Pgs 70-71'!J9+'Whatcom Pgs 72-73'!J9+'Whitman Pgs 74-75'!J9+'Yakima Pgs 76-77'!J9</f>
        <v>9929</v>
      </c>
      <c r="K9" s="142">
        <f t="shared" si="0"/>
        <v>6982664</v>
      </c>
      <c r="L9"/>
    </row>
    <row r="10" spans="1:12" x14ac:dyDescent="0.35">
      <c r="A10" s="79">
        <v>562.26</v>
      </c>
      <c r="B10" s="29" t="s">
        <v>44</v>
      </c>
      <c r="C10" s="108">
        <f>'Adams Pgs 8-9'!C10+'Asotin Pgs 10-11'!C10+'Benton-Franklin Pgs 12-13'!C10+'Chelan-Douglas Pgs 14-15'!C10+'Clallam Pgs 16-17'!C10+'Clark Pgs 18-19'!C10+'Columbia Pgs 20-21'!C10+'Cowlitz Pgs 22-23'!C10+'Garfield Pgs 24-25'!C10+'Grant Pgs 26-27'!C10+'Grays Harbor Pgs 28-29'!C10+'Island Pgs 30-31'!C10+'Jefferson Pgs 32-33'!C10+'Kitsap Pgs 34-35'!C10+'Kittitas Pgs 36-37'!C10+'Klickitat Pgs 38-39'!C10+'Lewis Pgs 40-41'!C10+'Lincoln Pgs 42-43'!C10+'Mason Pgs 44-45'!C10+'Northeast Tri Pgs 46-47'!C10+'Okanogan Pgs 48-49'!C10+'Pacific Pgs 50-51'!C10+'San Juan Pgs 52-53'!C10+'[1]seattle king'!C10+'Skagit Pgs 56-57'!C10+'Skamania Pgs 58-59'!C10+'Snohomish Pgs 60-61'!C10+'Spokane Pgs 62-63'!C10+'Tacoma-Pierce Pgs 64-65'!C10+'Thurston Pgs 66-67'!C10+'Wahkiakum Pgs 68-69'!C10+'Walla Walla Pgs 70-71'!C10+'Whatcom Pgs 72-73'!C10+'Whitman Pgs 74-75'!C10+'Yakima Pgs 76-77'!C10</f>
        <v>1324728</v>
      </c>
      <c r="D10" s="109">
        <f>'Adams Pgs 8-9'!D10+'Asotin Pgs 10-11'!D10+'Benton-Franklin Pgs 12-13'!D10+'Chelan-Douglas Pgs 14-15'!D10+'Clallam Pgs 16-17'!D10+'Clark Pgs 18-19'!D10+'Columbia Pgs 20-21'!D10+'Cowlitz Pgs 22-23'!D10+'Garfield Pgs 24-25'!D10+'Grant Pgs 26-27'!D10+'Grays Harbor Pgs 28-29'!D10+'Island Pgs 30-31'!D10+'Jefferson Pgs 32-33'!D10+'Kitsap Pgs 34-35'!D10+'Kittitas Pgs 36-37'!D10+'Klickitat Pgs 38-39'!D10+'Lewis Pgs 40-41'!D10+'Lincoln Pgs 42-43'!D10+'Mason Pgs 44-45'!D10+'Northeast Tri Pgs 46-47'!D10+'Okanogan Pgs 48-49'!D10+'Pacific Pgs 50-51'!D10+'San Juan Pgs 52-53'!D10+'[1]seattle king'!D10+'Skagit Pgs 56-57'!D10+'Skamania Pgs 58-59'!D10+'Snohomish Pgs 60-61'!D10+'Spokane Pgs 62-63'!D10+'Tacoma-Pierce Pgs 64-65'!D10+'Thurston Pgs 66-67'!D10+'Wahkiakum Pgs 68-69'!D10+'Walla Walla Pgs 70-71'!D10+'Whatcom Pgs 72-73'!D10+'Whitman Pgs 74-75'!D10+'Yakima Pgs 76-77'!D10</f>
        <v>1110530</v>
      </c>
      <c r="E10" s="110">
        <f>'Adams Pgs 8-9'!E10+'Asotin Pgs 10-11'!E10+'Benton-Franklin Pgs 12-13'!E10+'Chelan-Douglas Pgs 14-15'!E10+'Clallam Pgs 16-17'!E10+'Clark Pgs 18-19'!E10+'Columbia Pgs 20-21'!E10+'Cowlitz Pgs 22-23'!E10+'Garfield Pgs 24-25'!E10+'Grant Pgs 26-27'!E10+'Grays Harbor Pgs 28-29'!E10+'Island Pgs 30-31'!E10+'Jefferson Pgs 32-33'!E10+'Kitsap Pgs 34-35'!E10+'Kittitas Pgs 36-37'!E10+'Klickitat Pgs 38-39'!E10+'Lewis Pgs 40-41'!E10+'Lincoln Pgs 42-43'!E10+'Mason Pgs 44-45'!E10+'Northeast Tri Pgs 46-47'!E10+'Okanogan Pgs 48-49'!E10+'Pacific Pgs 50-51'!E10+'San Juan Pgs 52-53'!E10+'[1]seattle king'!E10+'Skagit Pgs 56-57'!E10+'Skamania Pgs 58-59'!E10+'Snohomish Pgs 60-61'!E10+'Spokane Pgs 62-63'!E10+'Tacoma-Pierce Pgs 64-65'!E10+'Thurston Pgs 66-67'!E10+'Wahkiakum Pgs 68-69'!E10+'Walla Walla Pgs 70-71'!E10+'Whatcom Pgs 72-73'!E10+'Whitman Pgs 74-75'!E10+'Yakima Pgs 76-77'!E10</f>
        <v>16483</v>
      </c>
      <c r="F10" s="108">
        <f>'Adams Pgs 8-9'!F10+'Asotin Pgs 10-11'!F10+'Benton-Franklin Pgs 12-13'!F10+'Chelan-Douglas Pgs 14-15'!F10+'Clallam Pgs 16-17'!F10+'Clark Pgs 18-19'!F10+'Columbia Pgs 20-21'!F10+'Cowlitz Pgs 22-23'!F10+'Garfield Pgs 24-25'!F10+'Grant Pgs 26-27'!F10+'Grays Harbor Pgs 28-29'!F10+'Island Pgs 30-31'!F10+'Jefferson Pgs 32-33'!F10+'Kitsap Pgs 34-35'!F10+'Kittitas Pgs 36-37'!F10+'Klickitat Pgs 38-39'!F10+'Lewis Pgs 40-41'!F10+'Lincoln Pgs 42-43'!F10+'Mason Pgs 44-45'!F10+'Northeast Tri Pgs 46-47'!F10+'Okanogan Pgs 48-49'!F10+'Pacific Pgs 50-51'!F10+'San Juan Pgs 52-53'!F10+'[1]seattle king'!F10+'Skagit Pgs 56-57'!F10+'Skamania Pgs 58-59'!F10+'Snohomish Pgs 60-61'!F10+'Spokane Pgs 62-63'!F10+'Tacoma-Pierce Pgs 64-65'!F10+'Thurston Pgs 66-67'!F10+'Wahkiakum Pgs 68-69'!F10+'Walla Walla Pgs 70-71'!F10+'Whatcom Pgs 72-73'!F10+'Whitman Pgs 74-75'!F10+'Yakima Pgs 76-77'!F10</f>
        <v>55081</v>
      </c>
      <c r="G10" s="110">
        <f>'Adams Pgs 8-9'!G10+'Asotin Pgs 10-11'!G10+'Benton-Franklin Pgs 12-13'!G10+'Chelan-Douglas Pgs 14-15'!G10+'Clallam Pgs 16-17'!G10+'Clark Pgs 18-19'!G10+'Columbia Pgs 20-21'!G10+'Cowlitz Pgs 22-23'!G10+'Garfield Pgs 24-25'!G10+'Grant Pgs 26-27'!G10+'Grays Harbor Pgs 28-29'!G10+'Island Pgs 30-31'!G10+'Jefferson Pgs 32-33'!G10+'Kitsap Pgs 34-35'!G10+'Kittitas Pgs 36-37'!G10+'Klickitat Pgs 38-39'!G10+'Lewis Pgs 40-41'!G10+'Lincoln Pgs 42-43'!G10+'Mason Pgs 44-45'!G10+'Northeast Tri Pgs 46-47'!G10+'Okanogan Pgs 48-49'!G10+'Pacific Pgs 50-51'!G10+'San Juan Pgs 52-53'!G10+'[1]seattle king'!G10+'Skagit Pgs 56-57'!G10+'Skamania Pgs 58-59'!G10+'Snohomish Pgs 60-61'!G10+'Spokane Pgs 62-63'!G10+'Tacoma-Pierce Pgs 64-65'!G10+'Thurston Pgs 66-67'!G10+'Wahkiakum Pgs 68-69'!G10+'Walla Walla Pgs 70-71'!G10+'Whatcom Pgs 72-73'!G10+'Whitman Pgs 74-75'!G10+'Yakima Pgs 76-77'!G10</f>
        <v>-52805</v>
      </c>
      <c r="H10" s="111">
        <f>'Adams Pgs 8-9'!H10+'Asotin Pgs 10-11'!H10+'Benton-Franklin Pgs 12-13'!H10+'Chelan-Douglas Pgs 14-15'!H10+'Clallam Pgs 16-17'!H10+'Clark Pgs 18-19'!H10+'Columbia Pgs 20-21'!H10+'Cowlitz Pgs 22-23'!H10+'Garfield Pgs 24-25'!H10+'Grant Pgs 26-27'!H10+'Grays Harbor Pgs 28-29'!H10+'Island Pgs 30-31'!H10+'Jefferson Pgs 32-33'!H10+'Kitsap Pgs 34-35'!H10+'Kittitas Pgs 36-37'!H10+'Klickitat Pgs 38-39'!H10+'Lewis Pgs 40-41'!H10+'Lincoln Pgs 42-43'!H10+'Mason Pgs 44-45'!H10+'Northeast Tri Pgs 46-47'!H10+'Okanogan Pgs 48-49'!H10+'Pacific Pgs 50-51'!H10+'San Juan Pgs 52-53'!H10+'[1]seattle king'!H10+'Skagit Pgs 56-57'!H10+'Skamania Pgs 58-59'!H10+'Snohomish Pgs 60-61'!H10+'Spokane Pgs 62-63'!H10+'Tacoma-Pierce Pgs 64-65'!H10+'Thurston Pgs 66-67'!H10+'Wahkiakum Pgs 68-69'!H10+'Walla Walla Pgs 70-71'!H10+'Whatcom Pgs 72-73'!H10+'Whitman Pgs 74-75'!H10+'Yakima Pgs 76-77'!H10</f>
        <v>4139326</v>
      </c>
      <c r="I10" s="110">
        <f>'Adams Pgs 8-9'!I10+'Asotin Pgs 10-11'!I10+'Benton-Franklin Pgs 12-13'!I10+'Chelan-Douglas Pgs 14-15'!I10+'Clallam Pgs 16-17'!I10+'Clark Pgs 18-19'!I10+'Columbia Pgs 20-21'!I10+'Cowlitz Pgs 22-23'!I10+'Garfield Pgs 24-25'!I10+'Grant Pgs 26-27'!I10+'Grays Harbor Pgs 28-29'!I10+'Island Pgs 30-31'!I10+'Jefferson Pgs 32-33'!I10+'Kitsap Pgs 34-35'!I10+'Kittitas Pgs 36-37'!I10+'Klickitat Pgs 38-39'!I10+'Lewis Pgs 40-41'!I10+'Lincoln Pgs 42-43'!I10+'Mason Pgs 44-45'!I10+'Northeast Tri Pgs 46-47'!I10+'Okanogan Pgs 48-49'!I10+'Pacific Pgs 50-51'!I10+'San Juan Pgs 52-53'!I10+'[1]seattle king'!I10+'Skagit Pgs 56-57'!I10+'Skamania Pgs 58-59'!I10+'Snohomish Pgs 60-61'!I10+'Spokane Pgs 62-63'!I10+'Tacoma-Pierce Pgs 64-65'!I10+'Thurston Pgs 66-67'!I10+'Wahkiakum Pgs 68-69'!I10+'Walla Walla Pgs 70-71'!I10+'Whatcom Pgs 72-73'!I10+'Whitman Pgs 74-75'!I10+'Yakima Pgs 76-77'!I10</f>
        <v>2823284</v>
      </c>
      <c r="J10" s="112">
        <f>'Adams Pgs 8-9'!J10+'Asotin Pgs 10-11'!J10+'Benton-Franklin Pgs 12-13'!J10+'Chelan-Douglas Pgs 14-15'!J10+'Clallam Pgs 16-17'!J10+'Clark Pgs 18-19'!J10+'Columbia Pgs 20-21'!J10+'Cowlitz Pgs 22-23'!J10+'Garfield Pgs 24-25'!J10+'Grant Pgs 26-27'!J10+'Grays Harbor Pgs 28-29'!J10+'Island Pgs 30-31'!J10+'Jefferson Pgs 32-33'!J10+'Kitsap Pgs 34-35'!J10+'Kittitas Pgs 36-37'!J10+'Klickitat Pgs 38-39'!J10+'Lewis Pgs 40-41'!J10+'Lincoln Pgs 42-43'!J10+'Mason Pgs 44-45'!J10+'Northeast Tri Pgs 46-47'!J10+'Okanogan Pgs 48-49'!J10+'Pacific Pgs 50-51'!J10+'San Juan Pgs 52-53'!J10+'[1]seattle king'!J10+'Skagit Pgs 56-57'!J10+'Skamania Pgs 58-59'!J10+'Snohomish Pgs 60-61'!J10+'Spokane Pgs 62-63'!J10+'Tacoma-Pierce Pgs 64-65'!J10+'Thurston Pgs 66-67'!J10+'Wahkiakum Pgs 68-69'!J10+'Walla Walla Pgs 70-71'!J10+'Whatcom Pgs 72-73'!J10+'Whitman Pgs 74-75'!J10+'Yakima Pgs 76-77'!J10</f>
        <v>192468</v>
      </c>
      <c r="K10" s="142">
        <f t="shared" si="0"/>
        <v>9609095</v>
      </c>
      <c r="L10"/>
    </row>
    <row r="11" spans="1:12" x14ac:dyDescent="0.35">
      <c r="A11" s="79">
        <v>562.27</v>
      </c>
      <c r="B11" s="29" t="s">
        <v>45</v>
      </c>
      <c r="C11" s="108">
        <f>'Adams Pgs 8-9'!C11+'Asotin Pgs 10-11'!C11+'Benton-Franklin Pgs 12-13'!C11+'Chelan-Douglas Pgs 14-15'!C11+'Clallam Pgs 16-17'!C11+'Clark Pgs 18-19'!C11+'Columbia Pgs 20-21'!C11+'Cowlitz Pgs 22-23'!C11+'Garfield Pgs 24-25'!C11+'Grant Pgs 26-27'!C11+'Grays Harbor Pgs 28-29'!C11+'Island Pgs 30-31'!C11+'Jefferson Pgs 32-33'!C11+'Kitsap Pgs 34-35'!C11+'Kittitas Pgs 36-37'!C11+'Klickitat Pgs 38-39'!C11+'Lewis Pgs 40-41'!C11+'Lincoln Pgs 42-43'!C11+'Mason Pgs 44-45'!C11+'Northeast Tri Pgs 46-47'!C11+'Okanogan Pgs 48-49'!C11+'Pacific Pgs 50-51'!C11+'San Juan Pgs 52-53'!C11+'[1]seattle king'!C11+'Skagit Pgs 56-57'!C11+'Skamania Pgs 58-59'!C11+'Snohomish Pgs 60-61'!C11+'Spokane Pgs 62-63'!C11+'Tacoma-Pierce Pgs 64-65'!C11+'Thurston Pgs 66-67'!C11+'Wahkiakum Pgs 68-69'!C11+'Walla Walla Pgs 70-71'!C11+'Whatcom Pgs 72-73'!C11+'Whitman Pgs 74-75'!C11+'Yakima Pgs 76-77'!C11</f>
        <v>186347</v>
      </c>
      <c r="D11" s="109">
        <f>'Adams Pgs 8-9'!D11+'Asotin Pgs 10-11'!D11+'Benton-Franklin Pgs 12-13'!D11+'Chelan-Douglas Pgs 14-15'!D11+'Clallam Pgs 16-17'!D11+'Clark Pgs 18-19'!D11+'Columbia Pgs 20-21'!D11+'Cowlitz Pgs 22-23'!D11+'Garfield Pgs 24-25'!D11+'Grant Pgs 26-27'!D11+'Grays Harbor Pgs 28-29'!D11+'Island Pgs 30-31'!D11+'Jefferson Pgs 32-33'!D11+'Kitsap Pgs 34-35'!D11+'Kittitas Pgs 36-37'!D11+'Klickitat Pgs 38-39'!D11+'Lewis Pgs 40-41'!D11+'Lincoln Pgs 42-43'!D11+'Mason Pgs 44-45'!D11+'Northeast Tri Pgs 46-47'!D11+'Okanogan Pgs 48-49'!D11+'Pacific Pgs 50-51'!D11+'San Juan Pgs 52-53'!D11+'[1]seattle king'!D11+'Skagit Pgs 56-57'!D11+'Skamania Pgs 58-59'!D11+'Snohomish Pgs 60-61'!D11+'Spokane Pgs 62-63'!D11+'Tacoma-Pierce Pgs 64-65'!D11+'Thurston Pgs 66-67'!D11+'Wahkiakum Pgs 68-69'!D11+'Walla Walla Pgs 70-71'!D11+'Whatcom Pgs 72-73'!D11+'Whitman Pgs 74-75'!D11+'Yakima Pgs 76-77'!D11</f>
        <v>50888</v>
      </c>
      <c r="E11" s="110">
        <f>'Adams Pgs 8-9'!E11+'Asotin Pgs 10-11'!E11+'Benton-Franklin Pgs 12-13'!E11+'Chelan-Douglas Pgs 14-15'!E11+'Clallam Pgs 16-17'!E11+'Clark Pgs 18-19'!E11+'Columbia Pgs 20-21'!E11+'Cowlitz Pgs 22-23'!E11+'Garfield Pgs 24-25'!E11+'Grant Pgs 26-27'!E11+'Grays Harbor Pgs 28-29'!E11+'Island Pgs 30-31'!E11+'Jefferson Pgs 32-33'!E11+'Kitsap Pgs 34-35'!E11+'Kittitas Pgs 36-37'!E11+'Klickitat Pgs 38-39'!E11+'Lewis Pgs 40-41'!E11+'Lincoln Pgs 42-43'!E11+'Mason Pgs 44-45'!E11+'Northeast Tri Pgs 46-47'!E11+'Okanogan Pgs 48-49'!E11+'Pacific Pgs 50-51'!E11+'San Juan Pgs 52-53'!E11+'[1]seattle king'!E11+'Skagit Pgs 56-57'!E11+'Skamania Pgs 58-59'!E11+'Snohomish Pgs 60-61'!E11+'Spokane Pgs 62-63'!E11+'Tacoma-Pierce Pgs 64-65'!E11+'Thurston Pgs 66-67'!E11+'Wahkiakum Pgs 68-69'!E11+'Walla Walla Pgs 70-71'!E11+'Whatcom Pgs 72-73'!E11+'Whitman Pgs 74-75'!E11+'Yakima Pgs 76-77'!E11</f>
        <v>0</v>
      </c>
      <c r="F11" s="108">
        <f>'Adams Pgs 8-9'!F11+'Asotin Pgs 10-11'!F11+'Benton-Franklin Pgs 12-13'!F11+'Chelan-Douglas Pgs 14-15'!F11+'Clallam Pgs 16-17'!F11+'Clark Pgs 18-19'!F11+'Columbia Pgs 20-21'!F11+'Cowlitz Pgs 22-23'!F11+'Garfield Pgs 24-25'!F11+'Grant Pgs 26-27'!F11+'Grays Harbor Pgs 28-29'!F11+'Island Pgs 30-31'!F11+'Jefferson Pgs 32-33'!F11+'Kitsap Pgs 34-35'!F11+'Kittitas Pgs 36-37'!F11+'Klickitat Pgs 38-39'!F11+'Lewis Pgs 40-41'!F11+'Lincoln Pgs 42-43'!F11+'Mason Pgs 44-45'!F11+'Northeast Tri Pgs 46-47'!F11+'Okanogan Pgs 48-49'!F11+'Pacific Pgs 50-51'!F11+'San Juan Pgs 52-53'!F11+'[1]seattle king'!F11+'Skagit Pgs 56-57'!F11+'Skamania Pgs 58-59'!F11+'Snohomish Pgs 60-61'!F11+'Spokane Pgs 62-63'!F11+'Tacoma-Pierce Pgs 64-65'!F11+'Thurston Pgs 66-67'!F11+'Wahkiakum Pgs 68-69'!F11+'Walla Walla Pgs 70-71'!F11+'Whatcom Pgs 72-73'!F11+'Whitman Pgs 74-75'!F11+'Yakima Pgs 76-77'!F11</f>
        <v>504423</v>
      </c>
      <c r="G11" s="110">
        <f>'Adams Pgs 8-9'!G11+'Asotin Pgs 10-11'!G11+'Benton-Franklin Pgs 12-13'!G11+'Chelan-Douglas Pgs 14-15'!G11+'Clallam Pgs 16-17'!G11+'Clark Pgs 18-19'!G11+'Columbia Pgs 20-21'!G11+'Cowlitz Pgs 22-23'!G11+'Garfield Pgs 24-25'!G11+'Grant Pgs 26-27'!G11+'Grays Harbor Pgs 28-29'!G11+'Island Pgs 30-31'!G11+'Jefferson Pgs 32-33'!G11+'Kitsap Pgs 34-35'!G11+'Kittitas Pgs 36-37'!G11+'Klickitat Pgs 38-39'!G11+'Lewis Pgs 40-41'!G11+'Lincoln Pgs 42-43'!G11+'Mason Pgs 44-45'!G11+'Northeast Tri Pgs 46-47'!G11+'Okanogan Pgs 48-49'!G11+'Pacific Pgs 50-51'!G11+'San Juan Pgs 52-53'!G11+'[1]seattle king'!G11+'Skagit Pgs 56-57'!G11+'Skamania Pgs 58-59'!G11+'Snohomish Pgs 60-61'!G11+'Spokane Pgs 62-63'!G11+'Tacoma-Pierce Pgs 64-65'!G11+'Thurston Pgs 66-67'!G11+'Wahkiakum Pgs 68-69'!G11+'Walla Walla Pgs 70-71'!G11+'Whatcom Pgs 72-73'!G11+'Whitman Pgs 74-75'!G11+'Yakima Pgs 76-77'!G11</f>
        <v>8668</v>
      </c>
      <c r="H11" s="111">
        <f>'Adams Pgs 8-9'!H11+'Asotin Pgs 10-11'!H11+'Benton-Franklin Pgs 12-13'!H11+'Chelan-Douglas Pgs 14-15'!H11+'Clallam Pgs 16-17'!H11+'Clark Pgs 18-19'!H11+'Columbia Pgs 20-21'!H11+'Cowlitz Pgs 22-23'!H11+'Garfield Pgs 24-25'!H11+'Grant Pgs 26-27'!H11+'Grays Harbor Pgs 28-29'!H11+'Island Pgs 30-31'!H11+'Jefferson Pgs 32-33'!H11+'Kitsap Pgs 34-35'!H11+'Kittitas Pgs 36-37'!H11+'Klickitat Pgs 38-39'!H11+'Lewis Pgs 40-41'!H11+'Lincoln Pgs 42-43'!H11+'Mason Pgs 44-45'!H11+'Northeast Tri Pgs 46-47'!H11+'Okanogan Pgs 48-49'!H11+'Pacific Pgs 50-51'!H11+'San Juan Pgs 52-53'!H11+'[1]seattle king'!H11+'Skagit Pgs 56-57'!H11+'Skamania Pgs 58-59'!H11+'Snohomish Pgs 60-61'!H11+'Spokane Pgs 62-63'!H11+'Tacoma-Pierce Pgs 64-65'!H11+'Thurston Pgs 66-67'!H11+'Wahkiakum Pgs 68-69'!H11+'Walla Walla Pgs 70-71'!H11+'Whatcom Pgs 72-73'!H11+'Whitman Pgs 74-75'!H11+'Yakima Pgs 76-77'!H11</f>
        <v>114032</v>
      </c>
      <c r="I11" s="110">
        <f>'Adams Pgs 8-9'!I11+'Asotin Pgs 10-11'!I11+'Benton-Franklin Pgs 12-13'!I11+'Chelan-Douglas Pgs 14-15'!I11+'Clallam Pgs 16-17'!I11+'Clark Pgs 18-19'!I11+'Columbia Pgs 20-21'!I11+'Cowlitz Pgs 22-23'!I11+'Garfield Pgs 24-25'!I11+'Grant Pgs 26-27'!I11+'Grays Harbor Pgs 28-29'!I11+'Island Pgs 30-31'!I11+'Jefferson Pgs 32-33'!I11+'Kitsap Pgs 34-35'!I11+'Kittitas Pgs 36-37'!I11+'Klickitat Pgs 38-39'!I11+'Lewis Pgs 40-41'!I11+'Lincoln Pgs 42-43'!I11+'Mason Pgs 44-45'!I11+'Northeast Tri Pgs 46-47'!I11+'Okanogan Pgs 48-49'!I11+'Pacific Pgs 50-51'!I11+'San Juan Pgs 52-53'!I11+'[1]seattle king'!I11+'Skagit Pgs 56-57'!I11+'Skamania Pgs 58-59'!I11+'Snohomish Pgs 60-61'!I11+'Spokane Pgs 62-63'!I11+'Tacoma-Pierce Pgs 64-65'!I11+'Thurston Pgs 66-67'!I11+'Wahkiakum Pgs 68-69'!I11+'Walla Walla Pgs 70-71'!I11+'Whatcom Pgs 72-73'!I11+'Whitman Pgs 74-75'!I11+'Yakima Pgs 76-77'!I11</f>
        <v>450687</v>
      </c>
      <c r="J11" s="112">
        <f>'Adams Pgs 8-9'!J11+'Asotin Pgs 10-11'!J11+'Benton-Franklin Pgs 12-13'!J11+'Chelan-Douglas Pgs 14-15'!J11+'Clallam Pgs 16-17'!J11+'Clark Pgs 18-19'!J11+'Columbia Pgs 20-21'!J11+'Cowlitz Pgs 22-23'!J11+'Garfield Pgs 24-25'!J11+'Grant Pgs 26-27'!J11+'Grays Harbor Pgs 28-29'!J11+'Island Pgs 30-31'!J11+'Jefferson Pgs 32-33'!J11+'Kitsap Pgs 34-35'!J11+'Kittitas Pgs 36-37'!J11+'Klickitat Pgs 38-39'!J11+'Lewis Pgs 40-41'!J11+'Lincoln Pgs 42-43'!J11+'Mason Pgs 44-45'!J11+'Northeast Tri Pgs 46-47'!J11+'Okanogan Pgs 48-49'!J11+'Pacific Pgs 50-51'!J11+'San Juan Pgs 52-53'!J11+'[1]seattle king'!J11+'Skagit Pgs 56-57'!J11+'Skamania Pgs 58-59'!J11+'Snohomish Pgs 60-61'!J11+'Spokane Pgs 62-63'!J11+'Tacoma-Pierce Pgs 64-65'!J11+'Thurston Pgs 66-67'!J11+'Wahkiakum Pgs 68-69'!J11+'Walla Walla Pgs 70-71'!J11+'Whatcom Pgs 72-73'!J11+'Whitman Pgs 74-75'!J11+'Yakima Pgs 76-77'!J11</f>
        <v>21725</v>
      </c>
      <c r="K11" s="142">
        <f t="shared" si="0"/>
        <v>1336770</v>
      </c>
      <c r="L11"/>
    </row>
    <row r="12" spans="1:12" x14ac:dyDescent="0.35">
      <c r="A12" s="79">
        <v>562.28</v>
      </c>
      <c r="B12" s="29" t="s">
        <v>54</v>
      </c>
      <c r="C12" s="108">
        <f>'Adams Pgs 8-9'!C12+'Asotin Pgs 10-11'!C12+'Benton-Franklin Pgs 12-13'!C12+'Chelan-Douglas Pgs 14-15'!C12+'Clallam Pgs 16-17'!C12+'Clark Pgs 18-19'!C12+'Columbia Pgs 20-21'!C12+'Cowlitz Pgs 22-23'!C12+'Garfield Pgs 24-25'!C12+'Grant Pgs 26-27'!C12+'Grays Harbor Pgs 28-29'!C12+'Island Pgs 30-31'!C12+'Jefferson Pgs 32-33'!C12+'Kitsap Pgs 34-35'!C12+'Kittitas Pgs 36-37'!C12+'Klickitat Pgs 38-39'!C12+'Lewis Pgs 40-41'!C12+'Lincoln Pgs 42-43'!C12+'Mason Pgs 44-45'!C12+'Northeast Tri Pgs 46-47'!C12+'Okanogan Pgs 48-49'!C12+'Pacific Pgs 50-51'!C12+'San Juan Pgs 52-53'!C12+'[1]seattle king'!C12+'Skagit Pgs 56-57'!C12+'Skamania Pgs 58-59'!C12+'Snohomish Pgs 60-61'!C12+'Spokane Pgs 62-63'!C12+'Tacoma-Pierce Pgs 64-65'!C12+'Thurston Pgs 66-67'!C12+'Wahkiakum Pgs 68-69'!C12+'Walla Walla Pgs 70-71'!C12+'Whatcom Pgs 72-73'!C12+'Whitman Pgs 74-75'!C12+'Yakima Pgs 76-77'!C12</f>
        <v>0</v>
      </c>
      <c r="D12" s="109">
        <f>'Adams Pgs 8-9'!D12+'Asotin Pgs 10-11'!D12+'Benton-Franklin Pgs 12-13'!D12+'Chelan-Douglas Pgs 14-15'!D12+'Clallam Pgs 16-17'!D12+'Clark Pgs 18-19'!D12+'Columbia Pgs 20-21'!D12+'Cowlitz Pgs 22-23'!D12+'Garfield Pgs 24-25'!D12+'Grant Pgs 26-27'!D12+'Grays Harbor Pgs 28-29'!D12+'Island Pgs 30-31'!D12+'Jefferson Pgs 32-33'!D12+'Kitsap Pgs 34-35'!D12+'Kittitas Pgs 36-37'!D12+'Klickitat Pgs 38-39'!D12+'Lewis Pgs 40-41'!D12+'Lincoln Pgs 42-43'!D12+'Mason Pgs 44-45'!D12+'Northeast Tri Pgs 46-47'!D12+'Okanogan Pgs 48-49'!D12+'Pacific Pgs 50-51'!D12+'San Juan Pgs 52-53'!D12+'[1]seattle king'!D12+'Skagit Pgs 56-57'!D12+'Skamania Pgs 58-59'!D12+'Snohomish Pgs 60-61'!D12+'Spokane Pgs 62-63'!D12+'Tacoma-Pierce Pgs 64-65'!D12+'Thurston Pgs 66-67'!D12+'Wahkiakum Pgs 68-69'!D12+'Walla Walla Pgs 70-71'!D12+'Whatcom Pgs 72-73'!D12+'Whitman Pgs 74-75'!D12+'Yakima Pgs 76-77'!D12</f>
        <v>1992490</v>
      </c>
      <c r="E12" s="110">
        <f>'Adams Pgs 8-9'!E12+'Asotin Pgs 10-11'!E12+'Benton-Franklin Pgs 12-13'!E12+'Chelan-Douglas Pgs 14-15'!E12+'Clallam Pgs 16-17'!E12+'Clark Pgs 18-19'!E12+'Columbia Pgs 20-21'!E12+'Cowlitz Pgs 22-23'!E12+'Garfield Pgs 24-25'!E12+'Grant Pgs 26-27'!E12+'Grays Harbor Pgs 28-29'!E12+'Island Pgs 30-31'!E12+'Jefferson Pgs 32-33'!E12+'Kitsap Pgs 34-35'!E12+'Kittitas Pgs 36-37'!E12+'Klickitat Pgs 38-39'!E12+'Lewis Pgs 40-41'!E12+'Lincoln Pgs 42-43'!E12+'Mason Pgs 44-45'!E12+'Northeast Tri Pgs 46-47'!E12+'Okanogan Pgs 48-49'!E12+'Pacific Pgs 50-51'!E12+'San Juan Pgs 52-53'!E12+'[1]seattle king'!E12+'Skagit Pgs 56-57'!E12+'Skamania Pgs 58-59'!E12+'Snohomish Pgs 60-61'!E12+'Spokane Pgs 62-63'!E12+'Tacoma-Pierce Pgs 64-65'!E12+'Thurston Pgs 66-67'!E12+'Wahkiakum Pgs 68-69'!E12+'Walla Walla Pgs 70-71'!E12+'Whatcom Pgs 72-73'!E12+'Whitman Pgs 74-75'!E12+'Yakima Pgs 76-77'!E12</f>
        <v>0</v>
      </c>
      <c r="F12" s="108">
        <f>'Adams Pgs 8-9'!F12+'Asotin Pgs 10-11'!F12+'Benton-Franklin Pgs 12-13'!F12+'Chelan-Douglas Pgs 14-15'!F12+'Clallam Pgs 16-17'!F12+'Clark Pgs 18-19'!F12+'Columbia Pgs 20-21'!F12+'Cowlitz Pgs 22-23'!F12+'Garfield Pgs 24-25'!F12+'Grant Pgs 26-27'!F12+'Grays Harbor Pgs 28-29'!F12+'Island Pgs 30-31'!F12+'Jefferson Pgs 32-33'!F12+'Kitsap Pgs 34-35'!F12+'Kittitas Pgs 36-37'!F12+'Klickitat Pgs 38-39'!F12+'Lewis Pgs 40-41'!F12+'Lincoln Pgs 42-43'!F12+'Mason Pgs 44-45'!F12+'Northeast Tri Pgs 46-47'!F12+'Okanogan Pgs 48-49'!F12+'Pacific Pgs 50-51'!F12+'San Juan Pgs 52-53'!F12+'[1]seattle king'!F12+'Skagit Pgs 56-57'!F12+'Skamania Pgs 58-59'!F12+'Snohomish Pgs 60-61'!F12+'Spokane Pgs 62-63'!F12+'Tacoma-Pierce Pgs 64-65'!F12+'Thurston Pgs 66-67'!F12+'Wahkiakum Pgs 68-69'!F12+'Walla Walla Pgs 70-71'!F12+'Whatcom Pgs 72-73'!F12+'Whitman Pgs 74-75'!F12+'Yakima Pgs 76-77'!F12</f>
        <v>16393001</v>
      </c>
      <c r="G12" s="110">
        <f>'Adams Pgs 8-9'!G12+'Asotin Pgs 10-11'!G12+'Benton-Franklin Pgs 12-13'!G12+'Chelan-Douglas Pgs 14-15'!G12+'Clallam Pgs 16-17'!G12+'Clark Pgs 18-19'!G12+'Columbia Pgs 20-21'!G12+'Cowlitz Pgs 22-23'!G12+'Garfield Pgs 24-25'!G12+'Grant Pgs 26-27'!G12+'Grays Harbor Pgs 28-29'!G12+'Island Pgs 30-31'!G12+'Jefferson Pgs 32-33'!G12+'Kitsap Pgs 34-35'!G12+'Kittitas Pgs 36-37'!G12+'Klickitat Pgs 38-39'!G12+'Lewis Pgs 40-41'!G12+'Lincoln Pgs 42-43'!G12+'Mason Pgs 44-45'!G12+'Northeast Tri Pgs 46-47'!G12+'Okanogan Pgs 48-49'!G12+'Pacific Pgs 50-51'!G12+'San Juan Pgs 52-53'!G12+'[1]seattle king'!G12+'Skagit Pgs 56-57'!G12+'Skamania Pgs 58-59'!G12+'Snohomish Pgs 60-61'!G12+'Spokane Pgs 62-63'!G12+'Tacoma-Pierce Pgs 64-65'!G12+'Thurston Pgs 66-67'!G12+'Wahkiakum Pgs 68-69'!G12+'Walla Walla Pgs 70-71'!G12+'Whatcom Pgs 72-73'!G12+'Whitman Pgs 74-75'!G12+'Yakima Pgs 76-77'!G12</f>
        <v>29585</v>
      </c>
      <c r="H12" s="111">
        <f>'Adams Pgs 8-9'!H12+'Asotin Pgs 10-11'!H12+'Benton-Franklin Pgs 12-13'!H12+'Chelan-Douglas Pgs 14-15'!H12+'Clallam Pgs 16-17'!H12+'Clark Pgs 18-19'!H12+'Columbia Pgs 20-21'!H12+'Cowlitz Pgs 22-23'!H12+'Garfield Pgs 24-25'!H12+'Grant Pgs 26-27'!H12+'Grays Harbor Pgs 28-29'!H12+'Island Pgs 30-31'!H12+'Jefferson Pgs 32-33'!H12+'Kitsap Pgs 34-35'!H12+'Kittitas Pgs 36-37'!H12+'Klickitat Pgs 38-39'!H12+'Lewis Pgs 40-41'!H12+'Lincoln Pgs 42-43'!H12+'Mason Pgs 44-45'!H12+'Northeast Tri Pgs 46-47'!H12+'Okanogan Pgs 48-49'!H12+'Pacific Pgs 50-51'!H12+'San Juan Pgs 52-53'!H12+'[1]seattle king'!H12+'Skagit Pgs 56-57'!H12+'Skamania Pgs 58-59'!H12+'Snohomish Pgs 60-61'!H12+'Spokane Pgs 62-63'!H12+'Tacoma-Pierce Pgs 64-65'!H12+'Thurston Pgs 66-67'!H12+'Wahkiakum Pgs 68-69'!H12+'Walla Walla Pgs 70-71'!H12+'Whatcom Pgs 72-73'!H12+'Whitman Pgs 74-75'!H12+'Yakima Pgs 76-77'!H12</f>
        <v>779337</v>
      </c>
      <c r="I12" s="110">
        <f>'Adams Pgs 8-9'!I12+'Asotin Pgs 10-11'!I12+'Benton-Franklin Pgs 12-13'!I12+'Chelan-Douglas Pgs 14-15'!I12+'Clallam Pgs 16-17'!I12+'Clark Pgs 18-19'!I12+'Columbia Pgs 20-21'!I12+'Cowlitz Pgs 22-23'!I12+'Garfield Pgs 24-25'!I12+'Grant Pgs 26-27'!I12+'Grays Harbor Pgs 28-29'!I12+'Island Pgs 30-31'!I12+'Jefferson Pgs 32-33'!I12+'Kitsap Pgs 34-35'!I12+'Kittitas Pgs 36-37'!I12+'Klickitat Pgs 38-39'!I12+'Lewis Pgs 40-41'!I12+'Lincoln Pgs 42-43'!I12+'Mason Pgs 44-45'!I12+'Northeast Tri Pgs 46-47'!I12+'Okanogan Pgs 48-49'!I12+'Pacific Pgs 50-51'!I12+'San Juan Pgs 52-53'!I12+'[1]seattle king'!I12+'Skagit Pgs 56-57'!I12+'Skamania Pgs 58-59'!I12+'Snohomish Pgs 60-61'!I12+'Spokane Pgs 62-63'!I12+'Tacoma-Pierce Pgs 64-65'!I12+'Thurston Pgs 66-67'!I12+'Wahkiakum Pgs 68-69'!I12+'Walla Walla Pgs 70-71'!I12+'Whatcom Pgs 72-73'!I12+'Whitman Pgs 74-75'!I12+'Yakima Pgs 76-77'!I12</f>
        <v>540800</v>
      </c>
      <c r="J12" s="112">
        <f>'Adams Pgs 8-9'!J12+'Asotin Pgs 10-11'!J12+'Benton-Franklin Pgs 12-13'!J12+'Chelan-Douglas Pgs 14-15'!J12+'Clallam Pgs 16-17'!J12+'Clark Pgs 18-19'!J12+'Columbia Pgs 20-21'!J12+'Cowlitz Pgs 22-23'!J12+'Garfield Pgs 24-25'!J12+'Grant Pgs 26-27'!J12+'Grays Harbor Pgs 28-29'!J12+'Island Pgs 30-31'!J12+'Jefferson Pgs 32-33'!J12+'Kitsap Pgs 34-35'!J12+'Kittitas Pgs 36-37'!J12+'Klickitat Pgs 38-39'!J12+'Lewis Pgs 40-41'!J12+'Lincoln Pgs 42-43'!J12+'Mason Pgs 44-45'!J12+'Northeast Tri Pgs 46-47'!J12+'Okanogan Pgs 48-49'!J12+'Pacific Pgs 50-51'!J12+'San Juan Pgs 52-53'!J12+'[1]seattle king'!J12+'Skagit Pgs 56-57'!J12+'Skamania Pgs 58-59'!J12+'Snohomish Pgs 60-61'!J12+'Spokane Pgs 62-63'!J12+'Tacoma-Pierce Pgs 64-65'!J12+'Thurston Pgs 66-67'!J12+'Wahkiakum Pgs 68-69'!J12+'Walla Walla Pgs 70-71'!J12+'Whatcom Pgs 72-73'!J12+'Whitman Pgs 74-75'!J12+'Yakima Pgs 76-77'!J12</f>
        <v>5241</v>
      </c>
      <c r="K12" s="142">
        <f t="shared" si="0"/>
        <v>19740454</v>
      </c>
      <c r="L12"/>
    </row>
    <row r="13" spans="1:12" x14ac:dyDescent="0.35">
      <c r="A13" s="79">
        <v>562.29</v>
      </c>
      <c r="B13" s="29" t="s">
        <v>46</v>
      </c>
      <c r="C13" s="108">
        <f>'Adams Pgs 8-9'!C13+'Asotin Pgs 10-11'!C13+'Benton-Franklin Pgs 12-13'!C13+'Chelan-Douglas Pgs 14-15'!C13+'Clallam Pgs 16-17'!C13+'Clark Pgs 18-19'!C13+'Columbia Pgs 20-21'!C13+'Cowlitz Pgs 22-23'!C13+'Garfield Pgs 24-25'!C13+'Grant Pgs 26-27'!C13+'Grays Harbor Pgs 28-29'!C13+'Island Pgs 30-31'!C13+'Jefferson Pgs 32-33'!C13+'Kitsap Pgs 34-35'!C13+'Kittitas Pgs 36-37'!C13+'Klickitat Pgs 38-39'!C13+'Lewis Pgs 40-41'!C13+'Lincoln Pgs 42-43'!C13+'Mason Pgs 44-45'!C13+'Northeast Tri Pgs 46-47'!C13+'Okanogan Pgs 48-49'!C13+'Pacific Pgs 50-51'!C13+'San Juan Pgs 52-53'!C13+'[1]seattle king'!C13+'Skagit Pgs 56-57'!C13+'Skamania Pgs 58-59'!C13+'Snohomish Pgs 60-61'!C13+'Spokane Pgs 62-63'!C13+'Tacoma-Pierce Pgs 64-65'!C13+'Thurston Pgs 66-67'!C13+'Wahkiakum Pgs 68-69'!C13+'Walla Walla Pgs 70-71'!C13+'Whatcom Pgs 72-73'!C13+'Whitman Pgs 74-75'!C13+'Yakima Pgs 76-77'!C13</f>
        <v>0</v>
      </c>
      <c r="D13" s="109">
        <f>'Adams Pgs 8-9'!D13+'Asotin Pgs 10-11'!D13+'Benton-Franklin Pgs 12-13'!D13+'Chelan-Douglas Pgs 14-15'!D13+'Clallam Pgs 16-17'!D13+'Clark Pgs 18-19'!D13+'Columbia Pgs 20-21'!D13+'Cowlitz Pgs 22-23'!D13+'Garfield Pgs 24-25'!D13+'Grant Pgs 26-27'!D13+'Grays Harbor Pgs 28-29'!D13+'Island Pgs 30-31'!D13+'Jefferson Pgs 32-33'!D13+'Kitsap Pgs 34-35'!D13+'Kittitas Pgs 36-37'!D13+'Klickitat Pgs 38-39'!D13+'Lewis Pgs 40-41'!D13+'Lincoln Pgs 42-43'!D13+'Mason Pgs 44-45'!D13+'Northeast Tri Pgs 46-47'!D13+'Okanogan Pgs 48-49'!D13+'Pacific Pgs 50-51'!D13+'San Juan Pgs 52-53'!D13+'[1]seattle king'!D13+'Skagit Pgs 56-57'!D13+'Skamania Pgs 58-59'!D13+'Snohomish Pgs 60-61'!D13+'Spokane Pgs 62-63'!D13+'Tacoma-Pierce Pgs 64-65'!D13+'Thurston Pgs 66-67'!D13+'Wahkiakum Pgs 68-69'!D13+'Walla Walla Pgs 70-71'!D13+'Whatcom Pgs 72-73'!D13+'Whitman Pgs 74-75'!D13+'Yakima Pgs 76-77'!D13</f>
        <v>945044</v>
      </c>
      <c r="E13" s="110">
        <f>'Adams Pgs 8-9'!E13+'Asotin Pgs 10-11'!E13+'Benton-Franklin Pgs 12-13'!E13+'Chelan-Douglas Pgs 14-15'!E13+'Clallam Pgs 16-17'!E13+'Clark Pgs 18-19'!E13+'Columbia Pgs 20-21'!E13+'Cowlitz Pgs 22-23'!E13+'Garfield Pgs 24-25'!E13+'Grant Pgs 26-27'!E13+'Grays Harbor Pgs 28-29'!E13+'Island Pgs 30-31'!E13+'Jefferson Pgs 32-33'!E13+'Kitsap Pgs 34-35'!E13+'Kittitas Pgs 36-37'!E13+'Klickitat Pgs 38-39'!E13+'Lewis Pgs 40-41'!E13+'Lincoln Pgs 42-43'!E13+'Mason Pgs 44-45'!E13+'Northeast Tri Pgs 46-47'!E13+'Okanogan Pgs 48-49'!E13+'Pacific Pgs 50-51'!E13+'San Juan Pgs 52-53'!E13+'[1]seattle king'!E13+'Skagit Pgs 56-57'!E13+'Skamania Pgs 58-59'!E13+'Snohomish Pgs 60-61'!E13+'Spokane Pgs 62-63'!E13+'Tacoma-Pierce Pgs 64-65'!E13+'Thurston Pgs 66-67'!E13+'Wahkiakum Pgs 68-69'!E13+'Walla Walla Pgs 70-71'!E13+'Whatcom Pgs 72-73'!E13+'Whitman Pgs 74-75'!E13+'Yakima Pgs 76-77'!E13</f>
        <v>359416</v>
      </c>
      <c r="F13" s="108">
        <f>'Adams Pgs 8-9'!F13+'Asotin Pgs 10-11'!F13+'Benton-Franklin Pgs 12-13'!F13+'Chelan-Douglas Pgs 14-15'!F13+'Clallam Pgs 16-17'!F13+'Clark Pgs 18-19'!F13+'Columbia Pgs 20-21'!F13+'Cowlitz Pgs 22-23'!F13+'Garfield Pgs 24-25'!F13+'Grant Pgs 26-27'!F13+'Grays Harbor Pgs 28-29'!F13+'Island Pgs 30-31'!F13+'Jefferson Pgs 32-33'!F13+'Kitsap Pgs 34-35'!F13+'Kittitas Pgs 36-37'!F13+'Klickitat Pgs 38-39'!F13+'Lewis Pgs 40-41'!F13+'Lincoln Pgs 42-43'!F13+'Mason Pgs 44-45'!F13+'Northeast Tri Pgs 46-47'!F13+'Okanogan Pgs 48-49'!F13+'Pacific Pgs 50-51'!F13+'San Juan Pgs 52-53'!F13+'[1]seattle king'!F13+'Skagit Pgs 56-57'!F13+'Skamania Pgs 58-59'!F13+'Snohomish Pgs 60-61'!F13+'Spokane Pgs 62-63'!F13+'Tacoma-Pierce Pgs 64-65'!F13+'Thurston Pgs 66-67'!F13+'Wahkiakum Pgs 68-69'!F13+'Walla Walla Pgs 70-71'!F13+'Whatcom Pgs 72-73'!F13+'Whitman Pgs 74-75'!F13+'Yakima Pgs 76-77'!F13</f>
        <v>0</v>
      </c>
      <c r="G13" s="110">
        <f>'Adams Pgs 8-9'!G13+'Asotin Pgs 10-11'!G13+'Benton-Franklin Pgs 12-13'!G13+'Chelan-Douglas Pgs 14-15'!G13+'Clallam Pgs 16-17'!G13+'Clark Pgs 18-19'!G13+'Columbia Pgs 20-21'!G13+'Cowlitz Pgs 22-23'!G13+'Garfield Pgs 24-25'!G13+'Grant Pgs 26-27'!G13+'Grays Harbor Pgs 28-29'!G13+'Island Pgs 30-31'!G13+'Jefferson Pgs 32-33'!G13+'Kitsap Pgs 34-35'!G13+'Kittitas Pgs 36-37'!G13+'Klickitat Pgs 38-39'!G13+'Lewis Pgs 40-41'!G13+'Lincoln Pgs 42-43'!G13+'Mason Pgs 44-45'!G13+'Northeast Tri Pgs 46-47'!G13+'Okanogan Pgs 48-49'!G13+'Pacific Pgs 50-51'!G13+'San Juan Pgs 52-53'!G13+'[1]seattle king'!G13+'Skagit Pgs 56-57'!G13+'Skamania Pgs 58-59'!G13+'Snohomish Pgs 60-61'!G13+'Spokane Pgs 62-63'!G13+'Tacoma-Pierce Pgs 64-65'!G13+'Thurston Pgs 66-67'!G13+'Wahkiakum Pgs 68-69'!G13+'Walla Walla Pgs 70-71'!G13+'Whatcom Pgs 72-73'!G13+'Whitman Pgs 74-75'!G13+'Yakima Pgs 76-77'!G13</f>
        <v>3718747</v>
      </c>
      <c r="H13" s="111">
        <f>'Adams Pgs 8-9'!H13+'Asotin Pgs 10-11'!H13+'Benton-Franklin Pgs 12-13'!H13+'Chelan-Douglas Pgs 14-15'!H13+'Clallam Pgs 16-17'!H13+'Clark Pgs 18-19'!H13+'Columbia Pgs 20-21'!H13+'Cowlitz Pgs 22-23'!H13+'Garfield Pgs 24-25'!H13+'Grant Pgs 26-27'!H13+'Grays Harbor Pgs 28-29'!H13+'Island Pgs 30-31'!H13+'Jefferson Pgs 32-33'!H13+'Kitsap Pgs 34-35'!H13+'Kittitas Pgs 36-37'!H13+'Klickitat Pgs 38-39'!H13+'Lewis Pgs 40-41'!H13+'Lincoln Pgs 42-43'!H13+'Mason Pgs 44-45'!H13+'Northeast Tri Pgs 46-47'!H13+'Okanogan Pgs 48-49'!H13+'Pacific Pgs 50-51'!H13+'San Juan Pgs 52-53'!H13+'[1]seattle king'!H13+'Skagit Pgs 56-57'!H13+'Skamania Pgs 58-59'!H13+'Snohomish Pgs 60-61'!H13+'Spokane Pgs 62-63'!H13+'Tacoma-Pierce Pgs 64-65'!H13+'Thurston Pgs 66-67'!H13+'Wahkiakum Pgs 68-69'!H13+'Walla Walla Pgs 70-71'!H13+'Whatcom Pgs 72-73'!H13+'Whitman Pgs 74-75'!H13+'Yakima Pgs 76-77'!H13</f>
        <v>6107607</v>
      </c>
      <c r="I13" s="110">
        <f>'Adams Pgs 8-9'!I13+'Asotin Pgs 10-11'!I13+'Benton-Franklin Pgs 12-13'!I13+'Chelan-Douglas Pgs 14-15'!I13+'Clallam Pgs 16-17'!I13+'Clark Pgs 18-19'!I13+'Columbia Pgs 20-21'!I13+'Cowlitz Pgs 22-23'!I13+'Garfield Pgs 24-25'!I13+'Grant Pgs 26-27'!I13+'Grays Harbor Pgs 28-29'!I13+'Island Pgs 30-31'!I13+'Jefferson Pgs 32-33'!I13+'Kitsap Pgs 34-35'!I13+'Kittitas Pgs 36-37'!I13+'Klickitat Pgs 38-39'!I13+'Lewis Pgs 40-41'!I13+'Lincoln Pgs 42-43'!I13+'Mason Pgs 44-45'!I13+'Northeast Tri Pgs 46-47'!I13+'Okanogan Pgs 48-49'!I13+'Pacific Pgs 50-51'!I13+'San Juan Pgs 52-53'!I13+'[1]seattle king'!I13+'Skagit Pgs 56-57'!I13+'Skamania Pgs 58-59'!I13+'Snohomish Pgs 60-61'!I13+'Spokane Pgs 62-63'!I13+'Tacoma-Pierce Pgs 64-65'!I13+'Thurston Pgs 66-67'!I13+'Wahkiakum Pgs 68-69'!I13+'Walla Walla Pgs 70-71'!I13+'Whatcom Pgs 72-73'!I13+'Whitman Pgs 74-75'!I13+'Yakima Pgs 76-77'!I13</f>
        <v>10704405</v>
      </c>
      <c r="J13" s="112">
        <f>'Adams Pgs 8-9'!J13+'Asotin Pgs 10-11'!J13+'Benton-Franklin Pgs 12-13'!J13+'Chelan-Douglas Pgs 14-15'!J13+'Clallam Pgs 16-17'!J13+'Clark Pgs 18-19'!J13+'Columbia Pgs 20-21'!J13+'Cowlitz Pgs 22-23'!J13+'Garfield Pgs 24-25'!J13+'Grant Pgs 26-27'!J13+'Grays Harbor Pgs 28-29'!J13+'Island Pgs 30-31'!J13+'Jefferson Pgs 32-33'!J13+'Kitsap Pgs 34-35'!J13+'Kittitas Pgs 36-37'!J13+'Klickitat Pgs 38-39'!J13+'Lewis Pgs 40-41'!J13+'Lincoln Pgs 42-43'!J13+'Mason Pgs 44-45'!J13+'Northeast Tri Pgs 46-47'!J13+'Okanogan Pgs 48-49'!J13+'Pacific Pgs 50-51'!J13+'San Juan Pgs 52-53'!J13+'[1]seattle king'!J13+'Skagit Pgs 56-57'!J13+'Skamania Pgs 58-59'!J13+'Snohomish Pgs 60-61'!J13+'Spokane Pgs 62-63'!J13+'Tacoma-Pierce Pgs 64-65'!J13+'Thurston Pgs 66-67'!J13+'Wahkiakum Pgs 68-69'!J13+'Walla Walla Pgs 70-71'!J13+'Whatcom Pgs 72-73'!J13+'Whitman Pgs 74-75'!J13+'Yakima Pgs 76-77'!J13</f>
        <v>981532</v>
      </c>
      <c r="K13" s="142">
        <f t="shared" si="0"/>
        <v>22816751</v>
      </c>
      <c r="L13"/>
    </row>
    <row r="14" spans="1:12" x14ac:dyDescent="0.35">
      <c r="A14" s="79">
        <v>562.32000000000005</v>
      </c>
      <c r="B14" s="16" t="s">
        <v>12</v>
      </c>
      <c r="C14" s="108">
        <f>'Adams Pgs 8-9'!C14+'Asotin Pgs 10-11'!C14+'Benton-Franklin Pgs 12-13'!C14+'Chelan-Douglas Pgs 14-15'!C14+'Clallam Pgs 16-17'!C14+'Clark Pgs 18-19'!C14+'Columbia Pgs 20-21'!C14+'Cowlitz Pgs 22-23'!C14+'Garfield Pgs 24-25'!C14+'Grant Pgs 26-27'!C14+'Grays Harbor Pgs 28-29'!C14+'Island Pgs 30-31'!C14+'Jefferson Pgs 32-33'!C14+'Kitsap Pgs 34-35'!C14+'Kittitas Pgs 36-37'!C14+'Klickitat Pgs 38-39'!C14+'Lewis Pgs 40-41'!C14+'Lincoln Pgs 42-43'!C14+'Mason Pgs 44-45'!C14+'Northeast Tri Pgs 46-47'!C14+'Okanogan Pgs 48-49'!C14+'Pacific Pgs 50-51'!C14+'San Juan Pgs 52-53'!C14+'[1]seattle king'!C14+'Skagit Pgs 56-57'!C14+'Skamania Pgs 58-59'!C14+'Snohomish Pgs 60-61'!C14+'Spokane Pgs 62-63'!C14+'Tacoma-Pierce Pgs 64-65'!C14+'Thurston Pgs 66-67'!C14+'Wahkiakum Pgs 68-69'!C14+'Walla Walla Pgs 70-71'!C14+'Whatcom Pgs 72-73'!C14+'Whitman Pgs 74-75'!C14+'Yakima Pgs 76-77'!C14</f>
        <v>0</v>
      </c>
      <c r="D14" s="109">
        <f>'Adams Pgs 8-9'!D14+'Asotin Pgs 10-11'!D14+'Benton-Franklin Pgs 12-13'!D14+'Chelan-Douglas Pgs 14-15'!D14+'Clallam Pgs 16-17'!D14+'Clark Pgs 18-19'!D14+'Columbia Pgs 20-21'!D14+'Cowlitz Pgs 22-23'!D14+'Garfield Pgs 24-25'!D14+'Grant Pgs 26-27'!D14+'Grays Harbor Pgs 28-29'!D14+'Island Pgs 30-31'!D14+'Jefferson Pgs 32-33'!D14+'Kitsap Pgs 34-35'!D14+'Kittitas Pgs 36-37'!D14+'Klickitat Pgs 38-39'!D14+'Lewis Pgs 40-41'!D14+'Lincoln Pgs 42-43'!D14+'Mason Pgs 44-45'!D14+'Northeast Tri Pgs 46-47'!D14+'Okanogan Pgs 48-49'!D14+'Pacific Pgs 50-51'!D14+'San Juan Pgs 52-53'!D14+'[1]seattle king'!D14+'Skagit Pgs 56-57'!D14+'Skamania Pgs 58-59'!D14+'Snohomish Pgs 60-61'!D14+'Spokane Pgs 62-63'!D14+'Tacoma-Pierce Pgs 64-65'!D14+'Thurston Pgs 66-67'!D14+'Wahkiakum Pgs 68-69'!D14+'Walla Walla Pgs 70-71'!D14+'Whatcom Pgs 72-73'!D14+'Whitman Pgs 74-75'!D14+'Yakima Pgs 76-77'!D14</f>
        <v>1869420</v>
      </c>
      <c r="E14" s="110">
        <f>'Adams Pgs 8-9'!E14+'Asotin Pgs 10-11'!E14+'Benton-Franklin Pgs 12-13'!E14+'Chelan-Douglas Pgs 14-15'!E14+'Clallam Pgs 16-17'!E14+'Clark Pgs 18-19'!E14+'Columbia Pgs 20-21'!E14+'Cowlitz Pgs 22-23'!E14+'Garfield Pgs 24-25'!E14+'Grant Pgs 26-27'!E14+'Grays Harbor Pgs 28-29'!E14+'Island Pgs 30-31'!E14+'Jefferson Pgs 32-33'!E14+'Kitsap Pgs 34-35'!E14+'Kittitas Pgs 36-37'!E14+'Klickitat Pgs 38-39'!E14+'Lewis Pgs 40-41'!E14+'Lincoln Pgs 42-43'!E14+'Mason Pgs 44-45'!E14+'Northeast Tri Pgs 46-47'!E14+'Okanogan Pgs 48-49'!E14+'Pacific Pgs 50-51'!E14+'San Juan Pgs 52-53'!E14+'[1]seattle king'!E14+'Skagit Pgs 56-57'!E14+'Skamania Pgs 58-59'!E14+'Snohomish Pgs 60-61'!E14+'Spokane Pgs 62-63'!E14+'Tacoma-Pierce Pgs 64-65'!E14+'Thurston Pgs 66-67'!E14+'Wahkiakum Pgs 68-69'!E14+'Walla Walla Pgs 70-71'!E14+'Whatcom Pgs 72-73'!E14+'Whitman Pgs 74-75'!E14+'Yakima Pgs 76-77'!E14</f>
        <v>0</v>
      </c>
      <c r="F14" s="108">
        <f>'Adams Pgs 8-9'!F14+'Asotin Pgs 10-11'!F14+'Benton-Franklin Pgs 12-13'!F14+'Chelan-Douglas Pgs 14-15'!F14+'Clallam Pgs 16-17'!F14+'Clark Pgs 18-19'!F14+'Columbia Pgs 20-21'!F14+'Cowlitz Pgs 22-23'!F14+'Garfield Pgs 24-25'!F14+'Grant Pgs 26-27'!F14+'Grays Harbor Pgs 28-29'!F14+'Island Pgs 30-31'!F14+'Jefferson Pgs 32-33'!F14+'Kitsap Pgs 34-35'!F14+'Kittitas Pgs 36-37'!F14+'Klickitat Pgs 38-39'!F14+'Lewis Pgs 40-41'!F14+'Lincoln Pgs 42-43'!F14+'Mason Pgs 44-45'!F14+'Northeast Tri Pgs 46-47'!F14+'Okanogan Pgs 48-49'!F14+'Pacific Pgs 50-51'!F14+'San Juan Pgs 52-53'!F14+'[1]seattle king'!F14+'Skagit Pgs 56-57'!F14+'Skamania Pgs 58-59'!F14+'Snohomish Pgs 60-61'!F14+'Spokane Pgs 62-63'!F14+'Tacoma-Pierce Pgs 64-65'!F14+'Thurston Pgs 66-67'!F14+'Wahkiakum Pgs 68-69'!F14+'Walla Walla Pgs 70-71'!F14+'Whatcom Pgs 72-73'!F14+'Whitman Pgs 74-75'!F14+'Yakima Pgs 76-77'!F14</f>
        <v>1793747</v>
      </c>
      <c r="G14" s="110">
        <f>'Adams Pgs 8-9'!G14+'Asotin Pgs 10-11'!G14+'Benton-Franklin Pgs 12-13'!G14+'Chelan-Douglas Pgs 14-15'!G14+'Clallam Pgs 16-17'!G14+'Clark Pgs 18-19'!G14+'Columbia Pgs 20-21'!G14+'Cowlitz Pgs 22-23'!G14+'Garfield Pgs 24-25'!G14+'Grant Pgs 26-27'!G14+'Grays Harbor Pgs 28-29'!G14+'Island Pgs 30-31'!G14+'Jefferson Pgs 32-33'!G14+'Kitsap Pgs 34-35'!G14+'Kittitas Pgs 36-37'!G14+'Klickitat Pgs 38-39'!G14+'Lewis Pgs 40-41'!G14+'Lincoln Pgs 42-43'!G14+'Mason Pgs 44-45'!G14+'Northeast Tri Pgs 46-47'!G14+'Okanogan Pgs 48-49'!G14+'Pacific Pgs 50-51'!G14+'San Juan Pgs 52-53'!G14+'[1]seattle king'!G14+'Skagit Pgs 56-57'!G14+'Skamania Pgs 58-59'!G14+'Snohomish Pgs 60-61'!G14+'Spokane Pgs 62-63'!G14+'Tacoma-Pierce Pgs 64-65'!G14+'Thurston Pgs 66-67'!G14+'Wahkiakum Pgs 68-69'!G14+'Walla Walla Pgs 70-71'!G14+'Whatcom Pgs 72-73'!G14+'Whitman Pgs 74-75'!G14+'Yakima Pgs 76-77'!G14</f>
        <v>257138</v>
      </c>
      <c r="H14" s="111">
        <f>'Adams Pgs 8-9'!H14+'Asotin Pgs 10-11'!H14+'Benton-Franklin Pgs 12-13'!H14+'Chelan-Douglas Pgs 14-15'!H14+'Clallam Pgs 16-17'!H14+'Clark Pgs 18-19'!H14+'Columbia Pgs 20-21'!H14+'Cowlitz Pgs 22-23'!H14+'Garfield Pgs 24-25'!H14+'Grant Pgs 26-27'!H14+'Grays Harbor Pgs 28-29'!H14+'Island Pgs 30-31'!H14+'Jefferson Pgs 32-33'!H14+'Kitsap Pgs 34-35'!H14+'Kittitas Pgs 36-37'!H14+'Klickitat Pgs 38-39'!H14+'Lewis Pgs 40-41'!H14+'Lincoln Pgs 42-43'!H14+'Mason Pgs 44-45'!H14+'Northeast Tri Pgs 46-47'!H14+'Okanogan Pgs 48-49'!H14+'Pacific Pgs 50-51'!H14+'San Juan Pgs 52-53'!H14+'[1]seattle king'!H14+'Skagit Pgs 56-57'!H14+'Skamania Pgs 58-59'!H14+'Snohomish Pgs 60-61'!H14+'Spokane Pgs 62-63'!H14+'Tacoma-Pierce Pgs 64-65'!H14+'Thurston Pgs 66-67'!H14+'Wahkiakum Pgs 68-69'!H14+'Walla Walla Pgs 70-71'!H14+'Whatcom Pgs 72-73'!H14+'Whitman Pgs 74-75'!H14+'Yakima Pgs 76-77'!H14</f>
        <v>1269328</v>
      </c>
      <c r="I14" s="110">
        <f>'Adams Pgs 8-9'!I14+'Asotin Pgs 10-11'!I14+'Benton-Franklin Pgs 12-13'!I14+'Chelan-Douglas Pgs 14-15'!I14+'Clallam Pgs 16-17'!I14+'Clark Pgs 18-19'!I14+'Columbia Pgs 20-21'!I14+'Cowlitz Pgs 22-23'!I14+'Garfield Pgs 24-25'!I14+'Grant Pgs 26-27'!I14+'Grays Harbor Pgs 28-29'!I14+'Island Pgs 30-31'!I14+'Jefferson Pgs 32-33'!I14+'Kitsap Pgs 34-35'!I14+'Kittitas Pgs 36-37'!I14+'Klickitat Pgs 38-39'!I14+'Lewis Pgs 40-41'!I14+'Lincoln Pgs 42-43'!I14+'Mason Pgs 44-45'!I14+'Northeast Tri Pgs 46-47'!I14+'Okanogan Pgs 48-49'!I14+'Pacific Pgs 50-51'!I14+'San Juan Pgs 52-53'!I14+'[1]seattle king'!I14+'Skagit Pgs 56-57'!I14+'Skamania Pgs 58-59'!I14+'Snohomish Pgs 60-61'!I14+'Spokane Pgs 62-63'!I14+'Tacoma-Pierce Pgs 64-65'!I14+'Thurston Pgs 66-67'!I14+'Wahkiakum Pgs 68-69'!I14+'Walla Walla Pgs 70-71'!I14+'Whatcom Pgs 72-73'!I14+'Whitman Pgs 74-75'!I14+'Yakima Pgs 76-77'!I14</f>
        <v>1748285</v>
      </c>
      <c r="J14" s="112">
        <f>'Adams Pgs 8-9'!J14+'Asotin Pgs 10-11'!J14+'Benton-Franklin Pgs 12-13'!J14+'Chelan-Douglas Pgs 14-15'!J14+'Clallam Pgs 16-17'!J14+'Clark Pgs 18-19'!J14+'Columbia Pgs 20-21'!J14+'Cowlitz Pgs 22-23'!J14+'Garfield Pgs 24-25'!J14+'Grant Pgs 26-27'!J14+'Grays Harbor Pgs 28-29'!J14+'Island Pgs 30-31'!J14+'Jefferson Pgs 32-33'!J14+'Kitsap Pgs 34-35'!J14+'Kittitas Pgs 36-37'!J14+'Klickitat Pgs 38-39'!J14+'Lewis Pgs 40-41'!J14+'Lincoln Pgs 42-43'!J14+'Mason Pgs 44-45'!J14+'Northeast Tri Pgs 46-47'!J14+'Okanogan Pgs 48-49'!J14+'Pacific Pgs 50-51'!J14+'San Juan Pgs 52-53'!J14+'[1]seattle king'!J14+'Skagit Pgs 56-57'!J14+'Skamania Pgs 58-59'!J14+'Snohomish Pgs 60-61'!J14+'Spokane Pgs 62-63'!J14+'Tacoma-Pierce Pgs 64-65'!J14+'Thurston Pgs 66-67'!J14+'Wahkiakum Pgs 68-69'!J14+'Walla Walla Pgs 70-71'!J14+'Whatcom Pgs 72-73'!J14+'Whitman Pgs 74-75'!J14+'Yakima Pgs 76-77'!J14</f>
        <v>136697</v>
      </c>
      <c r="K14" s="142">
        <f t="shared" si="0"/>
        <v>7074615</v>
      </c>
      <c r="L14"/>
    </row>
    <row r="15" spans="1:12" x14ac:dyDescent="0.35">
      <c r="A15" s="79">
        <v>562.33000000000004</v>
      </c>
      <c r="B15" s="29" t="s">
        <v>55</v>
      </c>
      <c r="C15" s="108">
        <f>'Adams Pgs 8-9'!C15+'Asotin Pgs 10-11'!C15+'Benton-Franklin Pgs 12-13'!C15+'Chelan-Douglas Pgs 14-15'!C15+'Clallam Pgs 16-17'!C15+'Clark Pgs 18-19'!C15+'Columbia Pgs 20-21'!C15+'Cowlitz Pgs 22-23'!C15+'Garfield Pgs 24-25'!C15+'Grant Pgs 26-27'!C15+'Grays Harbor Pgs 28-29'!C15+'Island Pgs 30-31'!C15+'Jefferson Pgs 32-33'!C15+'Kitsap Pgs 34-35'!C15+'Kittitas Pgs 36-37'!C15+'Klickitat Pgs 38-39'!C15+'Lewis Pgs 40-41'!C15+'Lincoln Pgs 42-43'!C15+'Mason Pgs 44-45'!C15+'Northeast Tri Pgs 46-47'!C15+'Okanogan Pgs 48-49'!C15+'Pacific Pgs 50-51'!C15+'San Juan Pgs 52-53'!C15+'[1]seattle king'!C15+'Skagit Pgs 56-57'!C15+'Skamania Pgs 58-59'!C15+'Snohomish Pgs 60-61'!C15+'Spokane Pgs 62-63'!C15+'Tacoma-Pierce Pgs 64-65'!C15+'Thurston Pgs 66-67'!C15+'Wahkiakum Pgs 68-69'!C15+'Walla Walla Pgs 70-71'!C15+'Whatcom Pgs 72-73'!C15+'Whitman Pgs 74-75'!C15+'Yakima Pgs 76-77'!C15</f>
        <v>1222964</v>
      </c>
      <c r="D15" s="109">
        <f>'Adams Pgs 8-9'!D15+'Asotin Pgs 10-11'!D15+'Benton-Franklin Pgs 12-13'!D15+'Chelan-Douglas Pgs 14-15'!D15+'Clallam Pgs 16-17'!D15+'Clark Pgs 18-19'!D15+'Columbia Pgs 20-21'!D15+'Cowlitz Pgs 22-23'!D15+'Garfield Pgs 24-25'!D15+'Grant Pgs 26-27'!D15+'Grays Harbor Pgs 28-29'!D15+'Island Pgs 30-31'!D15+'Jefferson Pgs 32-33'!D15+'Kitsap Pgs 34-35'!D15+'Kittitas Pgs 36-37'!D15+'Klickitat Pgs 38-39'!D15+'Lewis Pgs 40-41'!D15+'Lincoln Pgs 42-43'!D15+'Mason Pgs 44-45'!D15+'Northeast Tri Pgs 46-47'!D15+'Okanogan Pgs 48-49'!D15+'Pacific Pgs 50-51'!D15+'San Juan Pgs 52-53'!D15+'[1]seattle king'!D15+'Skagit Pgs 56-57'!D15+'Skamania Pgs 58-59'!D15+'Snohomish Pgs 60-61'!D15+'Spokane Pgs 62-63'!D15+'Tacoma-Pierce Pgs 64-65'!D15+'Thurston Pgs 66-67'!D15+'Wahkiakum Pgs 68-69'!D15+'Walla Walla Pgs 70-71'!D15+'Whatcom Pgs 72-73'!D15+'Whitman Pgs 74-75'!D15+'Yakima Pgs 76-77'!D15</f>
        <v>1158139</v>
      </c>
      <c r="E15" s="110">
        <f>'Adams Pgs 8-9'!E15+'Asotin Pgs 10-11'!E15+'Benton-Franklin Pgs 12-13'!E15+'Chelan-Douglas Pgs 14-15'!E15+'Clallam Pgs 16-17'!E15+'Clark Pgs 18-19'!E15+'Columbia Pgs 20-21'!E15+'Cowlitz Pgs 22-23'!E15+'Garfield Pgs 24-25'!E15+'Grant Pgs 26-27'!E15+'Grays Harbor Pgs 28-29'!E15+'Island Pgs 30-31'!E15+'Jefferson Pgs 32-33'!E15+'Kitsap Pgs 34-35'!E15+'Kittitas Pgs 36-37'!E15+'Klickitat Pgs 38-39'!E15+'Lewis Pgs 40-41'!E15+'Lincoln Pgs 42-43'!E15+'Mason Pgs 44-45'!E15+'Northeast Tri Pgs 46-47'!E15+'Okanogan Pgs 48-49'!E15+'Pacific Pgs 50-51'!E15+'San Juan Pgs 52-53'!E15+'[1]seattle king'!E15+'Skagit Pgs 56-57'!E15+'Skamania Pgs 58-59'!E15+'Snohomish Pgs 60-61'!E15+'Spokane Pgs 62-63'!E15+'Tacoma-Pierce Pgs 64-65'!E15+'Thurston Pgs 66-67'!E15+'Wahkiakum Pgs 68-69'!E15+'Walla Walla Pgs 70-71'!E15+'Whatcom Pgs 72-73'!E15+'Whitman Pgs 74-75'!E15+'Yakima Pgs 76-77'!E15</f>
        <v>0</v>
      </c>
      <c r="F15" s="108">
        <f>'Adams Pgs 8-9'!F15+'Asotin Pgs 10-11'!F15+'Benton-Franklin Pgs 12-13'!F15+'Chelan-Douglas Pgs 14-15'!F15+'Clallam Pgs 16-17'!F15+'Clark Pgs 18-19'!F15+'Columbia Pgs 20-21'!F15+'Cowlitz Pgs 22-23'!F15+'Garfield Pgs 24-25'!F15+'Grant Pgs 26-27'!F15+'Grays Harbor Pgs 28-29'!F15+'Island Pgs 30-31'!F15+'Jefferson Pgs 32-33'!F15+'Kitsap Pgs 34-35'!F15+'Kittitas Pgs 36-37'!F15+'Klickitat Pgs 38-39'!F15+'Lewis Pgs 40-41'!F15+'Lincoln Pgs 42-43'!F15+'Mason Pgs 44-45'!F15+'Northeast Tri Pgs 46-47'!F15+'Okanogan Pgs 48-49'!F15+'Pacific Pgs 50-51'!F15+'San Juan Pgs 52-53'!F15+'[1]seattle king'!F15+'Skagit Pgs 56-57'!F15+'Skamania Pgs 58-59'!F15+'Snohomish Pgs 60-61'!F15+'Spokane Pgs 62-63'!F15+'Tacoma-Pierce Pgs 64-65'!F15+'Thurston Pgs 66-67'!F15+'Wahkiakum Pgs 68-69'!F15+'Walla Walla Pgs 70-71'!F15+'Whatcom Pgs 72-73'!F15+'Whitman Pgs 74-75'!F15+'Yakima Pgs 76-77'!F15</f>
        <v>2226963</v>
      </c>
      <c r="G15" s="110">
        <f>'Adams Pgs 8-9'!G15+'Asotin Pgs 10-11'!G15+'Benton-Franklin Pgs 12-13'!G15+'Chelan-Douglas Pgs 14-15'!G15+'Clallam Pgs 16-17'!G15+'Clark Pgs 18-19'!G15+'Columbia Pgs 20-21'!G15+'Cowlitz Pgs 22-23'!G15+'Garfield Pgs 24-25'!G15+'Grant Pgs 26-27'!G15+'Grays Harbor Pgs 28-29'!G15+'Island Pgs 30-31'!G15+'Jefferson Pgs 32-33'!G15+'Kitsap Pgs 34-35'!G15+'Kittitas Pgs 36-37'!G15+'Klickitat Pgs 38-39'!G15+'Lewis Pgs 40-41'!G15+'Lincoln Pgs 42-43'!G15+'Mason Pgs 44-45'!G15+'Northeast Tri Pgs 46-47'!G15+'Okanogan Pgs 48-49'!G15+'Pacific Pgs 50-51'!G15+'San Juan Pgs 52-53'!G15+'[1]seattle king'!G15+'Skagit Pgs 56-57'!G15+'Skamania Pgs 58-59'!G15+'Snohomish Pgs 60-61'!G15+'Spokane Pgs 62-63'!G15+'Tacoma-Pierce Pgs 64-65'!G15+'Thurston Pgs 66-67'!G15+'Wahkiakum Pgs 68-69'!G15+'Walla Walla Pgs 70-71'!G15+'Whatcom Pgs 72-73'!G15+'Whitman Pgs 74-75'!G15+'Yakima Pgs 76-77'!G15</f>
        <v>50797</v>
      </c>
      <c r="H15" s="111">
        <f>'Adams Pgs 8-9'!H15+'Asotin Pgs 10-11'!H15+'Benton-Franklin Pgs 12-13'!H15+'Chelan-Douglas Pgs 14-15'!H15+'Clallam Pgs 16-17'!H15+'Clark Pgs 18-19'!H15+'Columbia Pgs 20-21'!H15+'Cowlitz Pgs 22-23'!H15+'Garfield Pgs 24-25'!H15+'Grant Pgs 26-27'!H15+'Grays Harbor Pgs 28-29'!H15+'Island Pgs 30-31'!H15+'Jefferson Pgs 32-33'!H15+'Kitsap Pgs 34-35'!H15+'Kittitas Pgs 36-37'!H15+'Klickitat Pgs 38-39'!H15+'Lewis Pgs 40-41'!H15+'Lincoln Pgs 42-43'!H15+'Mason Pgs 44-45'!H15+'Northeast Tri Pgs 46-47'!H15+'Okanogan Pgs 48-49'!H15+'Pacific Pgs 50-51'!H15+'San Juan Pgs 52-53'!H15+'[1]seattle king'!H15+'Skagit Pgs 56-57'!H15+'Skamania Pgs 58-59'!H15+'Snohomish Pgs 60-61'!H15+'Spokane Pgs 62-63'!H15+'Tacoma-Pierce Pgs 64-65'!H15+'Thurston Pgs 66-67'!H15+'Wahkiakum Pgs 68-69'!H15+'Walla Walla Pgs 70-71'!H15+'Whatcom Pgs 72-73'!H15+'Whitman Pgs 74-75'!H15+'Yakima Pgs 76-77'!H15</f>
        <v>1339891</v>
      </c>
      <c r="I15" s="110">
        <f>'Adams Pgs 8-9'!I15+'Asotin Pgs 10-11'!I15+'Benton-Franklin Pgs 12-13'!I15+'Chelan-Douglas Pgs 14-15'!I15+'Clallam Pgs 16-17'!I15+'Clark Pgs 18-19'!I15+'Columbia Pgs 20-21'!I15+'Cowlitz Pgs 22-23'!I15+'Garfield Pgs 24-25'!I15+'Grant Pgs 26-27'!I15+'Grays Harbor Pgs 28-29'!I15+'Island Pgs 30-31'!I15+'Jefferson Pgs 32-33'!I15+'Kitsap Pgs 34-35'!I15+'Kittitas Pgs 36-37'!I15+'Klickitat Pgs 38-39'!I15+'Lewis Pgs 40-41'!I15+'Lincoln Pgs 42-43'!I15+'Mason Pgs 44-45'!I15+'Northeast Tri Pgs 46-47'!I15+'Okanogan Pgs 48-49'!I15+'Pacific Pgs 50-51'!I15+'San Juan Pgs 52-53'!I15+'[1]seattle king'!I15+'Skagit Pgs 56-57'!I15+'Skamania Pgs 58-59'!I15+'Snohomish Pgs 60-61'!I15+'Spokane Pgs 62-63'!I15+'Tacoma-Pierce Pgs 64-65'!I15+'Thurston Pgs 66-67'!I15+'Wahkiakum Pgs 68-69'!I15+'Walla Walla Pgs 70-71'!I15+'Whatcom Pgs 72-73'!I15+'Whitman Pgs 74-75'!I15+'Yakima Pgs 76-77'!I15</f>
        <v>673764</v>
      </c>
      <c r="J15" s="112">
        <f>'Adams Pgs 8-9'!J15+'Asotin Pgs 10-11'!J15+'Benton-Franklin Pgs 12-13'!J15+'Chelan-Douglas Pgs 14-15'!J15+'Clallam Pgs 16-17'!J15+'Clark Pgs 18-19'!J15+'Columbia Pgs 20-21'!J15+'Cowlitz Pgs 22-23'!J15+'Garfield Pgs 24-25'!J15+'Grant Pgs 26-27'!J15+'Grays Harbor Pgs 28-29'!J15+'Island Pgs 30-31'!J15+'Jefferson Pgs 32-33'!J15+'Kitsap Pgs 34-35'!J15+'Kittitas Pgs 36-37'!J15+'Klickitat Pgs 38-39'!J15+'Lewis Pgs 40-41'!J15+'Lincoln Pgs 42-43'!J15+'Mason Pgs 44-45'!J15+'Northeast Tri Pgs 46-47'!J15+'Okanogan Pgs 48-49'!J15+'Pacific Pgs 50-51'!J15+'San Juan Pgs 52-53'!J15+'[1]seattle king'!J15+'Skagit Pgs 56-57'!J15+'Skamania Pgs 58-59'!J15+'Snohomish Pgs 60-61'!J15+'Spokane Pgs 62-63'!J15+'Tacoma-Pierce Pgs 64-65'!J15+'Thurston Pgs 66-67'!J15+'Wahkiakum Pgs 68-69'!J15+'Walla Walla Pgs 70-71'!J15+'Whatcom Pgs 72-73'!J15+'Whitman Pgs 74-75'!J15+'Yakima Pgs 76-77'!J15</f>
        <v>75228</v>
      </c>
      <c r="K15" s="142">
        <f t="shared" si="0"/>
        <v>6747746</v>
      </c>
      <c r="L15"/>
    </row>
    <row r="16" spans="1:12" x14ac:dyDescent="0.35">
      <c r="A16" s="79">
        <v>562.34</v>
      </c>
      <c r="B16" s="16" t="s">
        <v>13</v>
      </c>
      <c r="C16" s="108">
        <f>'Adams Pgs 8-9'!C16+'Asotin Pgs 10-11'!C16+'Benton-Franklin Pgs 12-13'!C16+'Chelan-Douglas Pgs 14-15'!C16+'Clallam Pgs 16-17'!C16+'Clark Pgs 18-19'!C16+'Columbia Pgs 20-21'!C16+'Cowlitz Pgs 22-23'!C16+'Garfield Pgs 24-25'!C16+'Grant Pgs 26-27'!C16+'Grays Harbor Pgs 28-29'!C16+'Island Pgs 30-31'!C16+'Jefferson Pgs 32-33'!C16+'Kitsap Pgs 34-35'!C16+'Kittitas Pgs 36-37'!C16+'Klickitat Pgs 38-39'!C16+'Lewis Pgs 40-41'!C16+'Lincoln Pgs 42-43'!C16+'Mason Pgs 44-45'!C16+'Northeast Tri Pgs 46-47'!C16+'Okanogan Pgs 48-49'!C16+'Pacific Pgs 50-51'!C16+'San Juan Pgs 52-53'!C16+'[1]seattle king'!C16+'Skagit Pgs 56-57'!C16+'Skamania Pgs 58-59'!C16+'Snohomish Pgs 60-61'!C16+'Spokane Pgs 62-63'!C16+'Tacoma-Pierce Pgs 64-65'!C16+'Thurston Pgs 66-67'!C16+'Wahkiakum Pgs 68-69'!C16+'Walla Walla Pgs 70-71'!C16+'Whatcom Pgs 72-73'!C16+'Whitman Pgs 74-75'!C16+'Yakima Pgs 76-77'!C16</f>
        <v>20738</v>
      </c>
      <c r="D16" s="109">
        <f>'Adams Pgs 8-9'!D16+'Asotin Pgs 10-11'!D16+'Benton-Franklin Pgs 12-13'!D16+'Chelan-Douglas Pgs 14-15'!D16+'Clallam Pgs 16-17'!D16+'Clark Pgs 18-19'!D16+'Columbia Pgs 20-21'!D16+'Cowlitz Pgs 22-23'!D16+'Garfield Pgs 24-25'!D16+'Grant Pgs 26-27'!D16+'Grays Harbor Pgs 28-29'!D16+'Island Pgs 30-31'!D16+'Jefferson Pgs 32-33'!D16+'Kitsap Pgs 34-35'!D16+'Kittitas Pgs 36-37'!D16+'Klickitat Pgs 38-39'!D16+'Lewis Pgs 40-41'!D16+'Lincoln Pgs 42-43'!D16+'Mason Pgs 44-45'!D16+'Northeast Tri Pgs 46-47'!D16+'Okanogan Pgs 48-49'!D16+'Pacific Pgs 50-51'!D16+'San Juan Pgs 52-53'!D16+'[1]seattle king'!D16+'Skagit Pgs 56-57'!D16+'Skamania Pgs 58-59'!D16+'Snohomish Pgs 60-61'!D16+'Spokane Pgs 62-63'!D16+'Tacoma-Pierce Pgs 64-65'!D16+'Thurston Pgs 66-67'!D16+'Wahkiakum Pgs 68-69'!D16+'Walla Walla Pgs 70-71'!D16+'Whatcom Pgs 72-73'!D16+'Whitman Pgs 74-75'!D16+'Yakima Pgs 76-77'!D16</f>
        <v>1595878</v>
      </c>
      <c r="E16" s="110">
        <f>'Adams Pgs 8-9'!E16+'Asotin Pgs 10-11'!E16+'Benton-Franklin Pgs 12-13'!E16+'Chelan-Douglas Pgs 14-15'!E16+'Clallam Pgs 16-17'!E16+'Clark Pgs 18-19'!E16+'Columbia Pgs 20-21'!E16+'Cowlitz Pgs 22-23'!E16+'Garfield Pgs 24-25'!E16+'Grant Pgs 26-27'!E16+'Grays Harbor Pgs 28-29'!E16+'Island Pgs 30-31'!E16+'Jefferson Pgs 32-33'!E16+'Kitsap Pgs 34-35'!E16+'Kittitas Pgs 36-37'!E16+'Klickitat Pgs 38-39'!E16+'Lewis Pgs 40-41'!E16+'Lincoln Pgs 42-43'!E16+'Mason Pgs 44-45'!E16+'Northeast Tri Pgs 46-47'!E16+'Okanogan Pgs 48-49'!E16+'Pacific Pgs 50-51'!E16+'San Juan Pgs 52-53'!E16+'[1]seattle king'!E16+'Skagit Pgs 56-57'!E16+'Skamania Pgs 58-59'!E16+'Snohomish Pgs 60-61'!E16+'Spokane Pgs 62-63'!E16+'Tacoma-Pierce Pgs 64-65'!E16+'Thurston Pgs 66-67'!E16+'Wahkiakum Pgs 68-69'!E16+'Walla Walla Pgs 70-71'!E16+'Whatcom Pgs 72-73'!E16+'Whitman Pgs 74-75'!E16+'Yakima Pgs 76-77'!E16</f>
        <v>0</v>
      </c>
      <c r="F16" s="108">
        <f>'Adams Pgs 8-9'!F16+'Asotin Pgs 10-11'!F16+'Benton-Franklin Pgs 12-13'!F16+'Chelan-Douglas Pgs 14-15'!F16+'Clallam Pgs 16-17'!F16+'Clark Pgs 18-19'!F16+'Columbia Pgs 20-21'!F16+'Cowlitz Pgs 22-23'!F16+'Garfield Pgs 24-25'!F16+'Grant Pgs 26-27'!F16+'Grays Harbor Pgs 28-29'!F16+'Island Pgs 30-31'!F16+'Jefferson Pgs 32-33'!F16+'Kitsap Pgs 34-35'!F16+'Kittitas Pgs 36-37'!F16+'Klickitat Pgs 38-39'!F16+'Lewis Pgs 40-41'!F16+'Lincoln Pgs 42-43'!F16+'Mason Pgs 44-45'!F16+'Northeast Tri Pgs 46-47'!F16+'Okanogan Pgs 48-49'!F16+'Pacific Pgs 50-51'!F16+'San Juan Pgs 52-53'!F16+'[1]seattle king'!F16+'Skagit Pgs 56-57'!F16+'Skamania Pgs 58-59'!F16+'Snohomish Pgs 60-61'!F16+'Spokane Pgs 62-63'!F16+'Tacoma-Pierce Pgs 64-65'!F16+'Thurston Pgs 66-67'!F16+'Wahkiakum Pgs 68-69'!F16+'Walla Walla Pgs 70-71'!F16+'Whatcom Pgs 72-73'!F16+'Whitman Pgs 74-75'!F16+'Yakima Pgs 76-77'!F16</f>
        <v>621535</v>
      </c>
      <c r="G16" s="110">
        <f>'Adams Pgs 8-9'!G16+'Asotin Pgs 10-11'!G16+'Benton-Franklin Pgs 12-13'!G16+'Chelan-Douglas Pgs 14-15'!G16+'Clallam Pgs 16-17'!G16+'Clark Pgs 18-19'!G16+'Columbia Pgs 20-21'!G16+'Cowlitz Pgs 22-23'!G16+'Garfield Pgs 24-25'!G16+'Grant Pgs 26-27'!G16+'Grays Harbor Pgs 28-29'!G16+'Island Pgs 30-31'!G16+'Jefferson Pgs 32-33'!G16+'Kitsap Pgs 34-35'!G16+'Kittitas Pgs 36-37'!G16+'Klickitat Pgs 38-39'!G16+'Lewis Pgs 40-41'!G16+'Lincoln Pgs 42-43'!G16+'Mason Pgs 44-45'!G16+'Northeast Tri Pgs 46-47'!G16+'Okanogan Pgs 48-49'!G16+'Pacific Pgs 50-51'!G16+'San Juan Pgs 52-53'!G16+'[1]seattle king'!G16+'Skagit Pgs 56-57'!G16+'Skamania Pgs 58-59'!G16+'Snohomish Pgs 60-61'!G16+'Spokane Pgs 62-63'!G16+'Tacoma-Pierce Pgs 64-65'!G16+'Thurston Pgs 66-67'!G16+'Wahkiakum Pgs 68-69'!G16+'Walla Walla Pgs 70-71'!G16+'Whatcom Pgs 72-73'!G16+'Whitman Pgs 74-75'!G16+'Yakima Pgs 76-77'!G16</f>
        <v>123526</v>
      </c>
      <c r="H16" s="111">
        <f>'Adams Pgs 8-9'!H16+'Asotin Pgs 10-11'!H16+'Benton-Franklin Pgs 12-13'!H16+'Chelan-Douglas Pgs 14-15'!H16+'Clallam Pgs 16-17'!H16+'Clark Pgs 18-19'!H16+'Columbia Pgs 20-21'!H16+'Cowlitz Pgs 22-23'!H16+'Garfield Pgs 24-25'!H16+'Grant Pgs 26-27'!H16+'Grays Harbor Pgs 28-29'!H16+'Island Pgs 30-31'!H16+'Jefferson Pgs 32-33'!H16+'Kitsap Pgs 34-35'!H16+'Kittitas Pgs 36-37'!H16+'Klickitat Pgs 38-39'!H16+'Lewis Pgs 40-41'!H16+'Lincoln Pgs 42-43'!H16+'Mason Pgs 44-45'!H16+'Northeast Tri Pgs 46-47'!H16+'Okanogan Pgs 48-49'!H16+'Pacific Pgs 50-51'!H16+'San Juan Pgs 52-53'!H16+'[1]seattle king'!H16+'Skagit Pgs 56-57'!H16+'Skamania Pgs 58-59'!H16+'Snohomish Pgs 60-61'!H16+'Spokane Pgs 62-63'!H16+'Tacoma-Pierce Pgs 64-65'!H16+'Thurston Pgs 66-67'!H16+'Wahkiakum Pgs 68-69'!H16+'Walla Walla Pgs 70-71'!H16+'Whatcom Pgs 72-73'!H16+'Whitman Pgs 74-75'!H16+'Yakima Pgs 76-77'!H16</f>
        <v>5474551</v>
      </c>
      <c r="I16" s="110">
        <f>'Adams Pgs 8-9'!I16+'Asotin Pgs 10-11'!I16+'Benton-Franklin Pgs 12-13'!I16+'Chelan-Douglas Pgs 14-15'!I16+'Clallam Pgs 16-17'!I16+'Clark Pgs 18-19'!I16+'Columbia Pgs 20-21'!I16+'Cowlitz Pgs 22-23'!I16+'Garfield Pgs 24-25'!I16+'Grant Pgs 26-27'!I16+'Grays Harbor Pgs 28-29'!I16+'Island Pgs 30-31'!I16+'Jefferson Pgs 32-33'!I16+'Kitsap Pgs 34-35'!I16+'Kittitas Pgs 36-37'!I16+'Klickitat Pgs 38-39'!I16+'Lewis Pgs 40-41'!I16+'Lincoln Pgs 42-43'!I16+'Mason Pgs 44-45'!I16+'Northeast Tri Pgs 46-47'!I16+'Okanogan Pgs 48-49'!I16+'Pacific Pgs 50-51'!I16+'San Juan Pgs 52-53'!I16+'[1]seattle king'!I16+'Skagit Pgs 56-57'!I16+'Skamania Pgs 58-59'!I16+'Snohomish Pgs 60-61'!I16+'Spokane Pgs 62-63'!I16+'Tacoma-Pierce Pgs 64-65'!I16+'Thurston Pgs 66-67'!I16+'Wahkiakum Pgs 68-69'!I16+'Walla Walla Pgs 70-71'!I16+'Whatcom Pgs 72-73'!I16+'Whitman Pgs 74-75'!I16+'Yakima Pgs 76-77'!I16</f>
        <v>728649</v>
      </c>
      <c r="J16" s="112">
        <f>'Adams Pgs 8-9'!J16+'Asotin Pgs 10-11'!J16+'Benton-Franklin Pgs 12-13'!J16+'Chelan-Douglas Pgs 14-15'!J16+'Clallam Pgs 16-17'!J16+'Clark Pgs 18-19'!J16+'Columbia Pgs 20-21'!J16+'Cowlitz Pgs 22-23'!J16+'Garfield Pgs 24-25'!J16+'Grant Pgs 26-27'!J16+'Grays Harbor Pgs 28-29'!J16+'Island Pgs 30-31'!J16+'Jefferson Pgs 32-33'!J16+'Kitsap Pgs 34-35'!J16+'Kittitas Pgs 36-37'!J16+'Klickitat Pgs 38-39'!J16+'Lewis Pgs 40-41'!J16+'Lincoln Pgs 42-43'!J16+'Mason Pgs 44-45'!J16+'Northeast Tri Pgs 46-47'!J16+'Okanogan Pgs 48-49'!J16+'Pacific Pgs 50-51'!J16+'San Juan Pgs 52-53'!J16+'[1]seattle king'!J16+'Skagit Pgs 56-57'!J16+'Skamania Pgs 58-59'!J16+'Snohomish Pgs 60-61'!J16+'Spokane Pgs 62-63'!J16+'Tacoma-Pierce Pgs 64-65'!J16+'Thurston Pgs 66-67'!J16+'Wahkiakum Pgs 68-69'!J16+'Walla Walla Pgs 70-71'!J16+'Whatcom Pgs 72-73'!J16+'Whitman Pgs 74-75'!J16+'Yakima Pgs 76-77'!J16</f>
        <v>207615</v>
      </c>
      <c r="K16" s="142">
        <f t="shared" si="0"/>
        <v>8772492</v>
      </c>
      <c r="L16"/>
    </row>
    <row r="17" spans="1:12" x14ac:dyDescent="0.35">
      <c r="A17" s="79">
        <v>562.35</v>
      </c>
      <c r="B17" s="16" t="s">
        <v>14</v>
      </c>
      <c r="C17" s="108">
        <f>'Adams Pgs 8-9'!C17+'Asotin Pgs 10-11'!C17+'Benton-Franklin Pgs 12-13'!C17+'Chelan-Douglas Pgs 14-15'!C17+'Clallam Pgs 16-17'!C17+'Clark Pgs 18-19'!C17+'Columbia Pgs 20-21'!C17+'Cowlitz Pgs 22-23'!C17+'Garfield Pgs 24-25'!C17+'Grant Pgs 26-27'!C17+'Grays Harbor Pgs 28-29'!C17+'Island Pgs 30-31'!C17+'Jefferson Pgs 32-33'!C17+'Kitsap Pgs 34-35'!C17+'Kittitas Pgs 36-37'!C17+'Klickitat Pgs 38-39'!C17+'Lewis Pgs 40-41'!C17+'Lincoln Pgs 42-43'!C17+'Mason Pgs 44-45'!C17+'Northeast Tri Pgs 46-47'!C17+'Okanogan Pgs 48-49'!C17+'Pacific Pgs 50-51'!C17+'San Juan Pgs 52-53'!C17+'[1]seattle king'!C17+'Skagit Pgs 56-57'!C17+'Skamania Pgs 58-59'!C17+'Snohomish Pgs 60-61'!C17+'Spokane Pgs 62-63'!C17+'Tacoma-Pierce Pgs 64-65'!C17+'Thurston Pgs 66-67'!C17+'Wahkiakum Pgs 68-69'!C17+'Walla Walla Pgs 70-71'!C17+'Whatcom Pgs 72-73'!C17+'Whitman Pgs 74-75'!C17+'Yakima Pgs 76-77'!C17</f>
        <v>4899196</v>
      </c>
      <c r="D17" s="109">
        <f>'Adams Pgs 8-9'!D17+'Asotin Pgs 10-11'!D17+'Benton-Franklin Pgs 12-13'!D17+'Chelan-Douglas Pgs 14-15'!D17+'Clallam Pgs 16-17'!D17+'Clark Pgs 18-19'!D17+'Columbia Pgs 20-21'!D17+'Cowlitz Pgs 22-23'!D17+'Garfield Pgs 24-25'!D17+'Grant Pgs 26-27'!D17+'Grays Harbor Pgs 28-29'!D17+'Island Pgs 30-31'!D17+'Jefferson Pgs 32-33'!D17+'Kitsap Pgs 34-35'!D17+'Kittitas Pgs 36-37'!D17+'Klickitat Pgs 38-39'!D17+'Lewis Pgs 40-41'!D17+'Lincoln Pgs 42-43'!D17+'Mason Pgs 44-45'!D17+'Northeast Tri Pgs 46-47'!D17+'Okanogan Pgs 48-49'!D17+'Pacific Pgs 50-51'!D17+'San Juan Pgs 52-53'!D17+'[1]seattle king'!D17+'Skagit Pgs 56-57'!D17+'Skamania Pgs 58-59'!D17+'Snohomish Pgs 60-61'!D17+'Spokane Pgs 62-63'!D17+'Tacoma-Pierce Pgs 64-65'!D17+'Thurston Pgs 66-67'!D17+'Wahkiakum Pgs 68-69'!D17+'Walla Walla Pgs 70-71'!D17+'Whatcom Pgs 72-73'!D17+'Whitman Pgs 74-75'!D17+'Yakima Pgs 76-77'!D17</f>
        <v>692685</v>
      </c>
      <c r="E17" s="110">
        <f>'Adams Pgs 8-9'!E17+'Asotin Pgs 10-11'!E17+'Benton-Franklin Pgs 12-13'!E17+'Chelan-Douglas Pgs 14-15'!E17+'Clallam Pgs 16-17'!E17+'Clark Pgs 18-19'!E17+'Columbia Pgs 20-21'!E17+'Cowlitz Pgs 22-23'!E17+'Garfield Pgs 24-25'!E17+'Grant Pgs 26-27'!E17+'Grays Harbor Pgs 28-29'!E17+'Island Pgs 30-31'!E17+'Jefferson Pgs 32-33'!E17+'Kitsap Pgs 34-35'!E17+'Kittitas Pgs 36-37'!E17+'Klickitat Pgs 38-39'!E17+'Lewis Pgs 40-41'!E17+'Lincoln Pgs 42-43'!E17+'Mason Pgs 44-45'!E17+'Northeast Tri Pgs 46-47'!E17+'Okanogan Pgs 48-49'!E17+'Pacific Pgs 50-51'!E17+'San Juan Pgs 52-53'!E17+'[1]seattle king'!E17+'Skagit Pgs 56-57'!E17+'Skamania Pgs 58-59'!E17+'Snohomish Pgs 60-61'!E17+'Spokane Pgs 62-63'!E17+'Tacoma-Pierce Pgs 64-65'!E17+'Thurston Pgs 66-67'!E17+'Wahkiakum Pgs 68-69'!E17+'Walla Walla Pgs 70-71'!E17+'Whatcom Pgs 72-73'!E17+'Whitman Pgs 74-75'!E17+'Yakima Pgs 76-77'!E17</f>
        <v>13577</v>
      </c>
      <c r="F17" s="108">
        <f>'Adams Pgs 8-9'!F17+'Asotin Pgs 10-11'!F17+'Benton-Franklin Pgs 12-13'!F17+'Chelan-Douglas Pgs 14-15'!F17+'Clallam Pgs 16-17'!F17+'Clark Pgs 18-19'!F17+'Columbia Pgs 20-21'!F17+'Cowlitz Pgs 22-23'!F17+'Garfield Pgs 24-25'!F17+'Grant Pgs 26-27'!F17+'Grays Harbor Pgs 28-29'!F17+'Island Pgs 30-31'!F17+'Jefferson Pgs 32-33'!F17+'Kitsap Pgs 34-35'!F17+'Kittitas Pgs 36-37'!F17+'Klickitat Pgs 38-39'!F17+'Lewis Pgs 40-41'!F17+'Lincoln Pgs 42-43'!F17+'Mason Pgs 44-45'!F17+'Northeast Tri Pgs 46-47'!F17+'Okanogan Pgs 48-49'!F17+'Pacific Pgs 50-51'!F17+'San Juan Pgs 52-53'!F17+'[1]seattle king'!F17+'Skagit Pgs 56-57'!F17+'Skamania Pgs 58-59'!F17+'Snohomish Pgs 60-61'!F17+'Spokane Pgs 62-63'!F17+'Tacoma-Pierce Pgs 64-65'!F17+'Thurston Pgs 66-67'!F17+'Wahkiakum Pgs 68-69'!F17+'Walla Walla Pgs 70-71'!F17+'Whatcom Pgs 72-73'!F17+'Whitman Pgs 74-75'!F17+'Yakima Pgs 76-77'!F17</f>
        <v>2713268</v>
      </c>
      <c r="G17" s="110">
        <f>'Adams Pgs 8-9'!G17+'Asotin Pgs 10-11'!G17+'Benton-Franklin Pgs 12-13'!G17+'Chelan-Douglas Pgs 14-15'!G17+'Clallam Pgs 16-17'!G17+'Clark Pgs 18-19'!G17+'Columbia Pgs 20-21'!G17+'Cowlitz Pgs 22-23'!G17+'Garfield Pgs 24-25'!G17+'Grant Pgs 26-27'!G17+'Grays Harbor Pgs 28-29'!G17+'Island Pgs 30-31'!G17+'Jefferson Pgs 32-33'!G17+'Kitsap Pgs 34-35'!G17+'Kittitas Pgs 36-37'!G17+'Klickitat Pgs 38-39'!G17+'Lewis Pgs 40-41'!G17+'Lincoln Pgs 42-43'!G17+'Mason Pgs 44-45'!G17+'Northeast Tri Pgs 46-47'!G17+'Okanogan Pgs 48-49'!G17+'Pacific Pgs 50-51'!G17+'San Juan Pgs 52-53'!G17+'[1]seattle king'!G17+'Skagit Pgs 56-57'!G17+'Skamania Pgs 58-59'!G17+'Snohomish Pgs 60-61'!G17+'Spokane Pgs 62-63'!G17+'Tacoma-Pierce Pgs 64-65'!G17+'Thurston Pgs 66-67'!G17+'Wahkiakum Pgs 68-69'!G17+'Walla Walla Pgs 70-71'!G17+'Whatcom Pgs 72-73'!G17+'Whitman Pgs 74-75'!G17+'Yakima Pgs 76-77'!G17</f>
        <v>6927043</v>
      </c>
      <c r="H17" s="111">
        <f>'Adams Pgs 8-9'!H17+'Asotin Pgs 10-11'!H17+'Benton-Franklin Pgs 12-13'!H17+'Chelan-Douglas Pgs 14-15'!H17+'Clallam Pgs 16-17'!H17+'Clark Pgs 18-19'!H17+'Columbia Pgs 20-21'!H17+'Cowlitz Pgs 22-23'!H17+'Garfield Pgs 24-25'!H17+'Grant Pgs 26-27'!H17+'Grays Harbor Pgs 28-29'!H17+'Island Pgs 30-31'!H17+'Jefferson Pgs 32-33'!H17+'Kitsap Pgs 34-35'!H17+'Kittitas Pgs 36-37'!H17+'Klickitat Pgs 38-39'!H17+'Lewis Pgs 40-41'!H17+'Lincoln Pgs 42-43'!H17+'Mason Pgs 44-45'!H17+'Northeast Tri Pgs 46-47'!H17+'Okanogan Pgs 48-49'!H17+'Pacific Pgs 50-51'!H17+'San Juan Pgs 52-53'!H17+'[1]seattle king'!H17+'Skagit Pgs 56-57'!H17+'Skamania Pgs 58-59'!H17+'Snohomish Pgs 60-61'!H17+'Spokane Pgs 62-63'!H17+'Tacoma-Pierce Pgs 64-65'!H17+'Thurston Pgs 66-67'!H17+'Wahkiakum Pgs 68-69'!H17+'Walla Walla Pgs 70-71'!H17+'Whatcom Pgs 72-73'!H17+'Whitman Pgs 74-75'!H17+'Yakima Pgs 76-77'!H17</f>
        <v>3370511</v>
      </c>
      <c r="I17" s="110">
        <f>'Adams Pgs 8-9'!I17+'Asotin Pgs 10-11'!I17+'Benton-Franklin Pgs 12-13'!I17+'Chelan-Douglas Pgs 14-15'!I17+'Clallam Pgs 16-17'!I17+'Clark Pgs 18-19'!I17+'Columbia Pgs 20-21'!I17+'Cowlitz Pgs 22-23'!I17+'Garfield Pgs 24-25'!I17+'Grant Pgs 26-27'!I17+'Grays Harbor Pgs 28-29'!I17+'Island Pgs 30-31'!I17+'Jefferson Pgs 32-33'!I17+'Kitsap Pgs 34-35'!I17+'Kittitas Pgs 36-37'!I17+'Klickitat Pgs 38-39'!I17+'Lewis Pgs 40-41'!I17+'Lincoln Pgs 42-43'!I17+'Mason Pgs 44-45'!I17+'Northeast Tri Pgs 46-47'!I17+'Okanogan Pgs 48-49'!I17+'Pacific Pgs 50-51'!I17+'San Juan Pgs 52-53'!I17+'[1]seattle king'!I17+'Skagit Pgs 56-57'!I17+'Skamania Pgs 58-59'!I17+'Snohomish Pgs 60-61'!I17+'Spokane Pgs 62-63'!I17+'Tacoma-Pierce Pgs 64-65'!I17+'Thurston Pgs 66-67'!I17+'Wahkiakum Pgs 68-69'!I17+'Walla Walla Pgs 70-71'!I17+'Whatcom Pgs 72-73'!I17+'Whitman Pgs 74-75'!I17+'Yakima Pgs 76-77'!I17</f>
        <v>379674</v>
      </c>
      <c r="J17" s="112">
        <f>'Adams Pgs 8-9'!J17+'Asotin Pgs 10-11'!J17+'Benton-Franklin Pgs 12-13'!J17+'Chelan-Douglas Pgs 14-15'!J17+'Clallam Pgs 16-17'!J17+'Clark Pgs 18-19'!J17+'Columbia Pgs 20-21'!J17+'Cowlitz Pgs 22-23'!J17+'Garfield Pgs 24-25'!J17+'Grant Pgs 26-27'!J17+'Grays Harbor Pgs 28-29'!J17+'Island Pgs 30-31'!J17+'Jefferson Pgs 32-33'!J17+'Kitsap Pgs 34-35'!J17+'Kittitas Pgs 36-37'!J17+'Klickitat Pgs 38-39'!J17+'Lewis Pgs 40-41'!J17+'Lincoln Pgs 42-43'!J17+'Mason Pgs 44-45'!J17+'Northeast Tri Pgs 46-47'!J17+'Okanogan Pgs 48-49'!J17+'Pacific Pgs 50-51'!J17+'San Juan Pgs 52-53'!J17+'[1]seattle king'!J17+'Skagit Pgs 56-57'!J17+'Skamania Pgs 58-59'!J17+'Snohomish Pgs 60-61'!J17+'Spokane Pgs 62-63'!J17+'Tacoma-Pierce Pgs 64-65'!J17+'Thurston Pgs 66-67'!J17+'Wahkiakum Pgs 68-69'!J17+'Walla Walla Pgs 70-71'!J17+'Whatcom Pgs 72-73'!J17+'Whitman Pgs 74-75'!J17+'Yakima Pgs 76-77'!J17</f>
        <v>145595</v>
      </c>
      <c r="K17" s="142">
        <f t="shared" si="0"/>
        <v>19141549</v>
      </c>
      <c r="L17"/>
    </row>
    <row r="18" spans="1:12" x14ac:dyDescent="0.35">
      <c r="A18" s="79">
        <v>562.39</v>
      </c>
      <c r="B18" s="16" t="s">
        <v>15</v>
      </c>
      <c r="C18" s="108">
        <f>'Adams Pgs 8-9'!C18+'Asotin Pgs 10-11'!C18+'Benton-Franklin Pgs 12-13'!C18+'Chelan-Douglas Pgs 14-15'!C18+'Clallam Pgs 16-17'!C18+'Clark Pgs 18-19'!C18+'Columbia Pgs 20-21'!C18+'Cowlitz Pgs 22-23'!C18+'Garfield Pgs 24-25'!C18+'Grant Pgs 26-27'!C18+'Grays Harbor Pgs 28-29'!C18+'Island Pgs 30-31'!C18+'Jefferson Pgs 32-33'!C18+'Kitsap Pgs 34-35'!C18+'Kittitas Pgs 36-37'!C18+'Klickitat Pgs 38-39'!C18+'Lewis Pgs 40-41'!C18+'Lincoln Pgs 42-43'!C18+'Mason Pgs 44-45'!C18+'Northeast Tri Pgs 46-47'!C18+'Okanogan Pgs 48-49'!C18+'Pacific Pgs 50-51'!C18+'San Juan Pgs 52-53'!C18+'[1]seattle king'!C18+'Skagit Pgs 56-57'!C18+'Skamania Pgs 58-59'!C18+'Snohomish Pgs 60-61'!C18+'Spokane Pgs 62-63'!C18+'Tacoma-Pierce Pgs 64-65'!C18+'Thurston Pgs 66-67'!C18+'Wahkiakum Pgs 68-69'!C18+'Walla Walla Pgs 70-71'!C18+'Whatcom Pgs 72-73'!C18+'Whitman Pgs 74-75'!C18+'Yakima Pgs 76-77'!C18</f>
        <v>0</v>
      </c>
      <c r="D18" s="109">
        <f>'Adams Pgs 8-9'!D18+'Asotin Pgs 10-11'!D18+'Benton-Franklin Pgs 12-13'!D18+'Chelan-Douglas Pgs 14-15'!D18+'Clallam Pgs 16-17'!D18+'Clark Pgs 18-19'!D18+'Columbia Pgs 20-21'!D18+'Cowlitz Pgs 22-23'!D18+'Garfield Pgs 24-25'!D18+'Grant Pgs 26-27'!D18+'Grays Harbor Pgs 28-29'!D18+'Island Pgs 30-31'!D18+'Jefferson Pgs 32-33'!D18+'Kitsap Pgs 34-35'!D18+'Kittitas Pgs 36-37'!D18+'Klickitat Pgs 38-39'!D18+'Lewis Pgs 40-41'!D18+'Lincoln Pgs 42-43'!D18+'Mason Pgs 44-45'!D18+'Northeast Tri Pgs 46-47'!D18+'Okanogan Pgs 48-49'!D18+'Pacific Pgs 50-51'!D18+'San Juan Pgs 52-53'!D18+'[1]seattle king'!D18+'Skagit Pgs 56-57'!D18+'Skamania Pgs 58-59'!D18+'Snohomish Pgs 60-61'!D18+'Spokane Pgs 62-63'!D18+'Tacoma-Pierce Pgs 64-65'!D18+'Thurston Pgs 66-67'!D18+'Wahkiakum Pgs 68-69'!D18+'Walla Walla Pgs 70-71'!D18+'Whatcom Pgs 72-73'!D18+'Whitman Pgs 74-75'!D18+'Yakima Pgs 76-77'!D18</f>
        <v>2459408</v>
      </c>
      <c r="E18" s="110">
        <f>'Adams Pgs 8-9'!E18+'Asotin Pgs 10-11'!E18+'Benton-Franklin Pgs 12-13'!E18+'Chelan-Douglas Pgs 14-15'!E18+'Clallam Pgs 16-17'!E18+'Clark Pgs 18-19'!E18+'Columbia Pgs 20-21'!E18+'Cowlitz Pgs 22-23'!E18+'Garfield Pgs 24-25'!E18+'Grant Pgs 26-27'!E18+'Grays Harbor Pgs 28-29'!E18+'Island Pgs 30-31'!E18+'Jefferson Pgs 32-33'!E18+'Kitsap Pgs 34-35'!E18+'Kittitas Pgs 36-37'!E18+'Klickitat Pgs 38-39'!E18+'Lewis Pgs 40-41'!E18+'Lincoln Pgs 42-43'!E18+'Mason Pgs 44-45'!E18+'Northeast Tri Pgs 46-47'!E18+'Okanogan Pgs 48-49'!E18+'Pacific Pgs 50-51'!E18+'San Juan Pgs 52-53'!E18+'[1]seattle king'!E18+'Skagit Pgs 56-57'!E18+'Skamania Pgs 58-59'!E18+'Snohomish Pgs 60-61'!E18+'Spokane Pgs 62-63'!E18+'Tacoma-Pierce Pgs 64-65'!E18+'Thurston Pgs 66-67'!E18+'Wahkiakum Pgs 68-69'!E18+'Walla Walla Pgs 70-71'!E18+'Whatcom Pgs 72-73'!E18+'Whitman Pgs 74-75'!E18+'Yakima Pgs 76-77'!E18</f>
        <v>0</v>
      </c>
      <c r="F18" s="108">
        <f>'Adams Pgs 8-9'!F18+'Asotin Pgs 10-11'!F18+'Benton-Franklin Pgs 12-13'!F18+'Chelan-Douglas Pgs 14-15'!F18+'Clallam Pgs 16-17'!F18+'Clark Pgs 18-19'!F18+'Columbia Pgs 20-21'!F18+'Cowlitz Pgs 22-23'!F18+'Garfield Pgs 24-25'!F18+'Grant Pgs 26-27'!F18+'Grays Harbor Pgs 28-29'!F18+'Island Pgs 30-31'!F18+'Jefferson Pgs 32-33'!F18+'Kitsap Pgs 34-35'!F18+'Kittitas Pgs 36-37'!F18+'Klickitat Pgs 38-39'!F18+'Lewis Pgs 40-41'!F18+'Lincoln Pgs 42-43'!F18+'Mason Pgs 44-45'!F18+'Northeast Tri Pgs 46-47'!F18+'Okanogan Pgs 48-49'!F18+'Pacific Pgs 50-51'!F18+'San Juan Pgs 52-53'!F18+'[1]seattle king'!F18+'Skagit Pgs 56-57'!F18+'Skamania Pgs 58-59'!F18+'Snohomish Pgs 60-61'!F18+'Spokane Pgs 62-63'!F18+'Tacoma-Pierce Pgs 64-65'!F18+'Thurston Pgs 66-67'!F18+'Wahkiakum Pgs 68-69'!F18+'Walla Walla Pgs 70-71'!F18+'Whatcom Pgs 72-73'!F18+'Whitman Pgs 74-75'!F18+'Yakima Pgs 76-77'!F18</f>
        <v>62291</v>
      </c>
      <c r="G18" s="110">
        <f>'Adams Pgs 8-9'!G18+'Asotin Pgs 10-11'!G18+'Benton-Franklin Pgs 12-13'!G18+'Chelan-Douglas Pgs 14-15'!G18+'Clallam Pgs 16-17'!G18+'Clark Pgs 18-19'!G18+'Columbia Pgs 20-21'!G18+'Cowlitz Pgs 22-23'!G18+'Garfield Pgs 24-25'!G18+'Grant Pgs 26-27'!G18+'Grays Harbor Pgs 28-29'!G18+'Island Pgs 30-31'!G18+'Jefferson Pgs 32-33'!G18+'Kitsap Pgs 34-35'!G18+'Kittitas Pgs 36-37'!G18+'Klickitat Pgs 38-39'!G18+'Lewis Pgs 40-41'!G18+'Lincoln Pgs 42-43'!G18+'Mason Pgs 44-45'!G18+'Northeast Tri Pgs 46-47'!G18+'Okanogan Pgs 48-49'!G18+'Pacific Pgs 50-51'!G18+'San Juan Pgs 52-53'!G18+'[1]seattle king'!G18+'Skagit Pgs 56-57'!G18+'Skamania Pgs 58-59'!G18+'Snohomish Pgs 60-61'!G18+'Spokane Pgs 62-63'!G18+'Tacoma-Pierce Pgs 64-65'!G18+'Thurston Pgs 66-67'!G18+'Wahkiakum Pgs 68-69'!G18+'Walla Walla Pgs 70-71'!G18+'Whatcom Pgs 72-73'!G18+'Whitman Pgs 74-75'!G18+'Yakima Pgs 76-77'!G18</f>
        <v>786560</v>
      </c>
      <c r="H18" s="111">
        <f>'Adams Pgs 8-9'!H18+'Asotin Pgs 10-11'!H18+'Benton-Franklin Pgs 12-13'!H18+'Chelan-Douglas Pgs 14-15'!H18+'Clallam Pgs 16-17'!H18+'Clark Pgs 18-19'!H18+'Columbia Pgs 20-21'!H18+'Cowlitz Pgs 22-23'!H18+'Garfield Pgs 24-25'!H18+'Grant Pgs 26-27'!H18+'Grays Harbor Pgs 28-29'!H18+'Island Pgs 30-31'!H18+'Jefferson Pgs 32-33'!H18+'Kitsap Pgs 34-35'!H18+'Kittitas Pgs 36-37'!H18+'Klickitat Pgs 38-39'!H18+'Lewis Pgs 40-41'!H18+'Lincoln Pgs 42-43'!H18+'Mason Pgs 44-45'!H18+'Northeast Tri Pgs 46-47'!H18+'Okanogan Pgs 48-49'!H18+'Pacific Pgs 50-51'!H18+'San Juan Pgs 52-53'!H18+'[1]seattle king'!H18+'Skagit Pgs 56-57'!H18+'Skamania Pgs 58-59'!H18+'Snohomish Pgs 60-61'!H18+'Spokane Pgs 62-63'!H18+'Tacoma-Pierce Pgs 64-65'!H18+'Thurston Pgs 66-67'!H18+'Wahkiakum Pgs 68-69'!H18+'Walla Walla Pgs 70-71'!H18+'Whatcom Pgs 72-73'!H18+'Whitman Pgs 74-75'!H18+'Yakima Pgs 76-77'!H18</f>
        <v>2296659</v>
      </c>
      <c r="I18" s="110">
        <f>'Adams Pgs 8-9'!I18+'Asotin Pgs 10-11'!I18+'Benton-Franklin Pgs 12-13'!I18+'Chelan-Douglas Pgs 14-15'!I18+'Clallam Pgs 16-17'!I18+'Clark Pgs 18-19'!I18+'Columbia Pgs 20-21'!I18+'Cowlitz Pgs 22-23'!I18+'Garfield Pgs 24-25'!I18+'Grant Pgs 26-27'!I18+'Grays Harbor Pgs 28-29'!I18+'Island Pgs 30-31'!I18+'Jefferson Pgs 32-33'!I18+'Kitsap Pgs 34-35'!I18+'Kittitas Pgs 36-37'!I18+'Klickitat Pgs 38-39'!I18+'Lewis Pgs 40-41'!I18+'Lincoln Pgs 42-43'!I18+'Mason Pgs 44-45'!I18+'Northeast Tri Pgs 46-47'!I18+'Okanogan Pgs 48-49'!I18+'Pacific Pgs 50-51'!I18+'San Juan Pgs 52-53'!I18+'[1]seattle king'!I18+'Skagit Pgs 56-57'!I18+'Skamania Pgs 58-59'!I18+'Snohomish Pgs 60-61'!I18+'Spokane Pgs 62-63'!I18+'Tacoma-Pierce Pgs 64-65'!I18+'Thurston Pgs 66-67'!I18+'Wahkiakum Pgs 68-69'!I18+'Walla Walla Pgs 70-71'!I18+'Whatcom Pgs 72-73'!I18+'Whitman Pgs 74-75'!I18+'Yakima Pgs 76-77'!I18</f>
        <v>4634</v>
      </c>
      <c r="J18" s="112">
        <f>'Adams Pgs 8-9'!J18+'Asotin Pgs 10-11'!J18+'Benton-Franklin Pgs 12-13'!J18+'Chelan-Douglas Pgs 14-15'!J18+'Clallam Pgs 16-17'!J18+'Clark Pgs 18-19'!J18+'Columbia Pgs 20-21'!J18+'Cowlitz Pgs 22-23'!J18+'Garfield Pgs 24-25'!J18+'Grant Pgs 26-27'!J18+'Grays Harbor Pgs 28-29'!J18+'Island Pgs 30-31'!J18+'Jefferson Pgs 32-33'!J18+'Kitsap Pgs 34-35'!J18+'Kittitas Pgs 36-37'!J18+'Klickitat Pgs 38-39'!J18+'Lewis Pgs 40-41'!J18+'Lincoln Pgs 42-43'!J18+'Mason Pgs 44-45'!J18+'Northeast Tri Pgs 46-47'!J18+'Okanogan Pgs 48-49'!J18+'Pacific Pgs 50-51'!J18+'San Juan Pgs 52-53'!J18+'[1]seattle king'!J18+'Skagit Pgs 56-57'!J18+'Skamania Pgs 58-59'!J18+'Snohomish Pgs 60-61'!J18+'Spokane Pgs 62-63'!J18+'Tacoma-Pierce Pgs 64-65'!J18+'Thurston Pgs 66-67'!J18+'Wahkiakum Pgs 68-69'!J18+'Walla Walla Pgs 70-71'!J18+'Whatcom Pgs 72-73'!J18+'Whitman Pgs 74-75'!J18+'Yakima Pgs 76-77'!J18</f>
        <v>161502</v>
      </c>
      <c r="K18" s="142">
        <f t="shared" si="0"/>
        <v>5771054</v>
      </c>
      <c r="L18"/>
    </row>
    <row r="19" spans="1:12" x14ac:dyDescent="0.35">
      <c r="A19" s="79">
        <v>562.41</v>
      </c>
      <c r="B19" s="16" t="s">
        <v>16</v>
      </c>
      <c r="C19" s="108">
        <f>'Adams Pgs 8-9'!C19+'Asotin Pgs 10-11'!C19+'Benton-Franklin Pgs 12-13'!C19+'Chelan-Douglas Pgs 14-15'!C19+'Clallam Pgs 16-17'!C19+'Clark Pgs 18-19'!C19+'Columbia Pgs 20-21'!C19+'Cowlitz Pgs 22-23'!C19+'Garfield Pgs 24-25'!C19+'Grant Pgs 26-27'!C19+'Grays Harbor Pgs 28-29'!C19+'Island Pgs 30-31'!C19+'Jefferson Pgs 32-33'!C19+'Kitsap Pgs 34-35'!C19+'Kittitas Pgs 36-37'!C19+'Klickitat Pgs 38-39'!C19+'Lewis Pgs 40-41'!C19+'Lincoln Pgs 42-43'!C19+'Mason Pgs 44-45'!C19+'Northeast Tri Pgs 46-47'!C19+'Okanogan Pgs 48-49'!C19+'Pacific Pgs 50-51'!C19+'San Juan Pgs 52-53'!C19+'[1]seattle king'!C19+'Skagit Pgs 56-57'!C19+'Skamania Pgs 58-59'!C19+'Snohomish Pgs 60-61'!C19+'Spokane Pgs 62-63'!C19+'Tacoma-Pierce Pgs 64-65'!C19+'Thurston Pgs 66-67'!C19+'Wahkiakum Pgs 68-69'!C19+'Walla Walla Pgs 70-71'!C19+'Whatcom Pgs 72-73'!C19+'Whitman Pgs 74-75'!C19+'Yakima Pgs 76-77'!C19</f>
        <v>0</v>
      </c>
      <c r="D19" s="109">
        <f>'Adams Pgs 8-9'!D19+'Asotin Pgs 10-11'!D19+'Benton-Franklin Pgs 12-13'!D19+'Chelan-Douglas Pgs 14-15'!D19+'Clallam Pgs 16-17'!D19+'Clark Pgs 18-19'!D19+'Columbia Pgs 20-21'!D19+'Cowlitz Pgs 22-23'!D19+'Garfield Pgs 24-25'!D19+'Grant Pgs 26-27'!D19+'Grays Harbor Pgs 28-29'!D19+'Island Pgs 30-31'!D19+'Jefferson Pgs 32-33'!D19+'Kitsap Pgs 34-35'!D19+'Kittitas Pgs 36-37'!D19+'Klickitat Pgs 38-39'!D19+'Lewis Pgs 40-41'!D19+'Lincoln Pgs 42-43'!D19+'Mason Pgs 44-45'!D19+'Northeast Tri Pgs 46-47'!D19+'Okanogan Pgs 48-49'!D19+'Pacific Pgs 50-51'!D19+'San Juan Pgs 52-53'!D19+'[1]seattle king'!D19+'Skagit Pgs 56-57'!D19+'Skamania Pgs 58-59'!D19+'Snohomish Pgs 60-61'!D19+'Spokane Pgs 62-63'!D19+'Tacoma-Pierce Pgs 64-65'!D19+'Thurston Pgs 66-67'!D19+'Wahkiakum Pgs 68-69'!D19+'Walla Walla Pgs 70-71'!D19+'Whatcom Pgs 72-73'!D19+'Whitman Pgs 74-75'!D19+'Yakima Pgs 76-77'!D19</f>
        <v>16193</v>
      </c>
      <c r="E19" s="110">
        <f>'Adams Pgs 8-9'!E19+'Asotin Pgs 10-11'!E19+'Benton-Franklin Pgs 12-13'!E19+'Chelan-Douglas Pgs 14-15'!E19+'Clallam Pgs 16-17'!E19+'Clark Pgs 18-19'!E19+'Columbia Pgs 20-21'!E19+'Cowlitz Pgs 22-23'!E19+'Garfield Pgs 24-25'!E19+'Grant Pgs 26-27'!E19+'Grays Harbor Pgs 28-29'!E19+'Island Pgs 30-31'!E19+'Jefferson Pgs 32-33'!E19+'Kitsap Pgs 34-35'!E19+'Kittitas Pgs 36-37'!E19+'Klickitat Pgs 38-39'!E19+'Lewis Pgs 40-41'!E19+'Lincoln Pgs 42-43'!E19+'Mason Pgs 44-45'!E19+'Northeast Tri Pgs 46-47'!E19+'Okanogan Pgs 48-49'!E19+'Pacific Pgs 50-51'!E19+'San Juan Pgs 52-53'!E19+'[1]seattle king'!E19+'Skagit Pgs 56-57'!E19+'Skamania Pgs 58-59'!E19+'Snohomish Pgs 60-61'!E19+'Spokane Pgs 62-63'!E19+'Tacoma-Pierce Pgs 64-65'!E19+'Thurston Pgs 66-67'!E19+'Wahkiakum Pgs 68-69'!E19+'Walla Walla Pgs 70-71'!E19+'Whatcom Pgs 72-73'!E19+'Whitman Pgs 74-75'!E19+'Yakima Pgs 76-77'!E19</f>
        <v>0</v>
      </c>
      <c r="F19" s="108">
        <f>'Adams Pgs 8-9'!F19+'Asotin Pgs 10-11'!F19+'Benton-Franklin Pgs 12-13'!F19+'Chelan-Douglas Pgs 14-15'!F19+'Clallam Pgs 16-17'!F19+'Clark Pgs 18-19'!F19+'Columbia Pgs 20-21'!F19+'Cowlitz Pgs 22-23'!F19+'Garfield Pgs 24-25'!F19+'Grant Pgs 26-27'!F19+'Grays Harbor Pgs 28-29'!F19+'Island Pgs 30-31'!F19+'Jefferson Pgs 32-33'!F19+'Kitsap Pgs 34-35'!F19+'Kittitas Pgs 36-37'!F19+'Klickitat Pgs 38-39'!F19+'Lewis Pgs 40-41'!F19+'Lincoln Pgs 42-43'!F19+'Mason Pgs 44-45'!F19+'Northeast Tri Pgs 46-47'!F19+'Okanogan Pgs 48-49'!F19+'Pacific Pgs 50-51'!F19+'San Juan Pgs 52-53'!F19+'[1]seattle king'!F19+'Skagit Pgs 56-57'!F19+'Skamania Pgs 58-59'!F19+'Snohomish Pgs 60-61'!F19+'Spokane Pgs 62-63'!F19+'Tacoma-Pierce Pgs 64-65'!F19+'Thurston Pgs 66-67'!F19+'Wahkiakum Pgs 68-69'!F19+'Walla Walla Pgs 70-71'!F19+'Whatcom Pgs 72-73'!F19+'Whitman Pgs 74-75'!F19+'Yakima Pgs 76-77'!F19</f>
        <v>433531</v>
      </c>
      <c r="G19" s="110">
        <f>'Adams Pgs 8-9'!G19+'Asotin Pgs 10-11'!G19+'Benton-Franklin Pgs 12-13'!G19+'Chelan-Douglas Pgs 14-15'!G19+'Clallam Pgs 16-17'!G19+'Clark Pgs 18-19'!G19+'Columbia Pgs 20-21'!G19+'Cowlitz Pgs 22-23'!G19+'Garfield Pgs 24-25'!G19+'Grant Pgs 26-27'!G19+'Grays Harbor Pgs 28-29'!G19+'Island Pgs 30-31'!G19+'Jefferson Pgs 32-33'!G19+'Kitsap Pgs 34-35'!G19+'Kittitas Pgs 36-37'!G19+'Klickitat Pgs 38-39'!G19+'Lewis Pgs 40-41'!G19+'Lincoln Pgs 42-43'!G19+'Mason Pgs 44-45'!G19+'Northeast Tri Pgs 46-47'!G19+'Okanogan Pgs 48-49'!G19+'Pacific Pgs 50-51'!G19+'San Juan Pgs 52-53'!G19+'[1]seattle king'!G19+'Skagit Pgs 56-57'!G19+'Skamania Pgs 58-59'!G19+'Snohomish Pgs 60-61'!G19+'Spokane Pgs 62-63'!G19+'Tacoma-Pierce Pgs 64-65'!G19+'Thurston Pgs 66-67'!G19+'Wahkiakum Pgs 68-69'!G19+'Walla Walla Pgs 70-71'!G19+'Whatcom Pgs 72-73'!G19+'Whitman Pgs 74-75'!G19+'Yakima Pgs 76-77'!G19</f>
        <v>93017</v>
      </c>
      <c r="H19" s="111">
        <f>'Adams Pgs 8-9'!H19+'Asotin Pgs 10-11'!H19+'Benton-Franklin Pgs 12-13'!H19+'Chelan-Douglas Pgs 14-15'!H19+'Clallam Pgs 16-17'!H19+'Clark Pgs 18-19'!H19+'Columbia Pgs 20-21'!H19+'Cowlitz Pgs 22-23'!H19+'Garfield Pgs 24-25'!H19+'Grant Pgs 26-27'!H19+'Grays Harbor Pgs 28-29'!H19+'Island Pgs 30-31'!H19+'Jefferson Pgs 32-33'!H19+'Kitsap Pgs 34-35'!H19+'Kittitas Pgs 36-37'!H19+'Klickitat Pgs 38-39'!H19+'Lewis Pgs 40-41'!H19+'Lincoln Pgs 42-43'!H19+'Mason Pgs 44-45'!H19+'Northeast Tri Pgs 46-47'!H19+'Okanogan Pgs 48-49'!H19+'Pacific Pgs 50-51'!H19+'San Juan Pgs 52-53'!H19+'[1]seattle king'!H19+'Skagit Pgs 56-57'!H19+'Skamania Pgs 58-59'!H19+'Snohomish Pgs 60-61'!H19+'Spokane Pgs 62-63'!H19+'Tacoma-Pierce Pgs 64-65'!H19+'Thurston Pgs 66-67'!H19+'Wahkiakum Pgs 68-69'!H19+'Walla Walla Pgs 70-71'!H19+'Whatcom Pgs 72-73'!H19+'Whitman Pgs 74-75'!H19+'Yakima Pgs 76-77'!H19</f>
        <v>59</v>
      </c>
      <c r="I19" s="110">
        <f>'Adams Pgs 8-9'!I19+'Asotin Pgs 10-11'!I19+'Benton-Franklin Pgs 12-13'!I19+'Chelan-Douglas Pgs 14-15'!I19+'Clallam Pgs 16-17'!I19+'Clark Pgs 18-19'!I19+'Columbia Pgs 20-21'!I19+'Cowlitz Pgs 22-23'!I19+'Garfield Pgs 24-25'!I19+'Grant Pgs 26-27'!I19+'Grays Harbor Pgs 28-29'!I19+'Island Pgs 30-31'!I19+'Jefferson Pgs 32-33'!I19+'Kitsap Pgs 34-35'!I19+'Kittitas Pgs 36-37'!I19+'Klickitat Pgs 38-39'!I19+'Lewis Pgs 40-41'!I19+'Lincoln Pgs 42-43'!I19+'Mason Pgs 44-45'!I19+'Northeast Tri Pgs 46-47'!I19+'Okanogan Pgs 48-49'!I19+'Pacific Pgs 50-51'!I19+'San Juan Pgs 52-53'!I19+'[1]seattle king'!I19+'Skagit Pgs 56-57'!I19+'Skamania Pgs 58-59'!I19+'Snohomish Pgs 60-61'!I19+'Spokane Pgs 62-63'!I19+'Tacoma-Pierce Pgs 64-65'!I19+'Thurston Pgs 66-67'!I19+'Wahkiakum Pgs 68-69'!I19+'Walla Walla Pgs 70-71'!I19+'Whatcom Pgs 72-73'!I19+'Whitman Pgs 74-75'!I19+'Yakima Pgs 76-77'!I19</f>
        <v>0</v>
      </c>
      <c r="J19" s="112">
        <f>'Adams Pgs 8-9'!J19+'Asotin Pgs 10-11'!J19+'Benton-Franklin Pgs 12-13'!J19+'Chelan-Douglas Pgs 14-15'!J19+'Clallam Pgs 16-17'!J19+'Clark Pgs 18-19'!J19+'Columbia Pgs 20-21'!J19+'Cowlitz Pgs 22-23'!J19+'Garfield Pgs 24-25'!J19+'Grant Pgs 26-27'!J19+'Grays Harbor Pgs 28-29'!J19+'Island Pgs 30-31'!J19+'Jefferson Pgs 32-33'!J19+'Kitsap Pgs 34-35'!J19+'Kittitas Pgs 36-37'!J19+'Klickitat Pgs 38-39'!J19+'Lewis Pgs 40-41'!J19+'Lincoln Pgs 42-43'!J19+'Mason Pgs 44-45'!J19+'Northeast Tri Pgs 46-47'!J19+'Okanogan Pgs 48-49'!J19+'Pacific Pgs 50-51'!J19+'San Juan Pgs 52-53'!J19+'[1]seattle king'!J19+'Skagit Pgs 56-57'!J19+'Skamania Pgs 58-59'!J19+'Snohomish Pgs 60-61'!J19+'Spokane Pgs 62-63'!J19+'Tacoma-Pierce Pgs 64-65'!J19+'Thurston Pgs 66-67'!J19+'Wahkiakum Pgs 68-69'!J19+'Walla Walla Pgs 70-71'!J19+'Whatcom Pgs 72-73'!J19+'Whitman Pgs 74-75'!J19+'Yakima Pgs 76-77'!J19</f>
        <v>4497</v>
      </c>
      <c r="K19" s="142">
        <f t="shared" si="0"/>
        <v>547297</v>
      </c>
      <c r="L19"/>
    </row>
    <row r="20" spans="1:12" x14ac:dyDescent="0.35">
      <c r="A20" s="79">
        <v>562.41999999999996</v>
      </c>
      <c r="B20" s="16" t="s">
        <v>17</v>
      </c>
      <c r="C20" s="108">
        <f>'Adams Pgs 8-9'!C20+'Asotin Pgs 10-11'!C20+'Benton-Franklin Pgs 12-13'!C20+'Chelan-Douglas Pgs 14-15'!C20+'Clallam Pgs 16-17'!C20+'Clark Pgs 18-19'!C20+'Columbia Pgs 20-21'!C20+'Cowlitz Pgs 22-23'!C20+'Garfield Pgs 24-25'!C20+'Grant Pgs 26-27'!C20+'Grays Harbor Pgs 28-29'!C20+'Island Pgs 30-31'!C20+'Jefferson Pgs 32-33'!C20+'Kitsap Pgs 34-35'!C20+'Kittitas Pgs 36-37'!C20+'Klickitat Pgs 38-39'!C20+'Lewis Pgs 40-41'!C20+'Lincoln Pgs 42-43'!C20+'Mason Pgs 44-45'!C20+'Northeast Tri Pgs 46-47'!C20+'Okanogan Pgs 48-49'!C20+'Pacific Pgs 50-51'!C20+'San Juan Pgs 52-53'!C20+'[1]seattle king'!C20+'Skagit Pgs 56-57'!C20+'Skamania Pgs 58-59'!C20+'Snohomish Pgs 60-61'!C20+'Spokane Pgs 62-63'!C20+'Tacoma-Pierce Pgs 64-65'!C20+'Thurston Pgs 66-67'!C20+'Wahkiakum Pgs 68-69'!C20+'Walla Walla Pgs 70-71'!C20+'Whatcom Pgs 72-73'!C20+'Whitman Pgs 74-75'!C20+'Yakima Pgs 76-77'!C20</f>
        <v>0</v>
      </c>
      <c r="D20" s="109">
        <f>'Adams Pgs 8-9'!D20+'Asotin Pgs 10-11'!D20+'Benton-Franklin Pgs 12-13'!D20+'Chelan-Douglas Pgs 14-15'!D20+'Clallam Pgs 16-17'!D20+'Clark Pgs 18-19'!D20+'Columbia Pgs 20-21'!D20+'Cowlitz Pgs 22-23'!D20+'Garfield Pgs 24-25'!D20+'Grant Pgs 26-27'!D20+'Grays Harbor Pgs 28-29'!D20+'Island Pgs 30-31'!D20+'Jefferson Pgs 32-33'!D20+'Kitsap Pgs 34-35'!D20+'Kittitas Pgs 36-37'!D20+'Klickitat Pgs 38-39'!D20+'Lewis Pgs 40-41'!D20+'Lincoln Pgs 42-43'!D20+'Mason Pgs 44-45'!D20+'Northeast Tri Pgs 46-47'!D20+'Okanogan Pgs 48-49'!D20+'Pacific Pgs 50-51'!D20+'San Juan Pgs 52-53'!D20+'[1]seattle king'!D20+'Skagit Pgs 56-57'!D20+'Skamania Pgs 58-59'!D20+'Snohomish Pgs 60-61'!D20+'Spokane Pgs 62-63'!D20+'Tacoma-Pierce Pgs 64-65'!D20+'Thurston Pgs 66-67'!D20+'Wahkiakum Pgs 68-69'!D20+'Walla Walla Pgs 70-71'!D20+'Whatcom Pgs 72-73'!D20+'Whitman Pgs 74-75'!D20+'Yakima Pgs 76-77'!D20</f>
        <v>572638</v>
      </c>
      <c r="E20" s="110">
        <f>'Adams Pgs 8-9'!E20+'Asotin Pgs 10-11'!E20+'Benton-Franklin Pgs 12-13'!E20+'Chelan-Douglas Pgs 14-15'!E20+'Clallam Pgs 16-17'!E20+'Clark Pgs 18-19'!E20+'Columbia Pgs 20-21'!E20+'Cowlitz Pgs 22-23'!E20+'Garfield Pgs 24-25'!E20+'Grant Pgs 26-27'!E20+'Grays Harbor Pgs 28-29'!E20+'Island Pgs 30-31'!E20+'Jefferson Pgs 32-33'!E20+'Kitsap Pgs 34-35'!E20+'Kittitas Pgs 36-37'!E20+'Klickitat Pgs 38-39'!E20+'Lewis Pgs 40-41'!E20+'Lincoln Pgs 42-43'!E20+'Mason Pgs 44-45'!E20+'Northeast Tri Pgs 46-47'!E20+'Okanogan Pgs 48-49'!E20+'Pacific Pgs 50-51'!E20+'San Juan Pgs 52-53'!E20+'[1]seattle king'!E20+'Skagit Pgs 56-57'!E20+'Skamania Pgs 58-59'!E20+'Snohomish Pgs 60-61'!E20+'Spokane Pgs 62-63'!E20+'Tacoma-Pierce Pgs 64-65'!E20+'Thurston Pgs 66-67'!E20+'Wahkiakum Pgs 68-69'!E20+'Walla Walla Pgs 70-71'!E20+'Whatcom Pgs 72-73'!E20+'Whitman Pgs 74-75'!E20+'Yakima Pgs 76-77'!E20</f>
        <v>86</v>
      </c>
      <c r="F20" s="108">
        <f>'Adams Pgs 8-9'!F20+'Asotin Pgs 10-11'!F20+'Benton-Franklin Pgs 12-13'!F20+'Chelan-Douglas Pgs 14-15'!F20+'Clallam Pgs 16-17'!F20+'Clark Pgs 18-19'!F20+'Columbia Pgs 20-21'!F20+'Cowlitz Pgs 22-23'!F20+'Garfield Pgs 24-25'!F20+'Grant Pgs 26-27'!F20+'Grays Harbor Pgs 28-29'!F20+'Island Pgs 30-31'!F20+'Jefferson Pgs 32-33'!F20+'Kitsap Pgs 34-35'!F20+'Kittitas Pgs 36-37'!F20+'Klickitat Pgs 38-39'!F20+'Lewis Pgs 40-41'!F20+'Lincoln Pgs 42-43'!F20+'Mason Pgs 44-45'!F20+'Northeast Tri Pgs 46-47'!F20+'Okanogan Pgs 48-49'!F20+'Pacific Pgs 50-51'!F20+'San Juan Pgs 52-53'!F20+'[1]seattle king'!F20+'Skagit Pgs 56-57'!F20+'Skamania Pgs 58-59'!F20+'Snohomish Pgs 60-61'!F20+'Spokane Pgs 62-63'!F20+'Tacoma-Pierce Pgs 64-65'!F20+'Thurston Pgs 66-67'!F20+'Wahkiakum Pgs 68-69'!F20+'Walla Walla Pgs 70-71'!F20+'Whatcom Pgs 72-73'!F20+'Whitman Pgs 74-75'!F20+'Yakima Pgs 76-77'!F20</f>
        <v>161362</v>
      </c>
      <c r="G20" s="110">
        <f>'Adams Pgs 8-9'!G20+'Asotin Pgs 10-11'!G20+'Benton-Franklin Pgs 12-13'!G20+'Chelan-Douglas Pgs 14-15'!G20+'Clallam Pgs 16-17'!G20+'Clark Pgs 18-19'!G20+'Columbia Pgs 20-21'!G20+'Cowlitz Pgs 22-23'!G20+'Garfield Pgs 24-25'!G20+'Grant Pgs 26-27'!G20+'Grays Harbor Pgs 28-29'!G20+'Island Pgs 30-31'!G20+'Jefferson Pgs 32-33'!G20+'Kitsap Pgs 34-35'!G20+'Kittitas Pgs 36-37'!G20+'Klickitat Pgs 38-39'!G20+'Lewis Pgs 40-41'!G20+'Lincoln Pgs 42-43'!G20+'Mason Pgs 44-45'!G20+'Northeast Tri Pgs 46-47'!G20+'Okanogan Pgs 48-49'!G20+'Pacific Pgs 50-51'!G20+'San Juan Pgs 52-53'!G20+'[1]seattle king'!G20+'Skagit Pgs 56-57'!G20+'Skamania Pgs 58-59'!G20+'Snohomish Pgs 60-61'!G20+'Spokane Pgs 62-63'!G20+'Tacoma-Pierce Pgs 64-65'!G20+'Thurston Pgs 66-67'!G20+'Wahkiakum Pgs 68-69'!G20+'Walla Walla Pgs 70-71'!G20+'Whatcom Pgs 72-73'!G20+'Whitman Pgs 74-75'!G20+'Yakima Pgs 76-77'!G20</f>
        <v>156225</v>
      </c>
      <c r="H20" s="111">
        <f>'Adams Pgs 8-9'!H20+'Asotin Pgs 10-11'!H20+'Benton-Franklin Pgs 12-13'!H20+'Chelan-Douglas Pgs 14-15'!H20+'Clallam Pgs 16-17'!H20+'Clark Pgs 18-19'!H20+'Columbia Pgs 20-21'!H20+'Cowlitz Pgs 22-23'!H20+'Garfield Pgs 24-25'!H20+'Grant Pgs 26-27'!H20+'Grays Harbor Pgs 28-29'!H20+'Island Pgs 30-31'!H20+'Jefferson Pgs 32-33'!H20+'Kitsap Pgs 34-35'!H20+'Kittitas Pgs 36-37'!H20+'Klickitat Pgs 38-39'!H20+'Lewis Pgs 40-41'!H20+'Lincoln Pgs 42-43'!H20+'Mason Pgs 44-45'!H20+'Northeast Tri Pgs 46-47'!H20+'Okanogan Pgs 48-49'!H20+'Pacific Pgs 50-51'!H20+'San Juan Pgs 52-53'!H20+'[1]seattle king'!H20+'Skagit Pgs 56-57'!H20+'Skamania Pgs 58-59'!H20+'Snohomish Pgs 60-61'!H20+'Spokane Pgs 62-63'!H20+'Tacoma-Pierce Pgs 64-65'!H20+'Thurston Pgs 66-67'!H20+'Wahkiakum Pgs 68-69'!H20+'Walla Walla Pgs 70-71'!H20+'Whatcom Pgs 72-73'!H20+'Whitman Pgs 74-75'!H20+'Yakima Pgs 76-77'!H20</f>
        <v>977318</v>
      </c>
      <c r="I20" s="110">
        <f>'Adams Pgs 8-9'!I20+'Asotin Pgs 10-11'!I20+'Benton-Franklin Pgs 12-13'!I20+'Chelan-Douglas Pgs 14-15'!I20+'Clallam Pgs 16-17'!I20+'Clark Pgs 18-19'!I20+'Columbia Pgs 20-21'!I20+'Cowlitz Pgs 22-23'!I20+'Garfield Pgs 24-25'!I20+'Grant Pgs 26-27'!I20+'Grays Harbor Pgs 28-29'!I20+'Island Pgs 30-31'!I20+'Jefferson Pgs 32-33'!I20+'Kitsap Pgs 34-35'!I20+'Kittitas Pgs 36-37'!I20+'Klickitat Pgs 38-39'!I20+'Lewis Pgs 40-41'!I20+'Lincoln Pgs 42-43'!I20+'Mason Pgs 44-45'!I20+'Northeast Tri Pgs 46-47'!I20+'Okanogan Pgs 48-49'!I20+'Pacific Pgs 50-51'!I20+'San Juan Pgs 52-53'!I20+'[1]seattle king'!I20+'Skagit Pgs 56-57'!I20+'Skamania Pgs 58-59'!I20+'Snohomish Pgs 60-61'!I20+'Spokane Pgs 62-63'!I20+'Tacoma-Pierce Pgs 64-65'!I20+'Thurston Pgs 66-67'!I20+'Wahkiakum Pgs 68-69'!I20+'Walla Walla Pgs 70-71'!I20+'Whatcom Pgs 72-73'!I20+'Whitman Pgs 74-75'!I20+'Yakima Pgs 76-77'!I20</f>
        <v>0</v>
      </c>
      <c r="J20" s="112">
        <f>'Adams Pgs 8-9'!J20+'Asotin Pgs 10-11'!J20+'Benton-Franklin Pgs 12-13'!J20+'Chelan-Douglas Pgs 14-15'!J20+'Clallam Pgs 16-17'!J20+'Clark Pgs 18-19'!J20+'Columbia Pgs 20-21'!J20+'Cowlitz Pgs 22-23'!J20+'Garfield Pgs 24-25'!J20+'Grant Pgs 26-27'!J20+'Grays Harbor Pgs 28-29'!J20+'Island Pgs 30-31'!J20+'Jefferson Pgs 32-33'!J20+'Kitsap Pgs 34-35'!J20+'Kittitas Pgs 36-37'!J20+'Klickitat Pgs 38-39'!J20+'Lewis Pgs 40-41'!J20+'Lincoln Pgs 42-43'!J20+'Mason Pgs 44-45'!J20+'Northeast Tri Pgs 46-47'!J20+'Okanogan Pgs 48-49'!J20+'Pacific Pgs 50-51'!J20+'San Juan Pgs 52-53'!J20+'[1]seattle king'!J20+'Skagit Pgs 56-57'!J20+'Skamania Pgs 58-59'!J20+'Snohomish Pgs 60-61'!J20+'Spokane Pgs 62-63'!J20+'Tacoma-Pierce Pgs 64-65'!J20+'Thurston Pgs 66-67'!J20+'Wahkiakum Pgs 68-69'!J20+'Walla Walla Pgs 70-71'!J20+'Whatcom Pgs 72-73'!J20+'Whitman Pgs 74-75'!J20+'Yakima Pgs 76-77'!J20</f>
        <v>1041</v>
      </c>
      <c r="K20" s="142">
        <f t="shared" si="0"/>
        <v>1868670</v>
      </c>
      <c r="L20"/>
    </row>
    <row r="21" spans="1:12" x14ac:dyDescent="0.35">
      <c r="A21" s="79">
        <v>562.42999999999995</v>
      </c>
      <c r="B21" s="29" t="s">
        <v>56</v>
      </c>
      <c r="C21" s="108">
        <f>'Adams Pgs 8-9'!C21+'Asotin Pgs 10-11'!C21+'Benton-Franklin Pgs 12-13'!C21+'Chelan-Douglas Pgs 14-15'!C21+'Clallam Pgs 16-17'!C21+'Clark Pgs 18-19'!C21+'Columbia Pgs 20-21'!C21+'Cowlitz Pgs 22-23'!C21+'Garfield Pgs 24-25'!C21+'Grant Pgs 26-27'!C21+'Grays Harbor Pgs 28-29'!C21+'Island Pgs 30-31'!C21+'Jefferson Pgs 32-33'!C21+'Kitsap Pgs 34-35'!C21+'Kittitas Pgs 36-37'!C21+'Klickitat Pgs 38-39'!C21+'Lewis Pgs 40-41'!C21+'Lincoln Pgs 42-43'!C21+'Mason Pgs 44-45'!C21+'Northeast Tri Pgs 46-47'!C21+'Okanogan Pgs 48-49'!C21+'Pacific Pgs 50-51'!C21+'San Juan Pgs 52-53'!C21+'[1]seattle king'!C21+'Skagit Pgs 56-57'!C21+'Skamania Pgs 58-59'!C21+'Snohomish Pgs 60-61'!C21+'Spokane Pgs 62-63'!C21+'Tacoma-Pierce Pgs 64-65'!C21+'Thurston Pgs 66-67'!C21+'Wahkiakum Pgs 68-69'!C21+'Walla Walla Pgs 70-71'!C21+'Whatcom Pgs 72-73'!C21+'Whitman Pgs 74-75'!C21+'Yakima Pgs 76-77'!C21</f>
        <v>256578</v>
      </c>
      <c r="D21" s="109">
        <f>'Adams Pgs 8-9'!D21+'Asotin Pgs 10-11'!D21+'Benton-Franklin Pgs 12-13'!D21+'Chelan-Douglas Pgs 14-15'!D21+'Clallam Pgs 16-17'!D21+'Clark Pgs 18-19'!D21+'Columbia Pgs 20-21'!D21+'Cowlitz Pgs 22-23'!D21+'Garfield Pgs 24-25'!D21+'Grant Pgs 26-27'!D21+'Grays Harbor Pgs 28-29'!D21+'Island Pgs 30-31'!D21+'Jefferson Pgs 32-33'!D21+'Kitsap Pgs 34-35'!D21+'Kittitas Pgs 36-37'!D21+'Klickitat Pgs 38-39'!D21+'Lewis Pgs 40-41'!D21+'Lincoln Pgs 42-43'!D21+'Mason Pgs 44-45'!D21+'Northeast Tri Pgs 46-47'!D21+'Okanogan Pgs 48-49'!D21+'Pacific Pgs 50-51'!D21+'San Juan Pgs 52-53'!D21+'[1]seattle king'!D21+'Skagit Pgs 56-57'!D21+'Skamania Pgs 58-59'!D21+'Snohomish Pgs 60-61'!D21+'Spokane Pgs 62-63'!D21+'Tacoma-Pierce Pgs 64-65'!D21+'Thurston Pgs 66-67'!D21+'Wahkiakum Pgs 68-69'!D21+'Walla Walla Pgs 70-71'!D21+'Whatcom Pgs 72-73'!D21+'Whitman Pgs 74-75'!D21+'Yakima Pgs 76-77'!D21</f>
        <v>51743</v>
      </c>
      <c r="E21" s="110">
        <f>'Adams Pgs 8-9'!E21+'Asotin Pgs 10-11'!E21+'Benton-Franklin Pgs 12-13'!E21+'Chelan-Douglas Pgs 14-15'!E21+'Clallam Pgs 16-17'!E21+'Clark Pgs 18-19'!E21+'Columbia Pgs 20-21'!E21+'Cowlitz Pgs 22-23'!E21+'Garfield Pgs 24-25'!E21+'Grant Pgs 26-27'!E21+'Grays Harbor Pgs 28-29'!E21+'Island Pgs 30-31'!E21+'Jefferson Pgs 32-33'!E21+'Kitsap Pgs 34-35'!E21+'Kittitas Pgs 36-37'!E21+'Klickitat Pgs 38-39'!E21+'Lewis Pgs 40-41'!E21+'Lincoln Pgs 42-43'!E21+'Mason Pgs 44-45'!E21+'Northeast Tri Pgs 46-47'!E21+'Okanogan Pgs 48-49'!E21+'Pacific Pgs 50-51'!E21+'San Juan Pgs 52-53'!E21+'[1]seattle king'!E21+'Skagit Pgs 56-57'!E21+'Skamania Pgs 58-59'!E21+'Snohomish Pgs 60-61'!E21+'Spokane Pgs 62-63'!E21+'Tacoma-Pierce Pgs 64-65'!E21+'Thurston Pgs 66-67'!E21+'Wahkiakum Pgs 68-69'!E21+'Walla Walla Pgs 70-71'!E21+'Whatcom Pgs 72-73'!E21+'Whitman Pgs 74-75'!E21+'Yakima Pgs 76-77'!E21</f>
        <v>0</v>
      </c>
      <c r="F21" s="108">
        <f>'Adams Pgs 8-9'!F21+'Asotin Pgs 10-11'!F21+'Benton-Franklin Pgs 12-13'!F21+'Chelan-Douglas Pgs 14-15'!F21+'Clallam Pgs 16-17'!F21+'Clark Pgs 18-19'!F21+'Columbia Pgs 20-21'!F21+'Cowlitz Pgs 22-23'!F21+'Garfield Pgs 24-25'!F21+'Grant Pgs 26-27'!F21+'Grays Harbor Pgs 28-29'!F21+'Island Pgs 30-31'!F21+'Jefferson Pgs 32-33'!F21+'Kitsap Pgs 34-35'!F21+'Kittitas Pgs 36-37'!F21+'Klickitat Pgs 38-39'!F21+'Lewis Pgs 40-41'!F21+'Lincoln Pgs 42-43'!F21+'Mason Pgs 44-45'!F21+'Northeast Tri Pgs 46-47'!F21+'Okanogan Pgs 48-49'!F21+'Pacific Pgs 50-51'!F21+'San Juan Pgs 52-53'!F21+'[1]seattle king'!F21+'Skagit Pgs 56-57'!F21+'Skamania Pgs 58-59'!F21+'Snohomish Pgs 60-61'!F21+'Spokane Pgs 62-63'!F21+'Tacoma-Pierce Pgs 64-65'!F21+'Thurston Pgs 66-67'!F21+'Wahkiakum Pgs 68-69'!F21+'Walla Walla Pgs 70-71'!F21+'Whatcom Pgs 72-73'!F21+'Whitman Pgs 74-75'!F21+'Yakima Pgs 76-77'!F21</f>
        <v>548215</v>
      </c>
      <c r="G21" s="110">
        <f>'Adams Pgs 8-9'!G21+'Asotin Pgs 10-11'!G21+'Benton-Franklin Pgs 12-13'!G21+'Chelan-Douglas Pgs 14-15'!G21+'Clallam Pgs 16-17'!G21+'Clark Pgs 18-19'!G21+'Columbia Pgs 20-21'!G21+'Cowlitz Pgs 22-23'!G21+'Garfield Pgs 24-25'!G21+'Grant Pgs 26-27'!G21+'Grays Harbor Pgs 28-29'!G21+'Island Pgs 30-31'!G21+'Jefferson Pgs 32-33'!G21+'Kitsap Pgs 34-35'!G21+'Kittitas Pgs 36-37'!G21+'Klickitat Pgs 38-39'!G21+'Lewis Pgs 40-41'!G21+'Lincoln Pgs 42-43'!G21+'Mason Pgs 44-45'!G21+'Northeast Tri Pgs 46-47'!G21+'Okanogan Pgs 48-49'!G21+'Pacific Pgs 50-51'!G21+'San Juan Pgs 52-53'!G21+'[1]seattle king'!G21+'Skagit Pgs 56-57'!G21+'Skamania Pgs 58-59'!G21+'Snohomish Pgs 60-61'!G21+'Spokane Pgs 62-63'!G21+'Tacoma-Pierce Pgs 64-65'!G21+'Thurston Pgs 66-67'!G21+'Wahkiakum Pgs 68-69'!G21+'Walla Walla Pgs 70-71'!G21+'Whatcom Pgs 72-73'!G21+'Whitman Pgs 74-75'!G21+'Yakima Pgs 76-77'!G21</f>
        <v>-91</v>
      </c>
      <c r="H21" s="111">
        <f>'Adams Pgs 8-9'!H21+'Asotin Pgs 10-11'!H21+'Benton-Franklin Pgs 12-13'!H21+'Chelan-Douglas Pgs 14-15'!H21+'Clallam Pgs 16-17'!H21+'Clark Pgs 18-19'!H21+'Columbia Pgs 20-21'!H21+'Cowlitz Pgs 22-23'!H21+'Garfield Pgs 24-25'!H21+'Grant Pgs 26-27'!H21+'Grays Harbor Pgs 28-29'!H21+'Island Pgs 30-31'!H21+'Jefferson Pgs 32-33'!H21+'Kitsap Pgs 34-35'!H21+'Kittitas Pgs 36-37'!H21+'Klickitat Pgs 38-39'!H21+'Lewis Pgs 40-41'!H21+'Lincoln Pgs 42-43'!H21+'Mason Pgs 44-45'!H21+'Northeast Tri Pgs 46-47'!H21+'Okanogan Pgs 48-49'!H21+'Pacific Pgs 50-51'!H21+'San Juan Pgs 52-53'!H21+'[1]seattle king'!H21+'Skagit Pgs 56-57'!H21+'Skamania Pgs 58-59'!H21+'Snohomish Pgs 60-61'!H21+'Spokane Pgs 62-63'!H21+'Tacoma-Pierce Pgs 64-65'!H21+'Thurston Pgs 66-67'!H21+'Wahkiakum Pgs 68-69'!H21+'Walla Walla Pgs 70-71'!H21+'Whatcom Pgs 72-73'!H21+'Whitman Pgs 74-75'!H21+'Yakima Pgs 76-77'!H21</f>
        <v>11040</v>
      </c>
      <c r="I21" s="110">
        <f>'Adams Pgs 8-9'!I21+'Asotin Pgs 10-11'!I21+'Benton-Franklin Pgs 12-13'!I21+'Chelan-Douglas Pgs 14-15'!I21+'Clallam Pgs 16-17'!I21+'Clark Pgs 18-19'!I21+'Columbia Pgs 20-21'!I21+'Cowlitz Pgs 22-23'!I21+'Garfield Pgs 24-25'!I21+'Grant Pgs 26-27'!I21+'Grays Harbor Pgs 28-29'!I21+'Island Pgs 30-31'!I21+'Jefferson Pgs 32-33'!I21+'Kitsap Pgs 34-35'!I21+'Kittitas Pgs 36-37'!I21+'Klickitat Pgs 38-39'!I21+'Lewis Pgs 40-41'!I21+'Lincoln Pgs 42-43'!I21+'Mason Pgs 44-45'!I21+'Northeast Tri Pgs 46-47'!I21+'Okanogan Pgs 48-49'!I21+'Pacific Pgs 50-51'!I21+'San Juan Pgs 52-53'!I21+'[1]seattle king'!I21+'Skagit Pgs 56-57'!I21+'Skamania Pgs 58-59'!I21+'Snohomish Pgs 60-61'!I21+'Spokane Pgs 62-63'!I21+'Tacoma-Pierce Pgs 64-65'!I21+'Thurston Pgs 66-67'!I21+'Wahkiakum Pgs 68-69'!I21+'Walla Walla Pgs 70-71'!I21+'Whatcom Pgs 72-73'!I21+'Whitman Pgs 74-75'!I21+'Yakima Pgs 76-77'!I21</f>
        <v>0</v>
      </c>
      <c r="J21" s="112">
        <f>'Adams Pgs 8-9'!J21+'Asotin Pgs 10-11'!J21+'Benton-Franklin Pgs 12-13'!J21+'Chelan-Douglas Pgs 14-15'!J21+'Clallam Pgs 16-17'!J21+'Clark Pgs 18-19'!J21+'Columbia Pgs 20-21'!J21+'Cowlitz Pgs 22-23'!J21+'Garfield Pgs 24-25'!J21+'Grant Pgs 26-27'!J21+'Grays Harbor Pgs 28-29'!J21+'Island Pgs 30-31'!J21+'Jefferson Pgs 32-33'!J21+'Kitsap Pgs 34-35'!J21+'Kittitas Pgs 36-37'!J21+'Klickitat Pgs 38-39'!J21+'Lewis Pgs 40-41'!J21+'Lincoln Pgs 42-43'!J21+'Mason Pgs 44-45'!J21+'Northeast Tri Pgs 46-47'!J21+'Okanogan Pgs 48-49'!J21+'Pacific Pgs 50-51'!J21+'San Juan Pgs 52-53'!J21+'[1]seattle king'!J21+'Skagit Pgs 56-57'!J21+'Skamania Pgs 58-59'!J21+'Snohomish Pgs 60-61'!J21+'Spokane Pgs 62-63'!J21+'Tacoma-Pierce Pgs 64-65'!J21+'Thurston Pgs 66-67'!J21+'Wahkiakum Pgs 68-69'!J21+'Walla Walla Pgs 70-71'!J21+'Whatcom Pgs 72-73'!J21+'Whitman Pgs 74-75'!J21+'Yakima Pgs 76-77'!J21</f>
        <v>18892</v>
      </c>
      <c r="K21" s="142">
        <f t="shared" si="0"/>
        <v>886377</v>
      </c>
      <c r="L21"/>
    </row>
    <row r="22" spans="1:12" x14ac:dyDescent="0.35">
      <c r="A22" s="79">
        <v>562.44000000000005</v>
      </c>
      <c r="B22" s="29" t="s">
        <v>57</v>
      </c>
      <c r="C22" s="108">
        <f>'Adams Pgs 8-9'!C22+'Asotin Pgs 10-11'!C22+'Benton-Franklin Pgs 12-13'!C22+'Chelan-Douglas Pgs 14-15'!C22+'Clallam Pgs 16-17'!C22+'Clark Pgs 18-19'!C22+'Columbia Pgs 20-21'!C22+'Cowlitz Pgs 22-23'!C22+'Garfield Pgs 24-25'!C22+'Grant Pgs 26-27'!C22+'Grays Harbor Pgs 28-29'!C22+'Island Pgs 30-31'!C22+'Jefferson Pgs 32-33'!C22+'Kitsap Pgs 34-35'!C22+'Kittitas Pgs 36-37'!C22+'Klickitat Pgs 38-39'!C22+'Lewis Pgs 40-41'!C22+'Lincoln Pgs 42-43'!C22+'Mason Pgs 44-45'!C22+'Northeast Tri Pgs 46-47'!C22+'Okanogan Pgs 48-49'!C22+'Pacific Pgs 50-51'!C22+'San Juan Pgs 52-53'!C22+'[1]seattle king'!C22+'Skagit Pgs 56-57'!C22+'Skamania Pgs 58-59'!C22+'Snohomish Pgs 60-61'!C22+'Spokane Pgs 62-63'!C22+'Tacoma-Pierce Pgs 64-65'!C22+'Thurston Pgs 66-67'!C22+'Wahkiakum Pgs 68-69'!C22+'Walla Walla Pgs 70-71'!C22+'Whatcom Pgs 72-73'!C22+'Whitman Pgs 74-75'!C22+'Yakima Pgs 76-77'!C22</f>
        <v>223021</v>
      </c>
      <c r="D22" s="109">
        <f>'Adams Pgs 8-9'!D22+'Asotin Pgs 10-11'!D22+'Benton-Franklin Pgs 12-13'!D22+'Chelan-Douglas Pgs 14-15'!D22+'Clallam Pgs 16-17'!D22+'Clark Pgs 18-19'!D22+'Columbia Pgs 20-21'!D22+'Cowlitz Pgs 22-23'!D22+'Garfield Pgs 24-25'!D22+'Grant Pgs 26-27'!D22+'Grays Harbor Pgs 28-29'!D22+'Island Pgs 30-31'!D22+'Jefferson Pgs 32-33'!D22+'Kitsap Pgs 34-35'!D22+'Kittitas Pgs 36-37'!D22+'Klickitat Pgs 38-39'!D22+'Lewis Pgs 40-41'!D22+'Lincoln Pgs 42-43'!D22+'Mason Pgs 44-45'!D22+'Northeast Tri Pgs 46-47'!D22+'Okanogan Pgs 48-49'!D22+'Pacific Pgs 50-51'!D22+'San Juan Pgs 52-53'!D22+'[1]seattle king'!D22+'Skagit Pgs 56-57'!D22+'Skamania Pgs 58-59'!D22+'Snohomish Pgs 60-61'!D22+'Spokane Pgs 62-63'!D22+'Tacoma-Pierce Pgs 64-65'!D22+'Thurston Pgs 66-67'!D22+'Wahkiakum Pgs 68-69'!D22+'Walla Walla Pgs 70-71'!D22+'Whatcom Pgs 72-73'!D22+'Whitman Pgs 74-75'!D22+'Yakima Pgs 76-77'!D22</f>
        <v>949307</v>
      </c>
      <c r="E22" s="110">
        <f>'Adams Pgs 8-9'!E22+'Asotin Pgs 10-11'!E22+'Benton-Franklin Pgs 12-13'!E22+'Chelan-Douglas Pgs 14-15'!E22+'Clallam Pgs 16-17'!E22+'Clark Pgs 18-19'!E22+'Columbia Pgs 20-21'!E22+'Cowlitz Pgs 22-23'!E22+'Garfield Pgs 24-25'!E22+'Grant Pgs 26-27'!E22+'Grays Harbor Pgs 28-29'!E22+'Island Pgs 30-31'!E22+'Jefferson Pgs 32-33'!E22+'Kitsap Pgs 34-35'!E22+'Kittitas Pgs 36-37'!E22+'Klickitat Pgs 38-39'!E22+'Lewis Pgs 40-41'!E22+'Lincoln Pgs 42-43'!E22+'Mason Pgs 44-45'!E22+'Northeast Tri Pgs 46-47'!E22+'Okanogan Pgs 48-49'!E22+'Pacific Pgs 50-51'!E22+'San Juan Pgs 52-53'!E22+'[1]seattle king'!E22+'Skagit Pgs 56-57'!E22+'Skamania Pgs 58-59'!E22+'Snohomish Pgs 60-61'!E22+'Spokane Pgs 62-63'!E22+'Tacoma-Pierce Pgs 64-65'!E22+'Thurston Pgs 66-67'!E22+'Wahkiakum Pgs 68-69'!E22+'Walla Walla Pgs 70-71'!E22+'Whatcom Pgs 72-73'!E22+'Whitman Pgs 74-75'!E22+'Yakima Pgs 76-77'!E22</f>
        <v>6143</v>
      </c>
      <c r="F22" s="108">
        <f>'Adams Pgs 8-9'!F22+'Asotin Pgs 10-11'!F22+'Benton-Franklin Pgs 12-13'!F22+'Chelan-Douglas Pgs 14-15'!F22+'Clallam Pgs 16-17'!F22+'Clark Pgs 18-19'!F22+'Columbia Pgs 20-21'!F22+'Cowlitz Pgs 22-23'!F22+'Garfield Pgs 24-25'!F22+'Grant Pgs 26-27'!F22+'Grays Harbor Pgs 28-29'!F22+'Island Pgs 30-31'!F22+'Jefferson Pgs 32-33'!F22+'Kitsap Pgs 34-35'!F22+'Kittitas Pgs 36-37'!F22+'Klickitat Pgs 38-39'!F22+'Lewis Pgs 40-41'!F22+'Lincoln Pgs 42-43'!F22+'Mason Pgs 44-45'!F22+'Northeast Tri Pgs 46-47'!F22+'Okanogan Pgs 48-49'!F22+'Pacific Pgs 50-51'!F22+'San Juan Pgs 52-53'!F22+'[1]seattle king'!F22+'Skagit Pgs 56-57'!F22+'Skamania Pgs 58-59'!F22+'Snohomish Pgs 60-61'!F22+'Spokane Pgs 62-63'!F22+'Tacoma-Pierce Pgs 64-65'!F22+'Thurston Pgs 66-67'!F22+'Wahkiakum Pgs 68-69'!F22+'Walla Walla Pgs 70-71'!F22+'Whatcom Pgs 72-73'!F22+'Whitman Pgs 74-75'!F22+'Yakima Pgs 76-77'!F22</f>
        <v>311851</v>
      </c>
      <c r="G22" s="110">
        <f>'Adams Pgs 8-9'!G22+'Asotin Pgs 10-11'!G22+'Benton-Franklin Pgs 12-13'!G22+'Chelan-Douglas Pgs 14-15'!G22+'Clallam Pgs 16-17'!G22+'Clark Pgs 18-19'!G22+'Columbia Pgs 20-21'!G22+'Cowlitz Pgs 22-23'!G22+'Garfield Pgs 24-25'!G22+'Grant Pgs 26-27'!G22+'Grays Harbor Pgs 28-29'!G22+'Island Pgs 30-31'!G22+'Jefferson Pgs 32-33'!G22+'Kitsap Pgs 34-35'!G22+'Kittitas Pgs 36-37'!G22+'Klickitat Pgs 38-39'!G22+'Lewis Pgs 40-41'!G22+'Lincoln Pgs 42-43'!G22+'Mason Pgs 44-45'!G22+'Northeast Tri Pgs 46-47'!G22+'Okanogan Pgs 48-49'!G22+'Pacific Pgs 50-51'!G22+'San Juan Pgs 52-53'!G22+'[1]seattle king'!G22+'Skagit Pgs 56-57'!G22+'Skamania Pgs 58-59'!G22+'Snohomish Pgs 60-61'!G22+'Spokane Pgs 62-63'!G22+'Tacoma-Pierce Pgs 64-65'!G22+'Thurston Pgs 66-67'!G22+'Wahkiakum Pgs 68-69'!G22+'Walla Walla Pgs 70-71'!G22+'Whatcom Pgs 72-73'!G22+'Whitman Pgs 74-75'!G22+'Yakima Pgs 76-77'!G22</f>
        <v>28497</v>
      </c>
      <c r="H22" s="111">
        <f>'Adams Pgs 8-9'!H22+'Asotin Pgs 10-11'!H22+'Benton-Franklin Pgs 12-13'!H22+'Chelan-Douglas Pgs 14-15'!H22+'Clallam Pgs 16-17'!H22+'Clark Pgs 18-19'!H22+'Columbia Pgs 20-21'!H22+'Cowlitz Pgs 22-23'!H22+'Garfield Pgs 24-25'!H22+'Grant Pgs 26-27'!H22+'Grays Harbor Pgs 28-29'!H22+'Island Pgs 30-31'!H22+'Jefferson Pgs 32-33'!H22+'Kitsap Pgs 34-35'!H22+'Kittitas Pgs 36-37'!H22+'Klickitat Pgs 38-39'!H22+'Lewis Pgs 40-41'!H22+'Lincoln Pgs 42-43'!H22+'Mason Pgs 44-45'!H22+'Northeast Tri Pgs 46-47'!H22+'Okanogan Pgs 48-49'!H22+'Pacific Pgs 50-51'!H22+'San Juan Pgs 52-53'!H22+'[1]seattle king'!H22+'Skagit Pgs 56-57'!H22+'Skamania Pgs 58-59'!H22+'Snohomish Pgs 60-61'!H22+'Spokane Pgs 62-63'!H22+'Tacoma-Pierce Pgs 64-65'!H22+'Thurston Pgs 66-67'!H22+'Wahkiakum Pgs 68-69'!H22+'Walla Walla Pgs 70-71'!H22+'Whatcom Pgs 72-73'!H22+'Whitman Pgs 74-75'!H22+'Yakima Pgs 76-77'!H22</f>
        <v>288966</v>
      </c>
      <c r="I22" s="110">
        <f>'Adams Pgs 8-9'!I22+'Asotin Pgs 10-11'!I22+'Benton-Franklin Pgs 12-13'!I22+'Chelan-Douglas Pgs 14-15'!I22+'Clallam Pgs 16-17'!I22+'Clark Pgs 18-19'!I22+'Columbia Pgs 20-21'!I22+'Cowlitz Pgs 22-23'!I22+'Garfield Pgs 24-25'!I22+'Grant Pgs 26-27'!I22+'Grays Harbor Pgs 28-29'!I22+'Island Pgs 30-31'!I22+'Jefferson Pgs 32-33'!I22+'Kitsap Pgs 34-35'!I22+'Kittitas Pgs 36-37'!I22+'Klickitat Pgs 38-39'!I22+'Lewis Pgs 40-41'!I22+'Lincoln Pgs 42-43'!I22+'Mason Pgs 44-45'!I22+'Northeast Tri Pgs 46-47'!I22+'Okanogan Pgs 48-49'!I22+'Pacific Pgs 50-51'!I22+'San Juan Pgs 52-53'!I22+'[1]seattle king'!I22+'Skagit Pgs 56-57'!I22+'Skamania Pgs 58-59'!I22+'Snohomish Pgs 60-61'!I22+'Spokane Pgs 62-63'!I22+'Tacoma-Pierce Pgs 64-65'!I22+'Thurston Pgs 66-67'!I22+'Wahkiakum Pgs 68-69'!I22+'Walla Walla Pgs 70-71'!I22+'Whatcom Pgs 72-73'!I22+'Whitman Pgs 74-75'!I22+'Yakima Pgs 76-77'!I22</f>
        <v>11420</v>
      </c>
      <c r="J22" s="112">
        <f>'Adams Pgs 8-9'!J22+'Asotin Pgs 10-11'!J22+'Benton-Franklin Pgs 12-13'!J22+'Chelan-Douglas Pgs 14-15'!J22+'Clallam Pgs 16-17'!J22+'Clark Pgs 18-19'!J22+'Columbia Pgs 20-21'!J22+'Cowlitz Pgs 22-23'!J22+'Garfield Pgs 24-25'!J22+'Grant Pgs 26-27'!J22+'Grays Harbor Pgs 28-29'!J22+'Island Pgs 30-31'!J22+'Jefferson Pgs 32-33'!J22+'Kitsap Pgs 34-35'!J22+'Kittitas Pgs 36-37'!J22+'Klickitat Pgs 38-39'!J22+'Lewis Pgs 40-41'!J22+'Lincoln Pgs 42-43'!J22+'Mason Pgs 44-45'!J22+'Northeast Tri Pgs 46-47'!J22+'Okanogan Pgs 48-49'!J22+'Pacific Pgs 50-51'!J22+'San Juan Pgs 52-53'!J22+'[1]seattle king'!J22+'Skagit Pgs 56-57'!J22+'Skamania Pgs 58-59'!J22+'Snohomish Pgs 60-61'!J22+'Spokane Pgs 62-63'!J22+'Tacoma-Pierce Pgs 64-65'!J22+'Thurston Pgs 66-67'!J22+'Wahkiakum Pgs 68-69'!J22+'Walla Walla Pgs 70-71'!J22+'Whatcom Pgs 72-73'!J22+'Whitman Pgs 74-75'!J22+'Yakima Pgs 76-77'!J22</f>
        <v>5814</v>
      </c>
      <c r="K22" s="142">
        <f t="shared" si="0"/>
        <v>1825019</v>
      </c>
      <c r="L22"/>
    </row>
    <row r="23" spans="1:12" x14ac:dyDescent="0.35">
      <c r="A23" s="79">
        <v>562.45000000000005</v>
      </c>
      <c r="B23" s="29" t="s">
        <v>58</v>
      </c>
      <c r="C23" s="108">
        <f>'Adams Pgs 8-9'!C23+'Asotin Pgs 10-11'!C23+'Benton-Franklin Pgs 12-13'!C23+'Chelan-Douglas Pgs 14-15'!C23+'Clallam Pgs 16-17'!C23+'Clark Pgs 18-19'!C23+'Columbia Pgs 20-21'!C23+'Cowlitz Pgs 22-23'!C23+'Garfield Pgs 24-25'!C23+'Grant Pgs 26-27'!C23+'Grays Harbor Pgs 28-29'!C23+'Island Pgs 30-31'!C23+'Jefferson Pgs 32-33'!C23+'Kitsap Pgs 34-35'!C23+'Kittitas Pgs 36-37'!C23+'Klickitat Pgs 38-39'!C23+'Lewis Pgs 40-41'!C23+'Lincoln Pgs 42-43'!C23+'Mason Pgs 44-45'!C23+'Northeast Tri Pgs 46-47'!C23+'Okanogan Pgs 48-49'!C23+'Pacific Pgs 50-51'!C23+'San Juan Pgs 52-53'!C23+'[1]seattle king'!C23+'Skagit Pgs 56-57'!C23+'Skamania Pgs 58-59'!C23+'Snohomish Pgs 60-61'!C23+'Spokane Pgs 62-63'!C23+'Tacoma-Pierce Pgs 64-65'!C23+'Thurston Pgs 66-67'!C23+'Wahkiakum Pgs 68-69'!C23+'Walla Walla Pgs 70-71'!C23+'Whatcom Pgs 72-73'!C23+'Whitman Pgs 74-75'!C23+'Yakima Pgs 76-77'!C23</f>
        <v>0</v>
      </c>
      <c r="D23" s="109">
        <f>'Adams Pgs 8-9'!D23+'Asotin Pgs 10-11'!D23+'Benton-Franklin Pgs 12-13'!D23+'Chelan-Douglas Pgs 14-15'!D23+'Clallam Pgs 16-17'!D23+'Clark Pgs 18-19'!D23+'Columbia Pgs 20-21'!D23+'Cowlitz Pgs 22-23'!D23+'Garfield Pgs 24-25'!D23+'Grant Pgs 26-27'!D23+'Grays Harbor Pgs 28-29'!D23+'Island Pgs 30-31'!D23+'Jefferson Pgs 32-33'!D23+'Kitsap Pgs 34-35'!D23+'Kittitas Pgs 36-37'!D23+'Klickitat Pgs 38-39'!D23+'Lewis Pgs 40-41'!D23+'Lincoln Pgs 42-43'!D23+'Mason Pgs 44-45'!D23+'Northeast Tri Pgs 46-47'!D23+'Okanogan Pgs 48-49'!D23+'Pacific Pgs 50-51'!D23+'San Juan Pgs 52-53'!D23+'[1]seattle king'!D23+'Skagit Pgs 56-57'!D23+'Skamania Pgs 58-59'!D23+'Snohomish Pgs 60-61'!D23+'Spokane Pgs 62-63'!D23+'Tacoma-Pierce Pgs 64-65'!D23+'Thurston Pgs 66-67'!D23+'Wahkiakum Pgs 68-69'!D23+'Walla Walla Pgs 70-71'!D23+'Whatcom Pgs 72-73'!D23+'Whitman Pgs 74-75'!D23+'Yakima Pgs 76-77'!D23</f>
        <v>325738</v>
      </c>
      <c r="E23" s="110">
        <f>'Adams Pgs 8-9'!E23+'Asotin Pgs 10-11'!E23+'Benton-Franklin Pgs 12-13'!E23+'Chelan-Douglas Pgs 14-15'!E23+'Clallam Pgs 16-17'!E23+'Clark Pgs 18-19'!E23+'Columbia Pgs 20-21'!E23+'Cowlitz Pgs 22-23'!E23+'Garfield Pgs 24-25'!E23+'Grant Pgs 26-27'!E23+'Grays Harbor Pgs 28-29'!E23+'Island Pgs 30-31'!E23+'Jefferson Pgs 32-33'!E23+'Kitsap Pgs 34-35'!E23+'Kittitas Pgs 36-37'!E23+'Klickitat Pgs 38-39'!E23+'Lewis Pgs 40-41'!E23+'Lincoln Pgs 42-43'!E23+'Mason Pgs 44-45'!E23+'Northeast Tri Pgs 46-47'!E23+'Okanogan Pgs 48-49'!E23+'Pacific Pgs 50-51'!E23+'San Juan Pgs 52-53'!E23+'[1]seattle king'!E23+'Skagit Pgs 56-57'!E23+'Skamania Pgs 58-59'!E23+'Snohomish Pgs 60-61'!E23+'Spokane Pgs 62-63'!E23+'Tacoma-Pierce Pgs 64-65'!E23+'Thurston Pgs 66-67'!E23+'Wahkiakum Pgs 68-69'!E23+'Walla Walla Pgs 70-71'!E23+'Whatcom Pgs 72-73'!E23+'Whitman Pgs 74-75'!E23+'Yakima Pgs 76-77'!E23</f>
        <v>59388</v>
      </c>
      <c r="F23" s="108">
        <f>'Adams Pgs 8-9'!F23+'Asotin Pgs 10-11'!F23+'Benton-Franklin Pgs 12-13'!F23+'Chelan-Douglas Pgs 14-15'!F23+'Clallam Pgs 16-17'!F23+'Clark Pgs 18-19'!F23+'Columbia Pgs 20-21'!F23+'Cowlitz Pgs 22-23'!F23+'Garfield Pgs 24-25'!F23+'Grant Pgs 26-27'!F23+'Grays Harbor Pgs 28-29'!F23+'Island Pgs 30-31'!F23+'Jefferson Pgs 32-33'!F23+'Kitsap Pgs 34-35'!F23+'Kittitas Pgs 36-37'!F23+'Klickitat Pgs 38-39'!F23+'Lewis Pgs 40-41'!F23+'Lincoln Pgs 42-43'!F23+'Mason Pgs 44-45'!F23+'Northeast Tri Pgs 46-47'!F23+'Okanogan Pgs 48-49'!F23+'Pacific Pgs 50-51'!F23+'San Juan Pgs 52-53'!F23+'[1]seattle king'!F23+'Skagit Pgs 56-57'!F23+'Skamania Pgs 58-59'!F23+'Snohomish Pgs 60-61'!F23+'Spokane Pgs 62-63'!F23+'Tacoma-Pierce Pgs 64-65'!F23+'Thurston Pgs 66-67'!F23+'Wahkiakum Pgs 68-69'!F23+'Walla Walla Pgs 70-71'!F23+'Whatcom Pgs 72-73'!F23+'Whitman Pgs 74-75'!F23+'Yakima Pgs 76-77'!F23</f>
        <v>165260</v>
      </c>
      <c r="G23" s="110">
        <f>'Adams Pgs 8-9'!G23+'Asotin Pgs 10-11'!G23+'Benton-Franklin Pgs 12-13'!G23+'Chelan-Douglas Pgs 14-15'!G23+'Clallam Pgs 16-17'!G23+'Clark Pgs 18-19'!G23+'Columbia Pgs 20-21'!G23+'Cowlitz Pgs 22-23'!G23+'Garfield Pgs 24-25'!G23+'Grant Pgs 26-27'!G23+'Grays Harbor Pgs 28-29'!G23+'Island Pgs 30-31'!G23+'Jefferson Pgs 32-33'!G23+'Kitsap Pgs 34-35'!G23+'Kittitas Pgs 36-37'!G23+'Klickitat Pgs 38-39'!G23+'Lewis Pgs 40-41'!G23+'Lincoln Pgs 42-43'!G23+'Mason Pgs 44-45'!G23+'Northeast Tri Pgs 46-47'!G23+'Okanogan Pgs 48-49'!G23+'Pacific Pgs 50-51'!G23+'San Juan Pgs 52-53'!G23+'[1]seattle king'!G23+'Skagit Pgs 56-57'!G23+'Skamania Pgs 58-59'!G23+'Snohomish Pgs 60-61'!G23+'Spokane Pgs 62-63'!G23+'Tacoma-Pierce Pgs 64-65'!G23+'Thurston Pgs 66-67'!G23+'Wahkiakum Pgs 68-69'!G23+'Walla Walla Pgs 70-71'!G23+'Whatcom Pgs 72-73'!G23+'Whitman Pgs 74-75'!G23+'Yakima Pgs 76-77'!G23</f>
        <v>30757</v>
      </c>
      <c r="H23" s="111">
        <f>'Adams Pgs 8-9'!H23+'Asotin Pgs 10-11'!H23+'Benton-Franklin Pgs 12-13'!H23+'Chelan-Douglas Pgs 14-15'!H23+'Clallam Pgs 16-17'!H23+'Clark Pgs 18-19'!H23+'Columbia Pgs 20-21'!H23+'Cowlitz Pgs 22-23'!H23+'Garfield Pgs 24-25'!H23+'Grant Pgs 26-27'!H23+'Grays Harbor Pgs 28-29'!H23+'Island Pgs 30-31'!H23+'Jefferson Pgs 32-33'!H23+'Kitsap Pgs 34-35'!H23+'Kittitas Pgs 36-37'!H23+'Klickitat Pgs 38-39'!H23+'Lewis Pgs 40-41'!H23+'Lincoln Pgs 42-43'!H23+'Mason Pgs 44-45'!H23+'Northeast Tri Pgs 46-47'!H23+'Okanogan Pgs 48-49'!H23+'Pacific Pgs 50-51'!H23+'San Juan Pgs 52-53'!H23+'[1]seattle king'!H23+'Skagit Pgs 56-57'!H23+'Skamania Pgs 58-59'!H23+'Snohomish Pgs 60-61'!H23+'Spokane Pgs 62-63'!H23+'Tacoma-Pierce Pgs 64-65'!H23+'Thurston Pgs 66-67'!H23+'Wahkiakum Pgs 68-69'!H23+'Walla Walla Pgs 70-71'!H23+'Whatcom Pgs 72-73'!H23+'Whitman Pgs 74-75'!H23+'Yakima Pgs 76-77'!H23</f>
        <v>177214</v>
      </c>
      <c r="I23" s="110">
        <f>'Adams Pgs 8-9'!I23+'Asotin Pgs 10-11'!I23+'Benton-Franklin Pgs 12-13'!I23+'Chelan-Douglas Pgs 14-15'!I23+'Clallam Pgs 16-17'!I23+'Clark Pgs 18-19'!I23+'Columbia Pgs 20-21'!I23+'Cowlitz Pgs 22-23'!I23+'Garfield Pgs 24-25'!I23+'Grant Pgs 26-27'!I23+'Grays Harbor Pgs 28-29'!I23+'Island Pgs 30-31'!I23+'Jefferson Pgs 32-33'!I23+'Kitsap Pgs 34-35'!I23+'Kittitas Pgs 36-37'!I23+'Klickitat Pgs 38-39'!I23+'Lewis Pgs 40-41'!I23+'Lincoln Pgs 42-43'!I23+'Mason Pgs 44-45'!I23+'Northeast Tri Pgs 46-47'!I23+'Okanogan Pgs 48-49'!I23+'Pacific Pgs 50-51'!I23+'San Juan Pgs 52-53'!I23+'[1]seattle king'!I23+'Skagit Pgs 56-57'!I23+'Skamania Pgs 58-59'!I23+'Snohomish Pgs 60-61'!I23+'Spokane Pgs 62-63'!I23+'Tacoma-Pierce Pgs 64-65'!I23+'Thurston Pgs 66-67'!I23+'Wahkiakum Pgs 68-69'!I23+'Walla Walla Pgs 70-71'!I23+'Whatcom Pgs 72-73'!I23+'Whitman Pgs 74-75'!I23+'Yakima Pgs 76-77'!I23</f>
        <v>5011</v>
      </c>
      <c r="J23" s="112">
        <f>'Adams Pgs 8-9'!J23+'Asotin Pgs 10-11'!J23+'Benton-Franklin Pgs 12-13'!J23+'Chelan-Douglas Pgs 14-15'!J23+'Clallam Pgs 16-17'!J23+'Clark Pgs 18-19'!J23+'Columbia Pgs 20-21'!J23+'Cowlitz Pgs 22-23'!J23+'Garfield Pgs 24-25'!J23+'Grant Pgs 26-27'!J23+'Grays Harbor Pgs 28-29'!J23+'Island Pgs 30-31'!J23+'Jefferson Pgs 32-33'!J23+'Kitsap Pgs 34-35'!J23+'Kittitas Pgs 36-37'!J23+'Klickitat Pgs 38-39'!J23+'Lewis Pgs 40-41'!J23+'Lincoln Pgs 42-43'!J23+'Mason Pgs 44-45'!J23+'Northeast Tri Pgs 46-47'!J23+'Okanogan Pgs 48-49'!J23+'Pacific Pgs 50-51'!J23+'San Juan Pgs 52-53'!J23+'[1]seattle king'!J23+'Skagit Pgs 56-57'!J23+'Skamania Pgs 58-59'!J23+'Snohomish Pgs 60-61'!J23+'Spokane Pgs 62-63'!J23+'Tacoma-Pierce Pgs 64-65'!J23+'Thurston Pgs 66-67'!J23+'Wahkiakum Pgs 68-69'!J23+'Walla Walla Pgs 70-71'!J23+'Whatcom Pgs 72-73'!J23+'Whitman Pgs 74-75'!J23+'Yakima Pgs 76-77'!J23</f>
        <v>2498</v>
      </c>
      <c r="K23" s="142">
        <f t="shared" si="0"/>
        <v>765866</v>
      </c>
      <c r="L23"/>
    </row>
    <row r="24" spans="1:12" x14ac:dyDescent="0.35">
      <c r="A24" s="79">
        <v>562.49</v>
      </c>
      <c r="B24" s="29" t="s">
        <v>47</v>
      </c>
      <c r="C24" s="108">
        <f>'Adams Pgs 8-9'!C24+'Asotin Pgs 10-11'!C24+'Benton-Franklin Pgs 12-13'!C24+'Chelan-Douglas Pgs 14-15'!C24+'Clallam Pgs 16-17'!C24+'Clark Pgs 18-19'!C24+'Columbia Pgs 20-21'!C24+'Cowlitz Pgs 22-23'!C24+'Garfield Pgs 24-25'!C24+'Grant Pgs 26-27'!C24+'Grays Harbor Pgs 28-29'!C24+'Island Pgs 30-31'!C24+'Jefferson Pgs 32-33'!C24+'Kitsap Pgs 34-35'!C24+'Kittitas Pgs 36-37'!C24+'Klickitat Pgs 38-39'!C24+'Lewis Pgs 40-41'!C24+'Lincoln Pgs 42-43'!C24+'Mason Pgs 44-45'!C24+'Northeast Tri Pgs 46-47'!C24+'Okanogan Pgs 48-49'!C24+'Pacific Pgs 50-51'!C24+'San Juan Pgs 52-53'!C24+'[1]seattle king'!C24+'Skagit Pgs 56-57'!C24+'Skamania Pgs 58-59'!C24+'Snohomish Pgs 60-61'!C24+'Spokane Pgs 62-63'!C24+'Tacoma-Pierce Pgs 64-65'!C24+'Thurston Pgs 66-67'!C24+'Wahkiakum Pgs 68-69'!C24+'Walla Walla Pgs 70-71'!C24+'Whatcom Pgs 72-73'!C24+'Whitman Pgs 74-75'!C24+'Yakima Pgs 76-77'!C24</f>
        <v>235026</v>
      </c>
      <c r="D24" s="109">
        <f>'Adams Pgs 8-9'!D24+'Asotin Pgs 10-11'!D24+'Benton-Franklin Pgs 12-13'!D24+'Chelan-Douglas Pgs 14-15'!D24+'Clallam Pgs 16-17'!D24+'Clark Pgs 18-19'!D24+'Columbia Pgs 20-21'!D24+'Cowlitz Pgs 22-23'!D24+'Garfield Pgs 24-25'!D24+'Grant Pgs 26-27'!D24+'Grays Harbor Pgs 28-29'!D24+'Island Pgs 30-31'!D24+'Jefferson Pgs 32-33'!D24+'Kitsap Pgs 34-35'!D24+'Kittitas Pgs 36-37'!D24+'Klickitat Pgs 38-39'!D24+'Lewis Pgs 40-41'!D24+'Lincoln Pgs 42-43'!D24+'Mason Pgs 44-45'!D24+'Northeast Tri Pgs 46-47'!D24+'Okanogan Pgs 48-49'!D24+'Pacific Pgs 50-51'!D24+'San Juan Pgs 52-53'!D24+'[1]seattle king'!D24+'Skagit Pgs 56-57'!D24+'Skamania Pgs 58-59'!D24+'Snohomish Pgs 60-61'!D24+'Spokane Pgs 62-63'!D24+'Tacoma-Pierce Pgs 64-65'!D24+'Thurston Pgs 66-67'!D24+'Wahkiakum Pgs 68-69'!D24+'Walla Walla Pgs 70-71'!D24+'Whatcom Pgs 72-73'!D24+'Whitman Pgs 74-75'!D24+'Yakima Pgs 76-77'!D24</f>
        <v>2242749</v>
      </c>
      <c r="E24" s="110">
        <f>'Adams Pgs 8-9'!E24+'Asotin Pgs 10-11'!E24+'Benton-Franklin Pgs 12-13'!E24+'Chelan-Douglas Pgs 14-15'!E24+'Clallam Pgs 16-17'!E24+'Clark Pgs 18-19'!E24+'Columbia Pgs 20-21'!E24+'Cowlitz Pgs 22-23'!E24+'Garfield Pgs 24-25'!E24+'Grant Pgs 26-27'!E24+'Grays Harbor Pgs 28-29'!E24+'Island Pgs 30-31'!E24+'Jefferson Pgs 32-33'!E24+'Kitsap Pgs 34-35'!E24+'Kittitas Pgs 36-37'!E24+'Klickitat Pgs 38-39'!E24+'Lewis Pgs 40-41'!E24+'Lincoln Pgs 42-43'!E24+'Mason Pgs 44-45'!E24+'Northeast Tri Pgs 46-47'!E24+'Okanogan Pgs 48-49'!E24+'Pacific Pgs 50-51'!E24+'San Juan Pgs 52-53'!E24+'[1]seattle king'!E24+'Skagit Pgs 56-57'!E24+'Skamania Pgs 58-59'!E24+'Snohomish Pgs 60-61'!E24+'Spokane Pgs 62-63'!E24+'Tacoma-Pierce Pgs 64-65'!E24+'Thurston Pgs 66-67'!E24+'Wahkiakum Pgs 68-69'!E24+'Walla Walla Pgs 70-71'!E24+'Whatcom Pgs 72-73'!E24+'Whitman Pgs 74-75'!E24+'Yakima Pgs 76-77'!E24</f>
        <v>21699</v>
      </c>
      <c r="F24" s="108">
        <f>'Adams Pgs 8-9'!F24+'Asotin Pgs 10-11'!F24+'Benton-Franklin Pgs 12-13'!F24+'Chelan-Douglas Pgs 14-15'!F24+'Clallam Pgs 16-17'!F24+'Clark Pgs 18-19'!F24+'Columbia Pgs 20-21'!F24+'Cowlitz Pgs 22-23'!F24+'Garfield Pgs 24-25'!F24+'Grant Pgs 26-27'!F24+'Grays Harbor Pgs 28-29'!F24+'Island Pgs 30-31'!F24+'Jefferson Pgs 32-33'!F24+'Kitsap Pgs 34-35'!F24+'Kittitas Pgs 36-37'!F24+'Klickitat Pgs 38-39'!F24+'Lewis Pgs 40-41'!F24+'Lincoln Pgs 42-43'!F24+'Mason Pgs 44-45'!F24+'Northeast Tri Pgs 46-47'!F24+'Okanogan Pgs 48-49'!F24+'Pacific Pgs 50-51'!F24+'San Juan Pgs 52-53'!F24+'[1]seattle king'!F24+'Skagit Pgs 56-57'!F24+'Skamania Pgs 58-59'!F24+'Snohomish Pgs 60-61'!F24+'Spokane Pgs 62-63'!F24+'Tacoma-Pierce Pgs 64-65'!F24+'Thurston Pgs 66-67'!F24+'Wahkiakum Pgs 68-69'!F24+'Walla Walla Pgs 70-71'!F24+'Whatcom Pgs 72-73'!F24+'Whitman Pgs 74-75'!F24+'Yakima Pgs 76-77'!F24</f>
        <v>1967578</v>
      </c>
      <c r="G24" s="110">
        <f>'Adams Pgs 8-9'!G24+'Asotin Pgs 10-11'!G24+'Benton-Franklin Pgs 12-13'!G24+'Chelan-Douglas Pgs 14-15'!G24+'Clallam Pgs 16-17'!G24+'Clark Pgs 18-19'!G24+'Columbia Pgs 20-21'!G24+'Cowlitz Pgs 22-23'!G24+'Garfield Pgs 24-25'!G24+'Grant Pgs 26-27'!G24+'Grays Harbor Pgs 28-29'!G24+'Island Pgs 30-31'!G24+'Jefferson Pgs 32-33'!G24+'Kitsap Pgs 34-35'!G24+'Kittitas Pgs 36-37'!G24+'Klickitat Pgs 38-39'!G24+'Lewis Pgs 40-41'!G24+'Lincoln Pgs 42-43'!G24+'Mason Pgs 44-45'!G24+'Northeast Tri Pgs 46-47'!G24+'Okanogan Pgs 48-49'!G24+'Pacific Pgs 50-51'!G24+'San Juan Pgs 52-53'!G24+'[1]seattle king'!G24+'Skagit Pgs 56-57'!G24+'Skamania Pgs 58-59'!G24+'Snohomish Pgs 60-61'!G24+'Spokane Pgs 62-63'!G24+'Tacoma-Pierce Pgs 64-65'!G24+'Thurston Pgs 66-67'!G24+'Wahkiakum Pgs 68-69'!G24+'Walla Walla Pgs 70-71'!G24+'Whatcom Pgs 72-73'!G24+'Whitman Pgs 74-75'!G24+'Yakima Pgs 76-77'!G24</f>
        <v>4468864</v>
      </c>
      <c r="H24" s="111">
        <f>'Adams Pgs 8-9'!H24+'Asotin Pgs 10-11'!H24+'Benton-Franklin Pgs 12-13'!H24+'Chelan-Douglas Pgs 14-15'!H24+'Clallam Pgs 16-17'!H24+'Clark Pgs 18-19'!H24+'Columbia Pgs 20-21'!H24+'Cowlitz Pgs 22-23'!H24+'Garfield Pgs 24-25'!H24+'Grant Pgs 26-27'!H24+'Grays Harbor Pgs 28-29'!H24+'Island Pgs 30-31'!H24+'Jefferson Pgs 32-33'!H24+'Kitsap Pgs 34-35'!H24+'Kittitas Pgs 36-37'!H24+'Klickitat Pgs 38-39'!H24+'Lewis Pgs 40-41'!H24+'Lincoln Pgs 42-43'!H24+'Mason Pgs 44-45'!H24+'Northeast Tri Pgs 46-47'!H24+'Okanogan Pgs 48-49'!H24+'Pacific Pgs 50-51'!H24+'San Juan Pgs 52-53'!H24+'[1]seattle king'!H24+'Skagit Pgs 56-57'!H24+'Skamania Pgs 58-59'!H24+'Snohomish Pgs 60-61'!H24+'Spokane Pgs 62-63'!H24+'Tacoma-Pierce Pgs 64-65'!H24+'Thurston Pgs 66-67'!H24+'Wahkiakum Pgs 68-69'!H24+'Walla Walla Pgs 70-71'!H24+'Whatcom Pgs 72-73'!H24+'Whitman Pgs 74-75'!H24+'Yakima Pgs 76-77'!H24</f>
        <v>828572</v>
      </c>
      <c r="I24" s="110">
        <f>'Adams Pgs 8-9'!I24+'Asotin Pgs 10-11'!I24+'Benton-Franklin Pgs 12-13'!I24+'Chelan-Douglas Pgs 14-15'!I24+'Clallam Pgs 16-17'!I24+'Clark Pgs 18-19'!I24+'Columbia Pgs 20-21'!I24+'Cowlitz Pgs 22-23'!I24+'Garfield Pgs 24-25'!I24+'Grant Pgs 26-27'!I24+'Grays Harbor Pgs 28-29'!I24+'Island Pgs 30-31'!I24+'Jefferson Pgs 32-33'!I24+'Kitsap Pgs 34-35'!I24+'Kittitas Pgs 36-37'!I24+'Klickitat Pgs 38-39'!I24+'Lewis Pgs 40-41'!I24+'Lincoln Pgs 42-43'!I24+'Mason Pgs 44-45'!I24+'Northeast Tri Pgs 46-47'!I24+'Okanogan Pgs 48-49'!I24+'Pacific Pgs 50-51'!I24+'San Juan Pgs 52-53'!I24+'[1]seattle king'!I24+'Skagit Pgs 56-57'!I24+'Skamania Pgs 58-59'!I24+'Snohomish Pgs 60-61'!I24+'Spokane Pgs 62-63'!I24+'Tacoma-Pierce Pgs 64-65'!I24+'Thurston Pgs 66-67'!I24+'Wahkiakum Pgs 68-69'!I24+'Walla Walla Pgs 70-71'!I24+'Whatcom Pgs 72-73'!I24+'Whitman Pgs 74-75'!I24+'Yakima Pgs 76-77'!I24</f>
        <v>0</v>
      </c>
      <c r="J24" s="112">
        <f>'Adams Pgs 8-9'!J24+'Asotin Pgs 10-11'!J24+'Benton-Franklin Pgs 12-13'!J24+'Chelan-Douglas Pgs 14-15'!J24+'Clallam Pgs 16-17'!J24+'Clark Pgs 18-19'!J24+'Columbia Pgs 20-21'!J24+'Cowlitz Pgs 22-23'!J24+'Garfield Pgs 24-25'!J24+'Grant Pgs 26-27'!J24+'Grays Harbor Pgs 28-29'!J24+'Island Pgs 30-31'!J24+'Jefferson Pgs 32-33'!J24+'Kitsap Pgs 34-35'!J24+'Kittitas Pgs 36-37'!J24+'Klickitat Pgs 38-39'!J24+'Lewis Pgs 40-41'!J24+'Lincoln Pgs 42-43'!J24+'Mason Pgs 44-45'!J24+'Northeast Tri Pgs 46-47'!J24+'Okanogan Pgs 48-49'!J24+'Pacific Pgs 50-51'!J24+'San Juan Pgs 52-53'!J24+'[1]seattle king'!J24+'Skagit Pgs 56-57'!J24+'Skamania Pgs 58-59'!J24+'Snohomish Pgs 60-61'!J24+'Spokane Pgs 62-63'!J24+'Tacoma-Pierce Pgs 64-65'!J24+'Thurston Pgs 66-67'!J24+'Wahkiakum Pgs 68-69'!J24+'Walla Walla Pgs 70-71'!J24+'Whatcom Pgs 72-73'!J24+'Whitman Pgs 74-75'!J24+'Yakima Pgs 76-77'!J24</f>
        <v>1055797</v>
      </c>
      <c r="K24" s="142">
        <f t="shared" si="0"/>
        <v>10820285</v>
      </c>
      <c r="L24"/>
    </row>
    <row r="25" spans="1:12" x14ac:dyDescent="0.35">
      <c r="A25" s="79">
        <v>562.52</v>
      </c>
      <c r="B25" s="16" t="s">
        <v>18</v>
      </c>
      <c r="C25" s="108">
        <f>'Adams Pgs 8-9'!C25+'Asotin Pgs 10-11'!C25+'Benton-Franklin Pgs 12-13'!C25+'Chelan-Douglas Pgs 14-15'!C25+'Clallam Pgs 16-17'!C25+'Clark Pgs 18-19'!C25+'Columbia Pgs 20-21'!C25+'Cowlitz Pgs 22-23'!C25+'Garfield Pgs 24-25'!C25+'Grant Pgs 26-27'!C25+'Grays Harbor Pgs 28-29'!C25+'Island Pgs 30-31'!C25+'Jefferson Pgs 32-33'!C25+'Kitsap Pgs 34-35'!C25+'Kittitas Pgs 36-37'!C25+'Klickitat Pgs 38-39'!C25+'Lewis Pgs 40-41'!C25+'Lincoln Pgs 42-43'!C25+'Mason Pgs 44-45'!C25+'Northeast Tri Pgs 46-47'!C25+'Okanogan Pgs 48-49'!C25+'Pacific Pgs 50-51'!C25+'San Juan Pgs 52-53'!C25+'[1]seattle king'!C25+'Skagit Pgs 56-57'!C25+'Skamania Pgs 58-59'!C25+'Snohomish Pgs 60-61'!C25+'Spokane Pgs 62-63'!C25+'Tacoma-Pierce Pgs 64-65'!C25+'Thurston Pgs 66-67'!C25+'Wahkiakum Pgs 68-69'!C25+'Walla Walla Pgs 70-71'!C25+'Whatcom Pgs 72-73'!C25+'Whitman Pgs 74-75'!C25+'Yakima Pgs 76-77'!C25</f>
        <v>49254</v>
      </c>
      <c r="D25" s="109">
        <f>'Adams Pgs 8-9'!D25+'Asotin Pgs 10-11'!D25+'Benton-Franklin Pgs 12-13'!D25+'Chelan-Douglas Pgs 14-15'!D25+'Clallam Pgs 16-17'!D25+'Clark Pgs 18-19'!D25+'Columbia Pgs 20-21'!D25+'Cowlitz Pgs 22-23'!D25+'Garfield Pgs 24-25'!D25+'Grant Pgs 26-27'!D25+'Grays Harbor Pgs 28-29'!D25+'Island Pgs 30-31'!D25+'Jefferson Pgs 32-33'!D25+'Kitsap Pgs 34-35'!D25+'Kittitas Pgs 36-37'!D25+'Klickitat Pgs 38-39'!D25+'Lewis Pgs 40-41'!D25+'Lincoln Pgs 42-43'!D25+'Mason Pgs 44-45'!D25+'Northeast Tri Pgs 46-47'!D25+'Okanogan Pgs 48-49'!D25+'Pacific Pgs 50-51'!D25+'San Juan Pgs 52-53'!D25+'[1]seattle king'!D25+'Skagit Pgs 56-57'!D25+'Skamania Pgs 58-59'!D25+'Snohomish Pgs 60-61'!D25+'Spokane Pgs 62-63'!D25+'Tacoma-Pierce Pgs 64-65'!D25+'Thurston Pgs 66-67'!D25+'Wahkiakum Pgs 68-69'!D25+'Walla Walla Pgs 70-71'!D25+'Whatcom Pgs 72-73'!D25+'Whitman Pgs 74-75'!D25+'Yakima Pgs 76-77'!D25</f>
        <v>335759</v>
      </c>
      <c r="E25" s="110">
        <f>'Adams Pgs 8-9'!E25+'Asotin Pgs 10-11'!E25+'Benton-Franklin Pgs 12-13'!E25+'Chelan-Douglas Pgs 14-15'!E25+'Clallam Pgs 16-17'!E25+'Clark Pgs 18-19'!E25+'Columbia Pgs 20-21'!E25+'Cowlitz Pgs 22-23'!E25+'Garfield Pgs 24-25'!E25+'Grant Pgs 26-27'!E25+'Grays Harbor Pgs 28-29'!E25+'Island Pgs 30-31'!E25+'Jefferson Pgs 32-33'!E25+'Kitsap Pgs 34-35'!E25+'Kittitas Pgs 36-37'!E25+'Klickitat Pgs 38-39'!E25+'Lewis Pgs 40-41'!E25+'Lincoln Pgs 42-43'!E25+'Mason Pgs 44-45'!E25+'Northeast Tri Pgs 46-47'!E25+'Okanogan Pgs 48-49'!E25+'Pacific Pgs 50-51'!E25+'San Juan Pgs 52-53'!E25+'[1]seattle king'!E25+'Skagit Pgs 56-57'!E25+'Skamania Pgs 58-59'!E25+'Snohomish Pgs 60-61'!E25+'Spokane Pgs 62-63'!E25+'Tacoma-Pierce Pgs 64-65'!E25+'Thurston Pgs 66-67'!E25+'Wahkiakum Pgs 68-69'!E25+'Walla Walla Pgs 70-71'!E25+'Whatcom Pgs 72-73'!E25+'Whitman Pgs 74-75'!E25+'Yakima Pgs 76-77'!E25</f>
        <v>73287</v>
      </c>
      <c r="F25" s="108">
        <f>'Adams Pgs 8-9'!F25+'Asotin Pgs 10-11'!F25+'Benton-Franklin Pgs 12-13'!F25+'Chelan-Douglas Pgs 14-15'!F25+'Clallam Pgs 16-17'!F25+'Clark Pgs 18-19'!F25+'Columbia Pgs 20-21'!F25+'Cowlitz Pgs 22-23'!F25+'Garfield Pgs 24-25'!F25+'Grant Pgs 26-27'!F25+'Grays Harbor Pgs 28-29'!F25+'Island Pgs 30-31'!F25+'Jefferson Pgs 32-33'!F25+'Kitsap Pgs 34-35'!F25+'Kittitas Pgs 36-37'!F25+'Klickitat Pgs 38-39'!F25+'Lewis Pgs 40-41'!F25+'Lincoln Pgs 42-43'!F25+'Mason Pgs 44-45'!F25+'Northeast Tri Pgs 46-47'!F25+'Okanogan Pgs 48-49'!F25+'Pacific Pgs 50-51'!F25+'San Juan Pgs 52-53'!F25+'[1]seattle king'!F25+'Skagit Pgs 56-57'!F25+'Skamania Pgs 58-59'!F25+'Snohomish Pgs 60-61'!F25+'Spokane Pgs 62-63'!F25+'Tacoma-Pierce Pgs 64-65'!F25+'Thurston Pgs 66-67'!F25+'Wahkiakum Pgs 68-69'!F25+'Walla Walla Pgs 70-71'!F25+'Whatcom Pgs 72-73'!F25+'Whitman Pgs 74-75'!F25+'Yakima Pgs 76-77'!F25</f>
        <v>119126</v>
      </c>
      <c r="G25" s="110">
        <f>'Adams Pgs 8-9'!G25+'Asotin Pgs 10-11'!G25+'Benton-Franklin Pgs 12-13'!G25+'Chelan-Douglas Pgs 14-15'!G25+'Clallam Pgs 16-17'!G25+'Clark Pgs 18-19'!G25+'Columbia Pgs 20-21'!G25+'Cowlitz Pgs 22-23'!G25+'Garfield Pgs 24-25'!G25+'Grant Pgs 26-27'!G25+'Grays Harbor Pgs 28-29'!G25+'Island Pgs 30-31'!G25+'Jefferson Pgs 32-33'!G25+'Kitsap Pgs 34-35'!G25+'Kittitas Pgs 36-37'!G25+'Klickitat Pgs 38-39'!G25+'Lewis Pgs 40-41'!G25+'Lincoln Pgs 42-43'!G25+'Mason Pgs 44-45'!G25+'Northeast Tri Pgs 46-47'!G25+'Okanogan Pgs 48-49'!G25+'Pacific Pgs 50-51'!G25+'San Juan Pgs 52-53'!G25+'[1]seattle king'!G25+'Skagit Pgs 56-57'!G25+'Skamania Pgs 58-59'!G25+'Snohomish Pgs 60-61'!G25+'Spokane Pgs 62-63'!G25+'Tacoma-Pierce Pgs 64-65'!G25+'Thurston Pgs 66-67'!G25+'Wahkiakum Pgs 68-69'!G25+'Walla Walla Pgs 70-71'!G25+'Whatcom Pgs 72-73'!G25+'Whitman Pgs 74-75'!G25+'Yakima Pgs 76-77'!G25</f>
        <v>33660</v>
      </c>
      <c r="H25" s="111">
        <f>'Adams Pgs 8-9'!H25+'Asotin Pgs 10-11'!H25+'Benton-Franklin Pgs 12-13'!H25+'Chelan-Douglas Pgs 14-15'!H25+'Clallam Pgs 16-17'!H25+'Clark Pgs 18-19'!H25+'Columbia Pgs 20-21'!H25+'Cowlitz Pgs 22-23'!H25+'Garfield Pgs 24-25'!H25+'Grant Pgs 26-27'!H25+'Grays Harbor Pgs 28-29'!H25+'Island Pgs 30-31'!H25+'Jefferson Pgs 32-33'!H25+'Kitsap Pgs 34-35'!H25+'Kittitas Pgs 36-37'!H25+'Klickitat Pgs 38-39'!H25+'Lewis Pgs 40-41'!H25+'Lincoln Pgs 42-43'!H25+'Mason Pgs 44-45'!H25+'Northeast Tri Pgs 46-47'!H25+'Okanogan Pgs 48-49'!H25+'Pacific Pgs 50-51'!H25+'San Juan Pgs 52-53'!H25+'[1]seattle king'!H25+'Skagit Pgs 56-57'!H25+'Skamania Pgs 58-59'!H25+'Snohomish Pgs 60-61'!H25+'Spokane Pgs 62-63'!H25+'Tacoma-Pierce Pgs 64-65'!H25+'Thurston Pgs 66-67'!H25+'Wahkiakum Pgs 68-69'!H25+'Walla Walla Pgs 70-71'!H25+'Whatcom Pgs 72-73'!H25+'Whitman Pgs 74-75'!H25+'Yakima Pgs 76-77'!H25</f>
        <v>490586</v>
      </c>
      <c r="I25" s="110">
        <f>'Adams Pgs 8-9'!I25+'Asotin Pgs 10-11'!I25+'Benton-Franklin Pgs 12-13'!I25+'Chelan-Douglas Pgs 14-15'!I25+'Clallam Pgs 16-17'!I25+'Clark Pgs 18-19'!I25+'Columbia Pgs 20-21'!I25+'Cowlitz Pgs 22-23'!I25+'Garfield Pgs 24-25'!I25+'Grant Pgs 26-27'!I25+'Grays Harbor Pgs 28-29'!I25+'Island Pgs 30-31'!I25+'Jefferson Pgs 32-33'!I25+'Kitsap Pgs 34-35'!I25+'Kittitas Pgs 36-37'!I25+'Klickitat Pgs 38-39'!I25+'Lewis Pgs 40-41'!I25+'Lincoln Pgs 42-43'!I25+'Mason Pgs 44-45'!I25+'Northeast Tri Pgs 46-47'!I25+'Okanogan Pgs 48-49'!I25+'Pacific Pgs 50-51'!I25+'San Juan Pgs 52-53'!I25+'[1]seattle king'!I25+'Skagit Pgs 56-57'!I25+'Skamania Pgs 58-59'!I25+'Snohomish Pgs 60-61'!I25+'Spokane Pgs 62-63'!I25+'Tacoma-Pierce Pgs 64-65'!I25+'Thurston Pgs 66-67'!I25+'Wahkiakum Pgs 68-69'!I25+'Walla Walla Pgs 70-71'!I25+'Whatcom Pgs 72-73'!I25+'Whitman Pgs 74-75'!I25+'Yakima Pgs 76-77'!I25</f>
        <v>2198206</v>
      </c>
      <c r="J25" s="112">
        <f>'Adams Pgs 8-9'!J25+'Asotin Pgs 10-11'!J25+'Benton-Franklin Pgs 12-13'!J25+'Chelan-Douglas Pgs 14-15'!J25+'Clallam Pgs 16-17'!J25+'Clark Pgs 18-19'!J25+'Columbia Pgs 20-21'!J25+'Cowlitz Pgs 22-23'!J25+'Garfield Pgs 24-25'!J25+'Grant Pgs 26-27'!J25+'Grays Harbor Pgs 28-29'!J25+'Island Pgs 30-31'!J25+'Jefferson Pgs 32-33'!J25+'Kitsap Pgs 34-35'!J25+'Kittitas Pgs 36-37'!J25+'Klickitat Pgs 38-39'!J25+'Lewis Pgs 40-41'!J25+'Lincoln Pgs 42-43'!J25+'Mason Pgs 44-45'!J25+'Northeast Tri Pgs 46-47'!J25+'Okanogan Pgs 48-49'!J25+'Pacific Pgs 50-51'!J25+'San Juan Pgs 52-53'!J25+'[1]seattle king'!J25+'Skagit Pgs 56-57'!J25+'Skamania Pgs 58-59'!J25+'Snohomish Pgs 60-61'!J25+'Spokane Pgs 62-63'!J25+'Tacoma-Pierce Pgs 64-65'!J25+'Thurston Pgs 66-67'!J25+'Wahkiakum Pgs 68-69'!J25+'Walla Walla Pgs 70-71'!J25+'Whatcom Pgs 72-73'!J25+'Whitman Pgs 74-75'!J25+'Yakima Pgs 76-77'!J25</f>
        <v>-37170</v>
      </c>
      <c r="K25" s="142">
        <f t="shared" si="0"/>
        <v>3262708</v>
      </c>
      <c r="L25"/>
    </row>
    <row r="26" spans="1:12" x14ac:dyDescent="0.35">
      <c r="A26" s="79">
        <v>562.53</v>
      </c>
      <c r="B26" s="29" t="s">
        <v>59</v>
      </c>
      <c r="C26" s="108">
        <f>'Adams Pgs 8-9'!C26+'Asotin Pgs 10-11'!C26+'Benton-Franklin Pgs 12-13'!C26+'Chelan-Douglas Pgs 14-15'!C26+'Clallam Pgs 16-17'!C26+'Clark Pgs 18-19'!C26+'Columbia Pgs 20-21'!C26+'Cowlitz Pgs 22-23'!C26+'Garfield Pgs 24-25'!C26+'Grant Pgs 26-27'!C26+'Grays Harbor Pgs 28-29'!C26+'Island Pgs 30-31'!C26+'Jefferson Pgs 32-33'!C26+'Kitsap Pgs 34-35'!C26+'Kittitas Pgs 36-37'!C26+'Klickitat Pgs 38-39'!C26+'Lewis Pgs 40-41'!C26+'Lincoln Pgs 42-43'!C26+'Mason Pgs 44-45'!C26+'Northeast Tri Pgs 46-47'!C26+'Okanogan Pgs 48-49'!C26+'Pacific Pgs 50-51'!C26+'San Juan Pgs 52-53'!C26+'[1]seattle king'!C26+'Skagit Pgs 56-57'!C26+'Skamania Pgs 58-59'!C26+'Snohomish Pgs 60-61'!C26+'Spokane Pgs 62-63'!C26+'Tacoma-Pierce Pgs 64-65'!C26+'Thurston Pgs 66-67'!C26+'Wahkiakum Pgs 68-69'!C26+'Walla Walla Pgs 70-71'!C26+'Whatcom Pgs 72-73'!C26+'Whitman Pgs 74-75'!C26+'Yakima Pgs 76-77'!C26</f>
        <v>0</v>
      </c>
      <c r="D26" s="109">
        <f>'Adams Pgs 8-9'!D26+'Asotin Pgs 10-11'!D26+'Benton-Franklin Pgs 12-13'!D26+'Chelan-Douglas Pgs 14-15'!D26+'Clallam Pgs 16-17'!D26+'Clark Pgs 18-19'!D26+'Columbia Pgs 20-21'!D26+'Cowlitz Pgs 22-23'!D26+'Garfield Pgs 24-25'!D26+'Grant Pgs 26-27'!D26+'Grays Harbor Pgs 28-29'!D26+'Island Pgs 30-31'!D26+'Jefferson Pgs 32-33'!D26+'Kitsap Pgs 34-35'!D26+'Kittitas Pgs 36-37'!D26+'Klickitat Pgs 38-39'!D26+'Lewis Pgs 40-41'!D26+'Lincoln Pgs 42-43'!D26+'Mason Pgs 44-45'!D26+'Northeast Tri Pgs 46-47'!D26+'Okanogan Pgs 48-49'!D26+'Pacific Pgs 50-51'!D26+'San Juan Pgs 52-53'!D26+'[1]seattle king'!D26+'Skagit Pgs 56-57'!D26+'Skamania Pgs 58-59'!D26+'Snohomish Pgs 60-61'!D26+'Spokane Pgs 62-63'!D26+'Tacoma-Pierce Pgs 64-65'!D26+'Thurston Pgs 66-67'!D26+'Wahkiakum Pgs 68-69'!D26+'Walla Walla Pgs 70-71'!D26+'Whatcom Pgs 72-73'!D26+'Whitman Pgs 74-75'!D26+'Yakima Pgs 76-77'!D26</f>
        <v>15990</v>
      </c>
      <c r="E26" s="110">
        <f>'Adams Pgs 8-9'!E26+'Asotin Pgs 10-11'!E26+'Benton-Franklin Pgs 12-13'!E26+'Chelan-Douglas Pgs 14-15'!E26+'Clallam Pgs 16-17'!E26+'Clark Pgs 18-19'!E26+'Columbia Pgs 20-21'!E26+'Cowlitz Pgs 22-23'!E26+'Garfield Pgs 24-25'!E26+'Grant Pgs 26-27'!E26+'Grays Harbor Pgs 28-29'!E26+'Island Pgs 30-31'!E26+'Jefferson Pgs 32-33'!E26+'Kitsap Pgs 34-35'!E26+'Kittitas Pgs 36-37'!E26+'Klickitat Pgs 38-39'!E26+'Lewis Pgs 40-41'!E26+'Lincoln Pgs 42-43'!E26+'Mason Pgs 44-45'!E26+'Northeast Tri Pgs 46-47'!E26+'Okanogan Pgs 48-49'!E26+'Pacific Pgs 50-51'!E26+'San Juan Pgs 52-53'!E26+'[1]seattle king'!E26+'Skagit Pgs 56-57'!E26+'Skamania Pgs 58-59'!E26+'Snohomish Pgs 60-61'!E26+'Spokane Pgs 62-63'!E26+'Tacoma-Pierce Pgs 64-65'!E26+'Thurston Pgs 66-67'!E26+'Wahkiakum Pgs 68-69'!E26+'Walla Walla Pgs 70-71'!E26+'Whatcom Pgs 72-73'!E26+'Whitman Pgs 74-75'!E26+'Yakima Pgs 76-77'!E26</f>
        <v>4428813</v>
      </c>
      <c r="F26" s="108">
        <f>'Adams Pgs 8-9'!F26+'Asotin Pgs 10-11'!F26+'Benton-Franklin Pgs 12-13'!F26+'Chelan-Douglas Pgs 14-15'!F26+'Clallam Pgs 16-17'!F26+'Clark Pgs 18-19'!F26+'Columbia Pgs 20-21'!F26+'Cowlitz Pgs 22-23'!F26+'Garfield Pgs 24-25'!F26+'Grant Pgs 26-27'!F26+'Grays Harbor Pgs 28-29'!F26+'Island Pgs 30-31'!F26+'Jefferson Pgs 32-33'!F26+'Kitsap Pgs 34-35'!F26+'Kittitas Pgs 36-37'!F26+'Klickitat Pgs 38-39'!F26+'Lewis Pgs 40-41'!F26+'Lincoln Pgs 42-43'!F26+'Mason Pgs 44-45'!F26+'Northeast Tri Pgs 46-47'!F26+'Okanogan Pgs 48-49'!F26+'Pacific Pgs 50-51'!F26+'San Juan Pgs 52-53'!F26+'[1]seattle king'!F26+'Skagit Pgs 56-57'!F26+'Skamania Pgs 58-59'!F26+'Snohomish Pgs 60-61'!F26+'Spokane Pgs 62-63'!F26+'Tacoma-Pierce Pgs 64-65'!F26+'Thurston Pgs 66-67'!F26+'Wahkiakum Pgs 68-69'!F26+'Walla Walla Pgs 70-71'!F26+'Whatcom Pgs 72-73'!F26+'Whitman Pgs 74-75'!F26+'Yakima Pgs 76-77'!F26</f>
        <v>0</v>
      </c>
      <c r="G26" s="110">
        <f>'Adams Pgs 8-9'!G26+'Asotin Pgs 10-11'!G26+'Benton-Franklin Pgs 12-13'!G26+'Chelan-Douglas Pgs 14-15'!G26+'Clallam Pgs 16-17'!G26+'Clark Pgs 18-19'!G26+'Columbia Pgs 20-21'!G26+'Cowlitz Pgs 22-23'!G26+'Garfield Pgs 24-25'!G26+'Grant Pgs 26-27'!G26+'Grays Harbor Pgs 28-29'!G26+'Island Pgs 30-31'!G26+'Jefferson Pgs 32-33'!G26+'Kitsap Pgs 34-35'!G26+'Kittitas Pgs 36-37'!G26+'Klickitat Pgs 38-39'!G26+'Lewis Pgs 40-41'!G26+'Lincoln Pgs 42-43'!G26+'Mason Pgs 44-45'!G26+'Northeast Tri Pgs 46-47'!G26+'Okanogan Pgs 48-49'!G26+'Pacific Pgs 50-51'!G26+'San Juan Pgs 52-53'!G26+'[1]seattle king'!G26+'Skagit Pgs 56-57'!G26+'Skamania Pgs 58-59'!G26+'Snohomish Pgs 60-61'!G26+'Spokane Pgs 62-63'!G26+'Tacoma-Pierce Pgs 64-65'!G26+'Thurston Pgs 66-67'!G26+'Wahkiakum Pgs 68-69'!G26+'Walla Walla Pgs 70-71'!G26+'Whatcom Pgs 72-73'!G26+'Whitman Pgs 74-75'!G26+'Yakima Pgs 76-77'!G26</f>
        <v>224679</v>
      </c>
      <c r="H26" s="111">
        <f>'Adams Pgs 8-9'!H26+'Asotin Pgs 10-11'!H26+'Benton-Franklin Pgs 12-13'!H26+'Chelan-Douglas Pgs 14-15'!H26+'Clallam Pgs 16-17'!H26+'Clark Pgs 18-19'!H26+'Columbia Pgs 20-21'!H26+'Cowlitz Pgs 22-23'!H26+'Garfield Pgs 24-25'!H26+'Grant Pgs 26-27'!H26+'Grays Harbor Pgs 28-29'!H26+'Island Pgs 30-31'!H26+'Jefferson Pgs 32-33'!H26+'Kitsap Pgs 34-35'!H26+'Kittitas Pgs 36-37'!H26+'Klickitat Pgs 38-39'!H26+'Lewis Pgs 40-41'!H26+'Lincoln Pgs 42-43'!H26+'Mason Pgs 44-45'!H26+'Northeast Tri Pgs 46-47'!H26+'Okanogan Pgs 48-49'!H26+'Pacific Pgs 50-51'!H26+'San Juan Pgs 52-53'!H26+'[1]seattle king'!H26+'Skagit Pgs 56-57'!H26+'Skamania Pgs 58-59'!H26+'Snohomish Pgs 60-61'!H26+'Spokane Pgs 62-63'!H26+'Tacoma-Pierce Pgs 64-65'!H26+'Thurston Pgs 66-67'!H26+'Wahkiakum Pgs 68-69'!H26+'Walla Walla Pgs 70-71'!H26+'Whatcom Pgs 72-73'!H26+'Whitman Pgs 74-75'!H26+'Yakima Pgs 76-77'!H26</f>
        <v>1020216</v>
      </c>
      <c r="I26" s="110">
        <f>'Adams Pgs 8-9'!I26+'Asotin Pgs 10-11'!I26+'Benton-Franklin Pgs 12-13'!I26+'Chelan-Douglas Pgs 14-15'!I26+'Clallam Pgs 16-17'!I26+'Clark Pgs 18-19'!I26+'Columbia Pgs 20-21'!I26+'Cowlitz Pgs 22-23'!I26+'Garfield Pgs 24-25'!I26+'Grant Pgs 26-27'!I26+'Grays Harbor Pgs 28-29'!I26+'Island Pgs 30-31'!I26+'Jefferson Pgs 32-33'!I26+'Kitsap Pgs 34-35'!I26+'Kittitas Pgs 36-37'!I26+'Klickitat Pgs 38-39'!I26+'Lewis Pgs 40-41'!I26+'Lincoln Pgs 42-43'!I26+'Mason Pgs 44-45'!I26+'Northeast Tri Pgs 46-47'!I26+'Okanogan Pgs 48-49'!I26+'Pacific Pgs 50-51'!I26+'San Juan Pgs 52-53'!I26+'[1]seattle king'!I26+'Skagit Pgs 56-57'!I26+'Skamania Pgs 58-59'!I26+'Snohomish Pgs 60-61'!I26+'Spokane Pgs 62-63'!I26+'Tacoma-Pierce Pgs 64-65'!I26+'Thurston Pgs 66-67'!I26+'Wahkiakum Pgs 68-69'!I26+'Walla Walla Pgs 70-71'!I26+'Whatcom Pgs 72-73'!I26+'Whitman Pgs 74-75'!I26+'Yakima Pgs 76-77'!I26</f>
        <v>7185112</v>
      </c>
      <c r="J26" s="112">
        <f>'Adams Pgs 8-9'!J26+'Asotin Pgs 10-11'!J26+'Benton-Franklin Pgs 12-13'!J26+'Chelan-Douglas Pgs 14-15'!J26+'Clallam Pgs 16-17'!J26+'Clark Pgs 18-19'!J26+'Columbia Pgs 20-21'!J26+'Cowlitz Pgs 22-23'!J26+'Garfield Pgs 24-25'!J26+'Grant Pgs 26-27'!J26+'Grays Harbor Pgs 28-29'!J26+'Island Pgs 30-31'!J26+'Jefferson Pgs 32-33'!J26+'Kitsap Pgs 34-35'!J26+'Kittitas Pgs 36-37'!J26+'Klickitat Pgs 38-39'!J26+'Lewis Pgs 40-41'!J26+'Lincoln Pgs 42-43'!J26+'Mason Pgs 44-45'!J26+'Northeast Tri Pgs 46-47'!J26+'Okanogan Pgs 48-49'!J26+'Pacific Pgs 50-51'!J26+'San Juan Pgs 52-53'!J26+'[1]seattle king'!J26+'Skagit Pgs 56-57'!J26+'Skamania Pgs 58-59'!J26+'Snohomish Pgs 60-61'!J26+'Spokane Pgs 62-63'!J26+'Tacoma-Pierce Pgs 64-65'!J26+'Thurston Pgs 66-67'!J26+'Wahkiakum Pgs 68-69'!J26+'Walla Walla Pgs 70-71'!J26+'Whatcom Pgs 72-73'!J26+'Whitman Pgs 74-75'!J26+'Yakima Pgs 76-77'!J26</f>
        <v>1338637</v>
      </c>
      <c r="K26" s="142">
        <f t="shared" si="0"/>
        <v>14213447</v>
      </c>
      <c r="L26"/>
    </row>
    <row r="27" spans="1:12" x14ac:dyDescent="0.35">
      <c r="A27" s="79">
        <v>562.54</v>
      </c>
      <c r="B27" s="29" t="s">
        <v>60</v>
      </c>
      <c r="C27" s="108">
        <f>'Adams Pgs 8-9'!C27+'Asotin Pgs 10-11'!C27+'Benton-Franklin Pgs 12-13'!C27+'Chelan-Douglas Pgs 14-15'!C27+'Clallam Pgs 16-17'!C27+'Clark Pgs 18-19'!C27+'Columbia Pgs 20-21'!C27+'Cowlitz Pgs 22-23'!C27+'Garfield Pgs 24-25'!C27+'Grant Pgs 26-27'!C27+'Grays Harbor Pgs 28-29'!C27+'Island Pgs 30-31'!C27+'Jefferson Pgs 32-33'!C27+'Kitsap Pgs 34-35'!C27+'Kittitas Pgs 36-37'!C27+'Klickitat Pgs 38-39'!C27+'Lewis Pgs 40-41'!C27+'Lincoln Pgs 42-43'!C27+'Mason Pgs 44-45'!C27+'Northeast Tri Pgs 46-47'!C27+'Okanogan Pgs 48-49'!C27+'Pacific Pgs 50-51'!C27+'San Juan Pgs 52-53'!C27+'[1]seattle king'!C27+'Skagit Pgs 56-57'!C27+'Skamania Pgs 58-59'!C27+'Snohomish Pgs 60-61'!C27+'Spokane Pgs 62-63'!C27+'Tacoma-Pierce Pgs 64-65'!C27+'Thurston Pgs 66-67'!C27+'Wahkiakum Pgs 68-69'!C27+'Walla Walla Pgs 70-71'!C27+'Whatcom Pgs 72-73'!C27+'Whitman Pgs 74-75'!C27+'Yakima Pgs 76-77'!C27</f>
        <v>515640</v>
      </c>
      <c r="D27" s="109">
        <f>'Adams Pgs 8-9'!D27+'Asotin Pgs 10-11'!D27+'Benton-Franklin Pgs 12-13'!D27+'Chelan-Douglas Pgs 14-15'!D27+'Clallam Pgs 16-17'!D27+'Clark Pgs 18-19'!D27+'Columbia Pgs 20-21'!D27+'Cowlitz Pgs 22-23'!D27+'Garfield Pgs 24-25'!D27+'Grant Pgs 26-27'!D27+'Grays Harbor Pgs 28-29'!D27+'Island Pgs 30-31'!D27+'Jefferson Pgs 32-33'!D27+'Kitsap Pgs 34-35'!D27+'Kittitas Pgs 36-37'!D27+'Klickitat Pgs 38-39'!D27+'Lewis Pgs 40-41'!D27+'Lincoln Pgs 42-43'!D27+'Mason Pgs 44-45'!D27+'Northeast Tri Pgs 46-47'!D27+'Okanogan Pgs 48-49'!D27+'Pacific Pgs 50-51'!D27+'San Juan Pgs 52-53'!D27+'[1]seattle king'!D27+'Skagit Pgs 56-57'!D27+'Skamania Pgs 58-59'!D27+'Snohomish Pgs 60-61'!D27+'Spokane Pgs 62-63'!D27+'Tacoma-Pierce Pgs 64-65'!D27+'Thurston Pgs 66-67'!D27+'Wahkiakum Pgs 68-69'!D27+'Walla Walla Pgs 70-71'!D27+'Whatcom Pgs 72-73'!D27+'Whitman Pgs 74-75'!D27+'Yakima Pgs 76-77'!D27</f>
        <v>262983</v>
      </c>
      <c r="E27" s="110">
        <f>'Adams Pgs 8-9'!E27+'Asotin Pgs 10-11'!E27+'Benton-Franklin Pgs 12-13'!E27+'Chelan-Douglas Pgs 14-15'!E27+'Clallam Pgs 16-17'!E27+'Clark Pgs 18-19'!E27+'Columbia Pgs 20-21'!E27+'Cowlitz Pgs 22-23'!E27+'Garfield Pgs 24-25'!E27+'Grant Pgs 26-27'!E27+'Grays Harbor Pgs 28-29'!E27+'Island Pgs 30-31'!E27+'Jefferson Pgs 32-33'!E27+'Kitsap Pgs 34-35'!E27+'Kittitas Pgs 36-37'!E27+'Klickitat Pgs 38-39'!E27+'Lewis Pgs 40-41'!E27+'Lincoln Pgs 42-43'!E27+'Mason Pgs 44-45'!E27+'Northeast Tri Pgs 46-47'!E27+'Okanogan Pgs 48-49'!E27+'Pacific Pgs 50-51'!E27+'San Juan Pgs 52-53'!E27+'[1]seattle king'!E27+'Skagit Pgs 56-57'!E27+'Skamania Pgs 58-59'!E27+'Snohomish Pgs 60-61'!E27+'Spokane Pgs 62-63'!E27+'Tacoma-Pierce Pgs 64-65'!E27+'Thurston Pgs 66-67'!E27+'Wahkiakum Pgs 68-69'!E27+'Walla Walla Pgs 70-71'!E27+'Whatcom Pgs 72-73'!E27+'Whitman Pgs 74-75'!E27+'Yakima Pgs 76-77'!E27</f>
        <v>1904</v>
      </c>
      <c r="F27" s="108">
        <f>'Adams Pgs 8-9'!F27+'Asotin Pgs 10-11'!F27+'Benton-Franklin Pgs 12-13'!F27+'Chelan-Douglas Pgs 14-15'!F27+'Clallam Pgs 16-17'!F27+'Clark Pgs 18-19'!F27+'Columbia Pgs 20-21'!F27+'Cowlitz Pgs 22-23'!F27+'Garfield Pgs 24-25'!F27+'Grant Pgs 26-27'!F27+'Grays Harbor Pgs 28-29'!F27+'Island Pgs 30-31'!F27+'Jefferson Pgs 32-33'!F27+'Kitsap Pgs 34-35'!F27+'Kittitas Pgs 36-37'!F27+'Klickitat Pgs 38-39'!F27+'Lewis Pgs 40-41'!F27+'Lincoln Pgs 42-43'!F27+'Mason Pgs 44-45'!F27+'Northeast Tri Pgs 46-47'!F27+'Okanogan Pgs 48-49'!F27+'Pacific Pgs 50-51'!F27+'San Juan Pgs 52-53'!F27+'[1]seattle king'!F27+'Skagit Pgs 56-57'!F27+'Skamania Pgs 58-59'!F27+'Snohomish Pgs 60-61'!F27+'Spokane Pgs 62-63'!F27+'Tacoma-Pierce Pgs 64-65'!F27+'Thurston Pgs 66-67'!F27+'Wahkiakum Pgs 68-69'!F27+'Walla Walla Pgs 70-71'!F27+'Whatcom Pgs 72-73'!F27+'Whitman Pgs 74-75'!F27+'Yakima Pgs 76-77'!F27</f>
        <v>988354</v>
      </c>
      <c r="G27" s="110">
        <f>'Adams Pgs 8-9'!G27+'Asotin Pgs 10-11'!G27+'Benton-Franklin Pgs 12-13'!G27+'Chelan-Douglas Pgs 14-15'!G27+'Clallam Pgs 16-17'!G27+'Clark Pgs 18-19'!G27+'Columbia Pgs 20-21'!G27+'Cowlitz Pgs 22-23'!G27+'Garfield Pgs 24-25'!G27+'Grant Pgs 26-27'!G27+'Grays Harbor Pgs 28-29'!G27+'Island Pgs 30-31'!G27+'Jefferson Pgs 32-33'!G27+'Kitsap Pgs 34-35'!G27+'Kittitas Pgs 36-37'!G27+'Klickitat Pgs 38-39'!G27+'Lewis Pgs 40-41'!G27+'Lincoln Pgs 42-43'!G27+'Mason Pgs 44-45'!G27+'Northeast Tri Pgs 46-47'!G27+'Okanogan Pgs 48-49'!G27+'Pacific Pgs 50-51'!G27+'San Juan Pgs 52-53'!G27+'[1]seattle king'!G27+'Skagit Pgs 56-57'!G27+'Skamania Pgs 58-59'!G27+'Snohomish Pgs 60-61'!G27+'Spokane Pgs 62-63'!G27+'Tacoma-Pierce Pgs 64-65'!G27+'Thurston Pgs 66-67'!G27+'Wahkiakum Pgs 68-69'!G27+'Walla Walla Pgs 70-71'!G27+'Whatcom Pgs 72-73'!G27+'Whitman Pgs 74-75'!G27+'Yakima Pgs 76-77'!G27</f>
        <v>256315</v>
      </c>
      <c r="H27" s="111">
        <f>'Adams Pgs 8-9'!H27+'Asotin Pgs 10-11'!H27+'Benton-Franklin Pgs 12-13'!H27+'Chelan-Douglas Pgs 14-15'!H27+'Clallam Pgs 16-17'!H27+'Clark Pgs 18-19'!H27+'Columbia Pgs 20-21'!H27+'Cowlitz Pgs 22-23'!H27+'Garfield Pgs 24-25'!H27+'Grant Pgs 26-27'!H27+'Grays Harbor Pgs 28-29'!H27+'Island Pgs 30-31'!H27+'Jefferson Pgs 32-33'!H27+'Kitsap Pgs 34-35'!H27+'Kittitas Pgs 36-37'!H27+'Klickitat Pgs 38-39'!H27+'Lewis Pgs 40-41'!H27+'Lincoln Pgs 42-43'!H27+'Mason Pgs 44-45'!H27+'Northeast Tri Pgs 46-47'!H27+'Okanogan Pgs 48-49'!H27+'Pacific Pgs 50-51'!H27+'San Juan Pgs 52-53'!H27+'[1]seattle king'!H27+'Skagit Pgs 56-57'!H27+'Skamania Pgs 58-59'!H27+'Snohomish Pgs 60-61'!H27+'Spokane Pgs 62-63'!H27+'Tacoma-Pierce Pgs 64-65'!H27+'Thurston Pgs 66-67'!H27+'Wahkiakum Pgs 68-69'!H27+'Walla Walla Pgs 70-71'!H27+'Whatcom Pgs 72-73'!H27+'Whitman Pgs 74-75'!H27+'Yakima Pgs 76-77'!H27</f>
        <v>1108761</v>
      </c>
      <c r="I27" s="110">
        <f>'Adams Pgs 8-9'!I27+'Asotin Pgs 10-11'!I27+'Benton-Franklin Pgs 12-13'!I27+'Chelan-Douglas Pgs 14-15'!I27+'Clallam Pgs 16-17'!I27+'Clark Pgs 18-19'!I27+'Columbia Pgs 20-21'!I27+'Cowlitz Pgs 22-23'!I27+'Garfield Pgs 24-25'!I27+'Grant Pgs 26-27'!I27+'Grays Harbor Pgs 28-29'!I27+'Island Pgs 30-31'!I27+'Jefferson Pgs 32-33'!I27+'Kitsap Pgs 34-35'!I27+'Kittitas Pgs 36-37'!I27+'Klickitat Pgs 38-39'!I27+'Lewis Pgs 40-41'!I27+'Lincoln Pgs 42-43'!I27+'Mason Pgs 44-45'!I27+'Northeast Tri Pgs 46-47'!I27+'Okanogan Pgs 48-49'!I27+'Pacific Pgs 50-51'!I27+'San Juan Pgs 52-53'!I27+'[1]seattle king'!I27+'Skagit Pgs 56-57'!I27+'Skamania Pgs 58-59'!I27+'Snohomish Pgs 60-61'!I27+'Spokane Pgs 62-63'!I27+'Tacoma-Pierce Pgs 64-65'!I27+'Thurston Pgs 66-67'!I27+'Wahkiakum Pgs 68-69'!I27+'Walla Walla Pgs 70-71'!I27+'Whatcom Pgs 72-73'!I27+'Whitman Pgs 74-75'!I27+'Yakima Pgs 76-77'!I27</f>
        <v>14297636</v>
      </c>
      <c r="J27" s="112">
        <f>'Adams Pgs 8-9'!J27+'Asotin Pgs 10-11'!J27+'Benton-Franklin Pgs 12-13'!J27+'Chelan-Douglas Pgs 14-15'!J27+'Clallam Pgs 16-17'!J27+'Clark Pgs 18-19'!J27+'Columbia Pgs 20-21'!J27+'Cowlitz Pgs 22-23'!J27+'Garfield Pgs 24-25'!J27+'Grant Pgs 26-27'!J27+'Grays Harbor Pgs 28-29'!J27+'Island Pgs 30-31'!J27+'Jefferson Pgs 32-33'!J27+'Kitsap Pgs 34-35'!J27+'Kittitas Pgs 36-37'!J27+'Klickitat Pgs 38-39'!J27+'Lewis Pgs 40-41'!J27+'Lincoln Pgs 42-43'!J27+'Mason Pgs 44-45'!J27+'Northeast Tri Pgs 46-47'!J27+'Okanogan Pgs 48-49'!J27+'Pacific Pgs 50-51'!J27+'San Juan Pgs 52-53'!J27+'[1]seattle king'!J27+'Skagit Pgs 56-57'!J27+'Skamania Pgs 58-59'!J27+'Snohomish Pgs 60-61'!J27+'Spokane Pgs 62-63'!J27+'Tacoma-Pierce Pgs 64-65'!J27+'Thurston Pgs 66-67'!J27+'Wahkiakum Pgs 68-69'!J27+'Walla Walla Pgs 70-71'!J27+'Whatcom Pgs 72-73'!J27+'Whitman Pgs 74-75'!J27+'Yakima Pgs 76-77'!J27</f>
        <v>-392982</v>
      </c>
      <c r="K27" s="142">
        <f t="shared" si="0"/>
        <v>17038611</v>
      </c>
      <c r="L27"/>
    </row>
    <row r="28" spans="1:12" x14ac:dyDescent="0.35">
      <c r="A28" s="79">
        <v>562.54999999999995</v>
      </c>
      <c r="B28" s="16" t="s">
        <v>19</v>
      </c>
      <c r="C28" s="108">
        <f>'Adams Pgs 8-9'!C28+'Asotin Pgs 10-11'!C28+'Benton-Franklin Pgs 12-13'!C28+'Chelan-Douglas Pgs 14-15'!C28+'Clallam Pgs 16-17'!C28+'Clark Pgs 18-19'!C28+'Columbia Pgs 20-21'!C28+'Cowlitz Pgs 22-23'!C28+'Garfield Pgs 24-25'!C28+'Grant Pgs 26-27'!C28+'Grays Harbor Pgs 28-29'!C28+'Island Pgs 30-31'!C28+'Jefferson Pgs 32-33'!C28+'Kitsap Pgs 34-35'!C28+'Kittitas Pgs 36-37'!C28+'Klickitat Pgs 38-39'!C28+'Lewis Pgs 40-41'!C28+'Lincoln Pgs 42-43'!C28+'Mason Pgs 44-45'!C28+'Northeast Tri Pgs 46-47'!C28+'Okanogan Pgs 48-49'!C28+'Pacific Pgs 50-51'!C28+'San Juan Pgs 52-53'!C28+'[1]seattle king'!C28+'Skagit Pgs 56-57'!C28+'Skamania Pgs 58-59'!C28+'Snohomish Pgs 60-61'!C28+'Spokane Pgs 62-63'!C28+'Tacoma-Pierce Pgs 64-65'!C28+'Thurston Pgs 66-67'!C28+'Wahkiakum Pgs 68-69'!C28+'Walla Walla Pgs 70-71'!C28+'Whatcom Pgs 72-73'!C28+'Whitman Pgs 74-75'!C28+'Yakima Pgs 76-77'!C28</f>
        <v>0</v>
      </c>
      <c r="D28" s="109">
        <f>'Adams Pgs 8-9'!D28+'Asotin Pgs 10-11'!D28+'Benton-Franklin Pgs 12-13'!D28+'Chelan-Douglas Pgs 14-15'!D28+'Clallam Pgs 16-17'!D28+'Clark Pgs 18-19'!D28+'Columbia Pgs 20-21'!D28+'Cowlitz Pgs 22-23'!D28+'Garfield Pgs 24-25'!D28+'Grant Pgs 26-27'!D28+'Grays Harbor Pgs 28-29'!D28+'Island Pgs 30-31'!D28+'Jefferson Pgs 32-33'!D28+'Kitsap Pgs 34-35'!D28+'Kittitas Pgs 36-37'!D28+'Klickitat Pgs 38-39'!D28+'Lewis Pgs 40-41'!D28+'Lincoln Pgs 42-43'!D28+'Mason Pgs 44-45'!D28+'Northeast Tri Pgs 46-47'!D28+'Okanogan Pgs 48-49'!D28+'Pacific Pgs 50-51'!D28+'San Juan Pgs 52-53'!D28+'[1]seattle king'!D28+'Skagit Pgs 56-57'!D28+'Skamania Pgs 58-59'!D28+'Snohomish Pgs 60-61'!D28+'Spokane Pgs 62-63'!D28+'Tacoma-Pierce Pgs 64-65'!D28+'Thurston Pgs 66-67'!D28+'Wahkiakum Pgs 68-69'!D28+'Walla Walla Pgs 70-71'!D28+'Whatcom Pgs 72-73'!D28+'Whitman Pgs 74-75'!D28+'Yakima Pgs 76-77'!D28</f>
        <v>156325</v>
      </c>
      <c r="E28" s="110">
        <f>'Adams Pgs 8-9'!E28+'Asotin Pgs 10-11'!E28+'Benton-Franklin Pgs 12-13'!E28+'Chelan-Douglas Pgs 14-15'!E28+'Clallam Pgs 16-17'!E28+'Clark Pgs 18-19'!E28+'Columbia Pgs 20-21'!E28+'Cowlitz Pgs 22-23'!E28+'Garfield Pgs 24-25'!E28+'Grant Pgs 26-27'!E28+'Grays Harbor Pgs 28-29'!E28+'Island Pgs 30-31'!E28+'Jefferson Pgs 32-33'!E28+'Kitsap Pgs 34-35'!E28+'Kittitas Pgs 36-37'!E28+'Klickitat Pgs 38-39'!E28+'Lewis Pgs 40-41'!E28+'Lincoln Pgs 42-43'!E28+'Mason Pgs 44-45'!E28+'Northeast Tri Pgs 46-47'!E28+'Okanogan Pgs 48-49'!E28+'Pacific Pgs 50-51'!E28+'San Juan Pgs 52-53'!E28+'[1]seattle king'!E28+'Skagit Pgs 56-57'!E28+'Skamania Pgs 58-59'!E28+'Snohomish Pgs 60-61'!E28+'Spokane Pgs 62-63'!E28+'Tacoma-Pierce Pgs 64-65'!E28+'Thurston Pgs 66-67'!E28+'Wahkiakum Pgs 68-69'!E28+'Walla Walla Pgs 70-71'!E28+'Whatcom Pgs 72-73'!E28+'Whitman Pgs 74-75'!E28+'Yakima Pgs 76-77'!E28</f>
        <v>0</v>
      </c>
      <c r="F28" s="108">
        <f>'Adams Pgs 8-9'!F28+'Asotin Pgs 10-11'!F28+'Benton-Franklin Pgs 12-13'!F28+'Chelan-Douglas Pgs 14-15'!F28+'Clallam Pgs 16-17'!F28+'Clark Pgs 18-19'!F28+'Columbia Pgs 20-21'!F28+'Cowlitz Pgs 22-23'!F28+'Garfield Pgs 24-25'!F28+'Grant Pgs 26-27'!F28+'Grays Harbor Pgs 28-29'!F28+'Island Pgs 30-31'!F28+'Jefferson Pgs 32-33'!F28+'Kitsap Pgs 34-35'!F28+'Kittitas Pgs 36-37'!F28+'Klickitat Pgs 38-39'!F28+'Lewis Pgs 40-41'!F28+'Lincoln Pgs 42-43'!F28+'Mason Pgs 44-45'!F28+'Northeast Tri Pgs 46-47'!F28+'Okanogan Pgs 48-49'!F28+'Pacific Pgs 50-51'!F28+'San Juan Pgs 52-53'!F28+'[1]seattle king'!F28+'Skagit Pgs 56-57'!F28+'Skamania Pgs 58-59'!F28+'Snohomish Pgs 60-61'!F28+'Spokane Pgs 62-63'!F28+'Tacoma-Pierce Pgs 64-65'!F28+'Thurston Pgs 66-67'!F28+'Wahkiakum Pgs 68-69'!F28+'Walla Walla Pgs 70-71'!F28+'Whatcom Pgs 72-73'!F28+'Whitman Pgs 74-75'!F28+'Yakima Pgs 76-77'!F28</f>
        <v>0</v>
      </c>
      <c r="G28" s="110">
        <f>'Adams Pgs 8-9'!G28+'Asotin Pgs 10-11'!G28+'Benton-Franklin Pgs 12-13'!G28+'Chelan-Douglas Pgs 14-15'!G28+'Clallam Pgs 16-17'!G28+'Clark Pgs 18-19'!G28+'Columbia Pgs 20-21'!G28+'Cowlitz Pgs 22-23'!G28+'Garfield Pgs 24-25'!G28+'Grant Pgs 26-27'!G28+'Grays Harbor Pgs 28-29'!G28+'Island Pgs 30-31'!G28+'Jefferson Pgs 32-33'!G28+'Kitsap Pgs 34-35'!G28+'Kittitas Pgs 36-37'!G28+'Klickitat Pgs 38-39'!G28+'Lewis Pgs 40-41'!G28+'Lincoln Pgs 42-43'!G28+'Mason Pgs 44-45'!G28+'Northeast Tri Pgs 46-47'!G28+'Okanogan Pgs 48-49'!G28+'Pacific Pgs 50-51'!G28+'San Juan Pgs 52-53'!G28+'[1]seattle king'!G28+'Skagit Pgs 56-57'!G28+'Skamania Pgs 58-59'!G28+'Snohomish Pgs 60-61'!G28+'Spokane Pgs 62-63'!G28+'Tacoma-Pierce Pgs 64-65'!G28+'Thurston Pgs 66-67'!G28+'Wahkiakum Pgs 68-69'!G28+'Walla Walla Pgs 70-71'!G28+'Whatcom Pgs 72-73'!G28+'Whitman Pgs 74-75'!G28+'Yakima Pgs 76-77'!G28</f>
        <v>4914</v>
      </c>
      <c r="H28" s="111">
        <f>'Adams Pgs 8-9'!H28+'Asotin Pgs 10-11'!H28+'Benton-Franklin Pgs 12-13'!H28+'Chelan-Douglas Pgs 14-15'!H28+'Clallam Pgs 16-17'!H28+'Clark Pgs 18-19'!H28+'Columbia Pgs 20-21'!H28+'Cowlitz Pgs 22-23'!H28+'Garfield Pgs 24-25'!H28+'Grant Pgs 26-27'!H28+'Grays Harbor Pgs 28-29'!H28+'Island Pgs 30-31'!H28+'Jefferson Pgs 32-33'!H28+'Kitsap Pgs 34-35'!H28+'Kittitas Pgs 36-37'!H28+'Klickitat Pgs 38-39'!H28+'Lewis Pgs 40-41'!H28+'Lincoln Pgs 42-43'!H28+'Mason Pgs 44-45'!H28+'Northeast Tri Pgs 46-47'!H28+'Okanogan Pgs 48-49'!H28+'Pacific Pgs 50-51'!H28+'San Juan Pgs 52-53'!H28+'[1]seattle king'!H28+'Skagit Pgs 56-57'!H28+'Skamania Pgs 58-59'!H28+'Snohomish Pgs 60-61'!H28+'Spokane Pgs 62-63'!H28+'Tacoma-Pierce Pgs 64-65'!H28+'Thurston Pgs 66-67'!H28+'Wahkiakum Pgs 68-69'!H28+'Walla Walla Pgs 70-71'!H28+'Whatcom Pgs 72-73'!H28+'Whitman Pgs 74-75'!H28+'Yakima Pgs 76-77'!H28</f>
        <v>926014</v>
      </c>
      <c r="I28" s="110">
        <f>'Adams Pgs 8-9'!I28+'Asotin Pgs 10-11'!I28+'Benton-Franklin Pgs 12-13'!I28+'Chelan-Douglas Pgs 14-15'!I28+'Clallam Pgs 16-17'!I28+'Clark Pgs 18-19'!I28+'Columbia Pgs 20-21'!I28+'Cowlitz Pgs 22-23'!I28+'Garfield Pgs 24-25'!I28+'Grant Pgs 26-27'!I28+'Grays Harbor Pgs 28-29'!I28+'Island Pgs 30-31'!I28+'Jefferson Pgs 32-33'!I28+'Kitsap Pgs 34-35'!I28+'Kittitas Pgs 36-37'!I28+'Klickitat Pgs 38-39'!I28+'Lewis Pgs 40-41'!I28+'Lincoln Pgs 42-43'!I28+'Mason Pgs 44-45'!I28+'Northeast Tri Pgs 46-47'!I28+'Okanogan Pgs 48-49'!I28+'Pacific Pgs 50-51'!I28+'San Juan Pgs 52-53'!I28+'[1]seattle king'!I28+'Skagit Pgs 56-57'!I28+'Skamania Pgs 58-59'!I28+'Snohomish Pgs 60-61'!I28+'Spokane Pgs 62-63'!I28+'Tacoma-Pierce Pgs 64-65'!I28+'Thurston Pgs 66-67'!I28+'Wahkiakum Pgs 68-69'!I28+'Walla Walla Pgs 70-71'!I28+'Whatcom Pgs 72-73'!I28+'Whitman Pgs 74-75'!I28+'Yakima Pgs 76-77'!I28</f>
        <v>4054962</v>
      </c>
      <c r="J28" s="112">
        <f>'Adams Pgs 8-9'!J28+'Asotin Pgs 10-11'!J28+'Benton-Franklin Pgs 12-13'!J28+'Chelan-Douglas Pgs 14-15'!J28+'Clallam Pgs 16-17'!J28+'Clark Pgs 18-19'!J28+'Columbia Pgs 20-21'!J28+'Cowlitz Pgs 22-23'!J28+'Garfield Pgs 24-25'!J28+'Grant Pgs 26-27'!J28+'Grays Harbor Pgs 28-29'!J28+'Island Pgs 30-31'!J28+'Jefferson Pgs 32-33'!J28+'Kitsap Pgs 34-35'!J28+'Kittitas Pgs 36-37'!J28+'Klickitat Pgs 38-39'!J28+'Lewis Pgs 40-41'!J28+'Lincoln Pgs 42-43'!J28+'Mason Pgs 44-45'!J28+'Northeast Tri Pgs 46-47'!J28+'Okanogan Pgs 48-49'!J28+'Pacific Pgs 50-51'!J28+'San Juan Pgs 52-53'!J28+'[1]seattle king'!J28+'Skagit Pgs 56-57'!J28+'Skamania Pgs 58-59'!J28+'Snohomish Pgs 60-61'!J28+'Spokane Pgs 62-63'!J28+'Tacoma-Pierce Pgs 64-65'!J28+'Thurston Pgs 66-67'!J28+'Wahkiakum Pgs 68-69'!J28+'Walla Walla Pgs 70-71'!J28+'Whatcom Pgs 72-73'!J28+'Whitman Pgs 74-75'!J28+'Yakima Pgs 76-77'!J28</f>
        <v>-198906</v>
      </c>
      <c r="K28" s="142">
        <f t="shared" si="0"/>
        <v>4943309</v>
      </c>
      <c r="L28"/>
    </row>
    <row r="29" spans="1:12" x14ac:dyDescent="0.35">
      <c r="A29" s="79">
        <v>562.55999999999995</v>
      </c>
      <c r="B29" s="16" t="s">
        <v>20</v>
      </c>
      <c r="C29" s="108">
        <f>'Adams Pgs 8-9'!C29+'Asotin Pgs 10-11'!C29+'Benton-Franklin Pgs 12-13'!C29+'Chelan-Douglas Pgs 14-15'!C29+'Clallam Pgs 16-17'!C29+'Clark Pgs 18-19'!C29+'Columbia Pgs 20-21'!C29+'Cowlitz Pgs 22-23'!C29+'Garfield Pgs 24-25'!C29+'Grant Pgs 26-27'!C29+'Grays Harbor Pgs 28-29'!C29+'Island Pgs 30-31'!C29+'Jefferson Pgs 32-33'!C29+'Kitsap Pgs 34-35'!C29+'Kittitas Pgs 36-37'!C29+'Klickitat Pgs 38-39'!C29+'Lewis Pgs 40-41'!C29+'Lincoln Pgs 42-43'!C29+'Mason Pgs 44-45'!C29+'Northeast Tri Pgs 46-47'!C29+'Okanogan Pgs 48-49'!C29+'Pacific Pgs 50-51'!C29+'San Juan Pgs 52-53'!C29+'[1]seattle king'!C29+'Skagit Pgs 56-57'!C29+'Skamania Pgs 58-59'!C29+'Snohomish Pgs 60-61'!C29+'Spokane Pgs 62-63'!C29+'Tacoma-Pierce Pgs 64-65'!C29+'Thurston Pgs 66-67'!C29+'Wahkiakum Pgs 68-69'!C29+'Walla Walla Pgs 70-71'!C29+'Whatcom Pgs 72-73'!C29+'Whitman Pgs 74-75'!C29+'Yakima Pgs 76-77'!C29</f>
        <v>23036</v>
      </c>
      <c r="D29" s="109">
        <f>'Adams Pgs 8-9'!D29+'Asotin Pgs 10-11'!D29+'Benton-Franklin Pgs 12-13'!D29+'Chelan-Douglas Pgs 14-15'!D29+'Clallam Pgs 16-17'!D29+'Clark Pgs 18-19'!D29+'Columbia Pgs 20-21'!D29+'Cowlitz Pgs 22-23'!D29+'Garfield Pgs 24-25'!D29+'Grant Pgs 26-27'!D29+'Grays Harbor Pgs 28-29'!D29+'Island Pgs 30-31'!D29+'Jefferson Pgs 32-33'!D29+'Kitsap Pgs 34-35'!D29+'Kittitas Pgs 36-37'!D29+'Klickitat Pgs 38-39'!D29+'Lewis Pgs 40-41'!D29+'Lincoln Pgs 42-43'!D29+'Mason Pgs 44-45'!D29+'Northeast Tri Pgs 46-47'!D29+'Okanogan Pgs 48-49'!D29+'Pacific Pgs 50-51'!D29+'San Juan Pgs 52-53'!D29+'[1]seattle king'!D29+'Skagit Pgs 56-57'!D29+'Skamania Pgs 58-59'!D29+'Snohomish Pgs 60-61'!D29+'Spokane Pgs 62-63'!D29+'Tacoma-Pierce Pgs 64-65'!D29+'Thurston Pgs 66-67'!D29+'Wahkiakum Pgs 68-69'!D29+'Walla Walla Pgs 70-71'!D29+'Whatcom Pgs 72-73'!D29+'Whitman Pgs 74-75'!D29+'Yakima Pgs 76-77'!D29</f>
        <v>283835</v>
      </c>
      <c r="E29" s="110">
        <f>'Adams Pgs 8-9'!E29+'Asotin Pgs 10-11'!E29+'Benton-Franklin Pgs 12-13'!E29+'Chelan-Douglas Pgs 14-15'!E29+'Clallam Pgs 16-17'!E29+'Clark Pgs 18-19'!E29+'Columbia Pgs 20-21'!E29+'Cowlitz Pgs 22-23'!E29+'Garfield Pgs 24-25'!E29+'Grant Pgs 26-27'!E29+'Grays Harbor Pgs 28-29'!E29+'Island Pgs 30-31'!E29+'Jefferson Pgs 32-33'!E29+'Kitsap Pgs 34-35'!E29+'Kittitas Pgs 36-37'!E29+'Klickitat Pgs 38-39'!E29+'Lewis Pgs 40-41'!E29+'Lincoln Pgs 42-43'!E29+'Mason Pgs 44-45'!E29+'Northeast Tri Pgs 46-47'!E29+'Okanogan Pgs 48-49'!E29+'Pacific Pgs 50-51'!E29+'San Juan Pgs 52-53'!E29+'[1]seattle king'!E29+'Skagit Pgs 56-57'!E29+'Skamania Pgs 58-59'!E29+'Snohomish Pgs 60-61'!E29+'Spokane Pgs 62-63'!E29+'Tacoma-Pierce Pgs 64-65'!E29+'Thurston Pgs 66-67'!E29+'Wahkiakum Pgs 68-69'!E29+'Walla Walla Pgs 70-71'!E29+'Whatcom Pgs 72-73'!E29+'Whitman Pgs 74-75'!E29+'Yakima Pgs 76-77'!E29</f>
        <v>0</v>
      </c>
      <c r="F29" s="108">
        <f>'Adams Pgs 8-9'!F29+'Asotin Pgs 10-11'!F29+'Benton-Franklin Pgs 12-13'!F29+'Chelan-Douglas Pgs 14-15'!F29+'Clallam Pgs 16-17'!F29+'Clark Pgs 18-19'!F29+'Columbia Pgs 20-21'!F29+'Cowlitz Pgs 22-23'!F29+'Garfield Pgs 24-25'!F29+'Grant Pgs 26-27'!F29+'Grays Harbor Pgs 28-29'!F29+'Island Pgs 30-31'!F29+'Jefferson Pgs 32-33'!F29+'Kitsap Pgs 34-35'!F29+'Kittitas Pgs 36-37'!F29+'Klickitat Pgs 38-39'!F29+'Lewis Pgs 40-41'!F29+'Lincoln Pgs 42-43'!F29+'Mason Pgs 44-45'!F29+'Northeast Tri Pgs 46-47'!F29+'Okanogan Pgs 48-49'!F29+'Pacific Pgs 50-51'!F29+'San Juan Pgs 52-53'!F29+'[1]seattle king'!F29+'Skagit Pgs 56-57'!F29+'Skamania Pgs 58-59'!F29+'Snohomish Pgs 60-61'!F29+'Spokane Pgs 62-63'!F29+'Tacoma-Pierce Pgs 64-65'!F29+'Thurston Pgs 66-67'!F29+'Wahkiakum Pgs 68-69'!F29+'Walla Walla Pgs 70-71'!F29+'Whatcom Pgs 72-73'!F29+'Whitman Pgs 74-75'!F29+'Yakima Pgs 76-77'!F29</f>
        <v>16203</v>
      </c>
      <c r="G29" s="110">
        <f>'Adams Pgs 8-9'!G29+'Asotin Pgs 10-11'!G29+'Benton-Franklin Pgs 12-13'!G29+'Chelan-Douglas Pgs 14-15'!G29+'Clallam Pgs 16-17'!G29+'Clark Pgs 18-19'!G29+'Columbia Pgs 20-21'!G29+'Cowlitz Pgs 22-23'!G29+'Garfield Pgs 24-25'!G29+'Grant Pgs 26-27'!G29+'Grays Harbor Pgs 28-29'!G29+'Island Pgs 30-31'!G29+'Jefferson Pgs 32-33'!G29+'Kitsap Pgs 34-35'!G29+'Kittitas Pgs 36-37'!G29+'Klickitat Pgs 38-39'!G29+'Lewis Pgs 40-41'!G29+'Lincoln Pgs 42-43'!G29+'Mason Pgs 44-45'!G29+'Northeast Tri Pgs 46-47'!G29+'Okanogan Pgs 48-49'!G29+'Pacific Pgs 50-51'!G29+'San Juan Pgs 52-53'!G29+'[1]seattle king'!G29+'Skagit Pgs 56-57'!G29+'Skamania Pgs 58-59'!G29+'Snohomish Pgs 60-61'!G29+'Spokane Pgs 62-63'!G29+'Tacoma-Pierce Pgs 64-65'!G29+'Thurston Pgs 66-67'!G29+'Wahkiakum Pgs 68-69'!G29+'Walla Walla Pgs 70-71'!G29+'Whatcom Pgs 72-73'!G29+'Whitman Pgs 74-75'!G29+'Yakima Pgs 76-77'!G29</f>
        <v>7642</v>
      </c>
      <c r="H29" s="111">
        <f>'Adams Pgs 8-9'!H29+'Asotin Pgs 10-11'!H29+'Benton-Franklin Pgs 12-13'!H29+'Chelan-Douglas Pgs 14-15'!H29+'Clallam Pgs 16-17'!H29+'Clark Pgs 18-19'!H29+'Columbia Pgs 20-21'!H29+'Cowlitz Pgs 22-23'!H29+'Garfield Pgs 24-25'!H29+'Grant Pgs 26-27'!H29+'Grays Harbor Pgs 28-29'!H29+'Island Pgs 30-31'!H29+'Jefferson Pgs 32-33'!H29+'Kitsap Pgs 34-35'!H29+'Kittitas Pgs 36-37'!H29+'Klickitat Pgs 38-39'!H29+'Lewis Pgs 40-41'!H29+'Lincoln Pgs 42-43'!H29+'Mason Pgs 44-45'!H29+'Northeast Tri Pgs 46-47'!H29+'Okanogan Pgs 48-49'!H29+'Pacific Pgs 50-51'!H29+'San Juan Pgs 52-53'!H29+'[1]seattle king'!H29+'Skagit Pgs 56-57'!H29+'Skamania Pgs 58-59'!H29+'Snohomish Pgs 60-61'!H29+'Spokane Pgs 62-63'!H29+'Tacoma-Pierce Pgs 64-65'!H29+'Thurston Pgs 66-67'!H29+'Wahkiakum Pgs 68-69'!H29+'Walla Walla Pgs 70-71'!H29+'Whatcom Pgs 72-73'!H29+'Whitman Pgs 74-75'!H29+'Yakima Pgs 76-77'!H29</f>
        <v>310375</v>
      </c>
      <c r="I29" s="110">
        <f>'Adams Pgs 8-9'!I29+'Asotin Pgs 10-11'!I29+'Benton-Franklin Pgs 12-13'!I29+'Chelan-Douglas Pgs 14-15'!I29+'Clallam Pgs 16-17'!I29+'Clark Pgs 18-19'!I29+'Columbia Pgs 20-21'!I29+'Cowlitz Pgs 22-23'!I29+'Garfield Pgs 24-25'!I29+'Grant Pgs 26-27'!I29+'Grays Harbor Pgs 28-29'!I29+'Island Pgs 30-31'!I29+'Jefferson Pgs 32-33'!I29+'Kitsap Pgs 34-35'!I29+'Kittitas Pgs 36-37'!I29+'Klickitat Pgs 38-39'!I29+'Lewis Pgs 40-41'!I29+'Lincoln Pgs 42-43'!I29+'Mason Pgs 44-45'!I29+'Northeast Tri Pgs 46-47'!I29+'Okanogan Pgs 48-49'!I29+'Pacific Pgs 50-51'!I29+'San Juan Pgs 52-53'!I29+'[1]seattle king'!I29+'Skagit Pgs 56-57'!I29+'Skamania Pgs 58-59'!I29+'Snohomish Pgs 60-61'!I29+'Spokane Pgs 62-63'!I29+'Tacoma-Pierce Pgs 64-65'!I29+'Thurston Pgs 66-67'!I29+'Wahkiakum Pgs 68-69'!I29+'Walla Walla Pgs 70-71'!I29+'Whatcom Pgs 72-73'!I29+'Whitman Pgs 74-75'!I29+'Yakima Pgs 76-77'!I29</f>
        <v>22473937</v>
      </c>
      <c r="J29" s="112">
        <f>'Adams Pgs 8-9'!J29+'Asotin Pgs 10-11'!J29+'Benton-Franklin Pgs 12-13'!J29+'Chelan-Douglas Pgs 14-15'!J29+'Clallam Pgs 16-17'!J29+'Clark Pgs 18-19'!J29+'Columbia Pgs 20-21'!J29+'Cowlitz Pgs 22-23'!J29+'Garfield Pgs 24-25'!J29+'Grant Pgs 26-27'!J29+'Grays Harbor Pgs 28-29'!J29+'Island Pgs 30-31'!J29+'Jefferson Pgs 32-33'!J29+'Kitsap Pgs 34-35'!J29+'Kittitas Pgs 36-37'!J29+'Klickitat Pgs 38-39'!J29+'Lewis Pgs 40-41'!J29+'Lincoln Pgs 42-43'!J29+'Mason Pgs 44-45'!J29+'Northeast Tri Pgs 46-47'!J29+'Okanogan Pgs 48-49'!J29+'Pacific Pgs 50-51'!J29+'San Juan Pgs 52-53'!J29+'[1]seattle king'!J29+'Skagit Pgs 56-57'!J29+'Skamania Pgs 58-59'!J29+'Snohomish Pgs 60-61'!J29+'Spokane Pgs 62-63'!J29+'Tacoma-Pierce Pgs 64-65'!J29+'Thurston Pgs 66-67'!J29+'Wahkiakum Pgs 68-69'!J29+'Walla Walla Pgs 70-71'!J29+'Whatcom Pgs 72-73'!J29+'Whitman Pgs 74-75'!J29+'Yakima Pgs 76-77'!J29</f>
        <v>87892</v>
      </c>
      <c r="K29" s="142">
        <f t="shared" si="0"/>
        <v>23202920</v>
      </c>
      <c r="L29"/>
    </row>
    <row r="30" spans="1:12" x14ac:dyDescent="0.35">
      <c r="A30" s="79">
        <v>562.57000000000005</v>
      </c>
      <c r="B30" s="29" t="s">
        <v>61</v>
      </c>
      <c r="C30" s="108">
        <f>'Adams Pgs 8-9'!C30+'Asotin Pgs 10-11'!C30+'Benton-Franklin Pgs 12-13'!C30+'Chelan-Douglas Pgs 14-15'!C30+'Clallam Pgs 16-17'!C30+'Clark Pgs 18-19'!C30+'Columbia Pgs 20-21'!C30+'Cowlitz Pgs 22-23'!C30+'Garfield Pgs 24-25'!C30+'Grant Pgs 26-27'!C30+'Grays Harbor Pgs 28-29'!C30+'Island Pgs 30-31'!C30+'Jefferson Pgs 32-33'!C30+'Kitsap Pgs 34-35'!C30+'Kittitas Pgs 36-37'!C30+'Klickitat Pgs 38-39'!C30+'Lewis Pgs 40-41'!C30+'Lincoln Pgs 42-43'!C30+'Mason Pgs 44-45'!C30+'Northeast Tri Pgs 46-47'!C30+'Okanogan Pgs 48-49'!C30+'Pacific Pgs 50-51'!C30+'San Juan Pgs 52-53'!C30+'[1]seattle king'!C30+'Skagit Pgs 56-57'!C30+'Skamania Pgs 58-59'!C30+'Snohomish Pgs 60-61'!C30+'Spokane Pgs 62-63'!C30+'Tacoma-Pierce Pgs 64-65'!C30+'Thurston Pgs 66-67'!C30+'Wahkiakum Pgs 68-69'!C30+'Walla Walla Pgs 70-71'!C30+'Whatcom Pgs 72-73'!C30+'Whitman Pgs 74-75'!C30+'Yakima Pgs 76-77'!C30</f>
        <v>0</v>
      </c>
      <c r="D30" s="109">
        <f>'Adams Pgs 8-9'!D30+'Asotin Pgs 10-11'!D30+'Benton-Franklin Pgs 12-13'!D30+'Chelan-Douglas Pgs 14-15'!D30+'Clallam Pgs 16-17'!D30+'Clark Pgs 18-19'!D30+'Columbia Pgs 20-21'!D30+'Cowlitz Pgs 22-23'!D30+'Garfield Pgs 24-25'!D30+'Grant Pgs 26-27'!D30+'Grays Harbor Pgs 28-29'!D30+'Island Pgs 30-31'!D30+'Jefferson Pgs 32-33'!D30+'Kitsap Pgs 34-35'!D30+'Kittitas Pgs 36-37'!D30+'Klickitat Pgs 38-39'!D30+'Lewis Pgs 40-41'!D30+'Lincoln Pgs 42-43'!D30+'Mason Pgs 44-45'!D30+'Northeast Tri Pgs 46-47'!D30+'Okanogan Pgs 48-49'!D30+'Pacific Pgs 50-51'!D30+'San Juan Pgs 52-53'!D30+'[1]seattle king'!D30+'Skagit Pgs 56-57'!D30+'Skamania Pgs 58-59'!D30+'Snohomish Pgs 60-61'!D30+'Spokane Pgs 62-63'!D30+'Tacoma-Pierce Pgs 64-65'!D30+'Thurston Pgs 66-67'!D30+'Wahkiakum Pgs 68-69'!D30+'Walla Walla Pgs 70-71'!D30+'Whatcom Pgs 72-73'!D30+'Whitman Pgs 74-75'!D30+'Yakima Pgs 76-77'!D30</f>
        <v>5293</v>
      </c>
      <c r="E30" s="110">
        <f>'Adams Pgs 8-9'!E30+'Asotin Pgs 10-11'!E30+'Benton-Franklin Pgs 12-13'!E30+'Chelan-Douglas Pgs 14-15'!E30+'Clallam Pgs 16-17'!E30+'Clark Pgs 18-19'!E30+'Columbia Pgs 20-21'!E30+'Cowlitz Pgs 22-23'!E30+'Garfield Pgs 24-25'!E30+'Grant Pgs 26-27'!E30+'Grays Harbor Pgs 28-29'!E30+'Island Pgs 30-31'!E30+'Jefferson Pgs 32-33'!E30+'Kitsap Pgs 34-35'!E30+'Kittitas Pgs 36-37'!E30+'Klickitat Pgs 38-39'!E30+'Lewis Pgs 40-41'!E30+'Lincoln Pgs 42-43'!E30+'Mason Pgs 44-45'!E30+'Northeast Tri Pgs 46-47'!E30+'Okanogan Pgs 48-49'!E30+'Pacific Pgs 50-51'!E30+'San Juan Pgs 52-53'!E30+'[1]seattle king'!E30+'Skagit Pgs 56-57'!E30+'Skamania Pgs 58-59'!E30+'Snohomish Pgs 60-61'!E30+'Spokane Pgs 62-63'!E30+'Tacoma-Pierce Pgs 64-65'!E30+'Thurston Pgs 66-67'!E30+'Wahkiakum Pgs 68-69'!E30+'Walla Walla Pgs 70-71'!E30+'Whatcom Pgs 72-73'!E30+'Whitman Pgs 74-75'!E30+'Yakima Pgs 76-77'!E30</f>
        <v>106077</v>
      </c>
      <c r="F30" s="108">
        <f>'Adams Pgs 8-9'!F30+'Asotin Pgs 10-11'!F30+'Benton-Franklin Pgs 12-13'!F30+'Chelan-Douglas Pgs 14-15'!F30+'Clallam Pgs 16-17'!F30+'Clark Pgs 18-19'!F30+'Columbia Pgs 20-21'!F30+'Cowlitz Pgs 22-23'!F30+'Garfield Pgs 24-25'!F30+'Grant Pgs 26-27'!F30+'Grays Harbor Pgs 28-29'!F30+'Island Pgs 30-31'!F30+'Jefferson Pgs 32-33'!F30+'Kitsap Pgs 34-35'!F30+'Kittitas Pgs 36-37'!F30+'Klickitat Pgs 38-39'!F30+'Lewis Pgs 40-41'!F30+'Lincoln Pgs 42-43'!F30+'Mason Pgs 44-45'!F30+'Northeast Tri Pgs 46-47'!F30+'Okanogan Pgs 48-49'!F30+'Pacific Pgs 50-51'!F30+'San Juan Pgs 52-53'!F30+'[1]seattle king'!F30+'Skagit Pgs 56-57'!F30+'Skamania Pgs 58-59'!F30+'Snohomish Pgs 60-61'!F30+'Spokane Pgs 62-63'!F30+'Tacoma-Pierce Pgs 64-65'!F30+'Thurston Pgs 66-67'!F30+'Wahkiakum Pgs 68-69'!F30+'Walla Walla Pgs 70-71'!F30+'Whatcom Pgs 72-73'!F30+'Whitman Pgs 74-75'!F30+'Yakima Pgs 76-77'!F30</f>
        <v>0</v>
      </c>
      <c r="G30" s="110">
        <f>'Adams Pgs 8-9'!G30+'Asotin Pgs 10-11'!G30+'Benton-Franklin Pgs 12-13'!G30+'Chelan-Douglas Pgs 14-15'!G30+'Clallam Pgs 16-17'!G30+'Clark Pgs 18-19'!G30+'Columbia Pgs 20-21'!G30+'Cowlitz Pgs 22-23'!G30+'Garfield Pgs 24-25'!G30+'Grant Pgs 26-27'!G30+'Grays Harbor Pgs 28-29'!G30+'Island Pgs 30-31'!G30+'Jefferson Pgs 32-33'!G30+'Kitsap Pgs 34-35'!G30+'Kittitas Pgs 36-37'!G30+'Klickitat Pgs 38-39'!G30+'Lewis Pgs 40-41'!G30+'Lincoln Pgs 42-43'!G30+'Mason Pgs 44-45'!G30+'Northeast Tri Pgs 46-47'!G30+'Okanogan Pgs 48-49'!G30+'Pacific Pgs 50-51'!G30+'San Juan Pgs 52-53'!G30+'[1]seattle king'!G30+'Skagit Pgs 56-57'!G30+'Skamania Pgs 58-59'!G30+'Snohomish Pgs 60-61'!G30+'Spokane Pgs 62-63'!G30+'Tacoma-Pierce Pgs 64-65'!G30+'Thurston Pgs 66-67'!G30+'Wahkiakum Pgs 68-69'!G30+'Walla Walla Pgs 70-71'!G30+'Whatcom Pgs 72-73'!G30+'Whitman Pgs 74-75'!G30+'Yakima Pgs 76-77'!G30</f>
        <v>0</v>
      </c>
      <c r="H30" s="111">
        <f>'Adams Pgs 8-9'!H30+'Asotin Pgs 10-11'!H30+'Benton-Franklin Pgs 12-13'!H30+'Chelan-Douglas Pgs 14-15'!H30+'Clallam Pgs 16-17'!H30+'Clark Pgs 18-19'!H30+'Columbia Pgs 20-21'!H30+'Cowlitz Pgs 22-23'!H30+'Garfield Pgs 24-25'!H30+'Grant Pgs 26-27'!H30+'Grays Harbor Pgs 28-29'!H30+'Island Pgs 30-31'!H30+'Jefferson Pgs 32-33'!H30+'Kitsap Pgs 34-35'!H30+'Kittitas Pgs 36-37'!H30+'Klickitat Pgs 38-39'!H30+'Lewis Pgs 40-41'!H30+'Lincoln Pgs 42-43'!H30+'Mason Pgs 44-45'!H30+'Northeast Tri Pgs 46-47'!H30+'Okanogan Pgs 48-49'!H30+'Pacific Pgs 50-51'!H30+'San Juan Pgs 52-53'!H30+'[1]seattle king'!H30+'Skagit Pgs 56-57'!H30+'Skamania Pgs 58-59'!H30+'Snohomish Pgs 60-61'!H30+'Spokane Pgs 62-63'!H30+'Tacoma-Pierce Pgs 64-65'!H30+'Thurston Pgs 66-67'!H30+'Wahkiakum Pgs 68-69'!H30+'Walla Walla Pgs 70-71'!H30+'Whatcom Pgs 72-73'!H30+'Whitman Pgs 74-75'!H30+'Yakima Pgs 76-77'!H30</f>
        <v>476458</v>
      </c>
      <c r="I30" s="110">
        <f>'Adams Pgs 8-9'!I30+'Asotin Pgs 10-11'!I30+'Benton-Franklin Pgs 12-13'!I30+'Chelan-Douglas Pgs 14-15'!I30+'Clallam Pgs 16-17'!I30+'Clark Pgs 18-19'!I30+'Columbia Pgs 20-21'!I30+'Cowlitz Pgs 22-23'!I30+'Garfield Pgs 24-25'!I30+'Grant Pgs 26-27'!I30+'Grays Harbor Pgs 28-29'!I30+'Island Pgs 30-31'!I30+'Jefferson Pgs 32-33'!I30+'Kitsap Pgs 34-35'!I30+'Kittitas Pgs 36-37'!I30+'Klickitat Pgs 38-39'!I30+'Lewis Pgs 40-41'!I30+'Lincoln Pgs 42-43'!I30+'Mason Pgs 44-45'!I30+'Northeast Tri Pgs 46-47'!I30+'Okanogan Pgs 48-49'!I30+'Pacific Pgs 50-51'!I30+'San Juan Pgs 52-53'!I30+'[1]seattle king'!I30+'Skagit Pgs 56-57'!I30+'Skamania Pgs 58-59'!I30+'Snohomish Pgs 60-61'!I30+'Spokane Pgs 62-63'!I30+'Tacoma-Pierce Pgs 64-65'!I30+'Thurston Pgs 66-67'!I30+'Wahkiakum Pgs 68-69'!I30+'Walla Walla Pgs 70-71'!I30+'Whatcom Pgs 72-73'!I30+'Whitman Pgs 74-75'!I30+'Yakima Pgs 76-77'!I30</f>
        <v>789364</v>
      </c>
      <c r="J30" s="112">
        <f>'Adams Pgs 8-9'!J30+'Asotin Pgs 10-11'!J30+'Benton-Franklin Pgs 12-13'!J30+'Chelan-Douglas Pgs 14-15'!J30+'Clallam Pgs 16-17'!J30+'Clark Pgs 18-19'!J30+'Columbia Pgs 20-21'!J30+'Cowlitz Pgs 22-23'!J30+'Garfield Pgs 24-25'!J30+'Grant Pgs 26-27'!J30+'Grays Harbor Pgs 28-29'!J30+'Island Pgs 30-31'!J30+'Jefferson Pgs 32-33'!J30+'Kitsap Pgs 34-35'!J30+'Kittitas Pgs 36-37'!J30+'Klickitat Pgs 38-39'!J30+'Lewis Pgs 40-41'!J30+'Lincoln Pgs 42-43'!J30+'Mason Pgs 44-45'!J30+'Northeast Tri Pgs 46-47'!J30+'Okanogan Pgs 48-49'!J30+'Pacific Pgs 50-51'!J30+'San Juan Pgs 52-53'!J30+'[1]seattle king'!J30+'Skagit Pgs 56-57'!J30+'Skamania Pgs 58-59'!J30+'Snohomish Pgs 60-61'!J30+'Spokane Pgs 62-63'!J30+'Tacoma-Pierce Pgs 64-65'!J30+'Thurston Pgs 66-67'!J30+'Wahkiakum Pgs 68-69'!J30+'Walla Walla Pgs 70-71'!J30+'Whatcom Pgs 72-73'!J30+'Whitman Pgs 74-75'!J30+'Yakima Pgs 76-77'!J30</f>
        <v>528</v>
      </c>
      <c r="K30" s="142">
        <f t="shared" si="0"/>
        <v>1377720</v>
      </c>
      <c r="L30"/>
    </row>
    <row r="31" spans="1:12" x14ac:dyDescent="0.35">
      <c r="A31" s="79">
        <v>562.58000000000004</v>
      </c>
      <c r="B31" s="29" t="s">
        <v>48</v>
      </c>
      <c r="C31" s="108">
        <f>'Adams Pgs 8-9'!C31+'Asotin Pgs 10-11'!C31+'Benton-Franklin Pgs 12-13'!C31+'Chelan-Douglas Pgs 14-15'!C31+'Clallam Pgs 16-17'!C31+'Clark Pgs 18-19'!C31+'Columbia Pgs 20-21'!C31+'Cowlitz Pgs 22-23'!C31+'Garfield Pgs 24-25'!C31+'Grant Pgs 26-27'!C31+'Grays Harbor Pgs 28-29'!C31+'Island Pgs 30-31'!C31+'Jefferson Pgs 32-33'!C31+'Kitsap Pgs 34-35'!C31+'Kittitas Pgs 36-37'!C31+'Klickitat Pgs 38-39'!C31+'Lewis Pgs 40-41'!C31+'Lincoln Pgs 42-43'!C31+'Mason Pgs 44-45'!C31+'Northeast Tri Pgs 46-47'!C31+'Okanogan Pgs 48-49'!C31+'Pacific Pgs 50-51'!C31+'San Juan Pgs 52-53'!C31+'[1]seattle king'!C31+'Skagit Pgs 56-57'!C31+'Skamania Pgs 58-59'!C31+'Snohomish Pgs 60-61'!C31+'Spokane Pgs 62-63'!C31+'Tacoma-Pierce Pgs 64-65'!C31+'Thurston Pgs 66-67'!C31+'Wahkiakum Pgs 68-69'!C31+'Walla Walla Pgs 70-71'!C31+'Whatcom Pgs 72-73'!C31+'Whitman Pgs 74-75'!C31+'Yakima Pgs 76-77'!C31</f>
        <v>3146</v>
      </c>
      <c r="D31" s="109">
        <f>'Adams Pgs 8-9'!D31+'Asotin Pgs 10-11'!D31+'Benton-Franklin Pgs 12-13'!D31+'Chelan-Douglas Pgs 14-15'!D31+'Clallam Pgs 16-17'!D31+'Clark Pgs 18-19'!D31+'Columbia Pgs 20-21'!D31+'Cowlitz Pgs 22-23'!D31+'Garfield Pgs 24-25'!D31+'Grant Pgs 26-27'!D31+'Grays Harbor Pgs 28-29'!D31+'Island Pgs 30-31'!D31+'Jefferson Pgs 32-33'!D31+'Kitsap Pgs 34-35'!D31+'Kittitas Pgs 36-37'!D31+'Klickitat Pgs 38-39'!D31+'Lewis Pgs 40-41'!D31+'Lincoln Pgs 42-43'!D31+'Mason Pgs 44-45'!D31+'Northeast Tri Pgs 46-47'!D31+'Okanogan Pgs 48-49'!D31+'Pacific Pgs 50-51'!D31+'San Juan Pgs 52-53'!D31+'[1]seattle king'!D31+'Skagit Pgs 56-57'!D31+'Skamania Pgs 58-59'!D31+'Snohomish Pgs 60-61'!D31+'Spokane Pgs 62-63'!D31+'Tacoma-Pierce Pgs 64-65'!D31+'Thurston Pgs 66-67'!D31+'Wahkiakum Pgs 68-69'!D31+'Walla Walla Pgs 70-71'!D31+'Whatcom Pgs 72-73'!D31+'Whitman Pgs 74-75'!D31+'Yakima Pgs 76-77'!D31</f>
        <v>18229</v>
      </c>
      <c r="E31" s="110">
        <f>'Adams Pgs 8-9'!E31+'Asotin Pgs 10-11'!E31+'Benton-Franklin Pgs 12-13'!E31+'Chelan-Douglas Pgs 14-15'!E31+'Clallam Pgs 16-17'!E31+'Clark Pgs 18-19'!E31+'Columbia Pgs 20-21'!E31+'Cowlitz Pgs 22-23'!E31+'Garfield Pgs 24-25'!E31+'Grant Pgs 26-27'!E31+'Grays Harbor Pgs 28-29'!E31+'Island Pgs 30-31'!E31+'Jefferson Pgs 32-33'!E31+'Kitsap Pgs 34-35'!E31+'Kittitas Pgs 36-37'!E31+'Klickitat Pgs 38-39'!E31+'Lewis Pgs 40-41'!E31+'Lincoln Pgs 42-43'!E31+'Mason Pgs 44-45'!E31+'Northeast Tri Pgs 46-47'!E31+'Okanogan Pgs 48-49'!E31+'Pacific Pgs 50-51'!E31+'San Juan Pgs 52-53'!E31+'[1]seattle king'!E31+'Skagit Pgs 56-57'!E31+'Skamania Pgs 58-59'!E31+'Snohomish Pgs 60-61'!E31+'Spokane Pgs 62-63'!E31+'Tacoma-Pierce Pgs 64-65'!E31+'Thurston Pgs 66-67'!E31+'Wahkiakum Pgs 68-69'!E31+'Walla Walla Pgs 70-71'!E31+'Whatcom Pgs 72-73'!E31+'Whitman Pgs 74-75'!E31+'Yakima Pgs 76-77'!E31</f>
        <v>25644</v>
      </c>
      <c r="F31" s="108">
        <f>'Adams Pgs 8-9'!F31+'Asotin Pgs 10-11'!F31+'Benton-Franklin Pgs 12-13'!F31+'Chelan-Douglas Pgs 14-15'!F31+'Clallam Pgs 16-17'!F31+'Clark Pgs 18-19'!F31+'Columbia Pgs 20-21'!F31+'Cowlitz Pgs 22-23'!F31+'Garfield Pgs 24-25'!F31+'Grant Pgs 26-27'!F31+'Grays Harbor Pgs 28-29'!F31+'Island Pgs 30-31'!F31+'Jefferson Pgs 32-33'!F31+'Kitsap Pgs 34-35'!F31+'Kittitas Pgs 36-37'!F31+'Klickitat Pgs 38-39'!F31+'Lewis Pgs 40-41'!F31+'Lincoln Pgs 42-43'!F31+'Mason Pgs 44-45'!F31+'Northeast Tri Pgs 46-47'!F31+'Okanogan Pgs 48-49'!F31+'Pacific Pgs 50-51'!F31+'San Juan Pgs 52-53'!F31+'[1]seattle king'!F31+'Skagit Pgs 56-57'!F31+'Skamania Pgs 58-59'!F31+'Snohomish Pgs 60-61'!F31+'Spokane Pgs 62-63'!F31+'Tacoma-Pierce Pgs 64-65'!F31+'Thurston Pgs 66-67'!F31+'Wahkiakum Pgs 68-69'!F31+'Walla Walla Pgs 70-71'!F31+'Whatcom Pgs 72-73'!F31+'Whitman Pgs 74-75'!F31+'Yakima Pgs 76-77'!F31</f>
        <v>23500</v>
      </c>
      <c r="G31" s="110">
        <f>'Adams Pgs 8-9'!G31+'Asotin Pgs 10-11'!G31+'Benton-Franklin Pgs 12-13'!G31+'Chelan-Douglas Pgs 14-15'!G31+'Clallam Pgs 16-17'!G31+'Clark Pgs 18-19'!G31+'Columbia Pgs 20-21'!G31+'Cowlitz Pgs 22-23'!G31+'Garfield Pgs 24-25'!G31+'Grant Pgs 26-27'!G31+'Grays Harbor Pgs 28-29'!G31+'Island Pgs 30-31'!G31+'Jefferson Pgs 32-33'!G31+'Kitsap Pgs 34-35'!G31+'Kittitas Pgs 36-37'!G31+'Klickitat Pgs 38-39'!G31+'Lewis Pgs 40-41'!G31+'Lincoln Pgs 42-43'!G31+'Mason Pgs 44-45'!G31+'Northeast Tri Pgs 46-47'!G31+'Okanogan Pgs 48-49'!G31+'Pacific Pgs 50-51'!G31+'San Juan Pgs 52-53'!G31+'[1]seattle king'!G31+'Skagit Pgs 56-57'!G31+'Skamania Pgs 58-59'!G31+'Snohomish Pgs 60-61'!G31+'Spokane Pgs 62-63'!G31+'Tacoma-Pierce Pgs 64-65'!G31+'Thurston Pgs 66-67'!G31+'Wahkiakum Pgs 68-69'!G31+'Walla Walla Pgs 70-71'!G31+'Whatcom Pgs 72-73'!G31+'Whitman Pgs 74-75'!G31+'Yakima Pgs 76-77'!G31</f>
        <v>0</v>
      </c>
      <c r="H31" s="111">
        <f>'Adams Pgs 8-9'!H31+'Asotin Pgs 10-11'!H31+'Benton-Franklin Pgs 12-13'!H31+'Chelan-Douglas Pgs 14-15'!H31+'Clallam Pgs 16-17'!H31+'Clark Pgs 18-19'!H31+'Columbia Pgs 20-21'!H31+'Cowlitz Pgs 22-23'!H31+'Garfield Pgs 24-25'!H31+'Grant Pgs 26-27'!H31+'Grays Harbor Pgs 28-29'!H31+'Island Pgs 30-31'!H31+'Jefferson Pgs 32-33'!H31+'Kitsap Pgs 34-35'!H31+'Kittitas Pgs 36-37'!H31+'Klickitat Pgs 38-39'!H31+'Lewis Pgs 40-41'!H31+'Lincoln Pgs 42-43'!H31+'Mason Pgs 44-45'!H31+'Northeast Tri Pgs 46-47'!H31+'Okanogan Pgs 48-49'!H31+'Pacific Pgs 50-51'!H31+'San Juan Pgs 52-53'!H31+'[1]seattle king'!H31+'Skagit Pgs 56-57'!H31+'Skamania Pgs 58-59'!H31+'Snohomish Pgs 60-61'!H31+'Spokane Pgs 62-63'!H31+'Tacoma-Pierce Pgs 64-65'!H31+'Thurston Pgs 66-67'!H31+'Wahkiakum Pgs 68-69'!H31+'Walla Walla Pgs 70-71'!H31+'Whatcom Pgs 72-73'!H31+'Whitman Pgs 74-75'!H31+'Yakima Pgs 76-77'!H31</f>
        <v>33922</v>
      </c>
      <c r="I31" s="110">
        <f>'Adams Pgs 8-9'!I31+'Asotin Pgs 10-11'!I31+'Benton-Franklin Pgs 12-13'!I31+'Chelan-Douglas Pgs 14-15'!I31+'Clallam Pgs 16-17'!I31+'Clark Pgs 18-19'!I31+'Columbia Pgs 20-21'!I31+'Cowlitz Pgs 22-23'!I31+'Garfield Pgs 24-25'!I31+'Grant Pgs 26-27'!I31+'Grays Harbor Pgs 28-29'!I31+'Island Pgs 30-31'!I31+'Jefferson Pgs 32-33'!I31+'Kitsap Pgs 34-35'!I31+'Kittitas Pgs 36-37'!I31+'Klickitat Pgs 38-39'!I31+'Lewis Pgs 40-41'!I31+'Lincoln Pgs 42-43'!I31+'Mason Pgs 44-45'!I31+'Northeast Tri Pgs 46-47'!I31+'Okanogan Pgs 48-49'!I31+'Pacific Pgs 50-51'!I31+'San Juan Pgs 52-53'!I31+'[1]seattle king'!I31+'Skagit Pgs 56-57'!I31+'Skamania Pgs 58-59'!I31+'Snohomish Pgs 60-61'!I31+'Spokane Pgs 62-63'!I31+'Tacoma-Pierce Pgs 64-65'!I31+'Thurston Pgs 66-67'!I31+'Wahkiakum Pgs 68-69'!I31+'Walla Walla Pgs 70-71'!I31+'Whatcom Pgs 72-73'!I31+'Whitman Pgs 74-75'!I31+'Yakima Pgs 76-77'!I31</f>
        <v>2411962</v>
      </c>
      <c r="J31" s="112">
        <f>'Adams Pgs 8-9'!J31+'Asotin Pgs 10-11'!J31+'Benton-Franklin Pgs 12-13'!J31+'Chelan-Douglas Pgs 14-15'!J31+'Clallam Pgs 16-17'!J31+'Clark Pgs 18-19'!J31+'Columbia Pgs 20-21'!J31+'Cowlitz Pgs 22-23'!J31+'Garfield Pgs 24-25'!J31+'Grant Pgs 26-27'!J31+'Grays Harbor Pgs 28-29'!J31+'Island Pgs 30-31'!J31+'Jefferson Pgs 32-33'!J31+'Kitsap Pgs 34-35'!J31+'Kittitas Pgs 36-37'!J31+'Klickitat Pgs 38-39'!J31+'Lewis Pgs 40-41'!J31+'Lincoln Pgs 42-43'!J31+'Mason Pgs 44-45'!J31+'Northeast Tri Pgs 46-47'!J31+'Okanogan Pgs 48-49'!J31+'Pacific Pgs 50-51'!J31+'San Juan Pgs 52-53'!J31+'[1]seattle king'!J31+'Skagit Pgs 56-57'!J31+'Skamania Pgs 58-59'!J31+'Snohomish Pgs 60-61'!J31+'Spokane Pgs 62-63'!J31+'Tacoma-Pierce Pgs 64-65'!J31+'Thurston Pgs 66-67'!J31+'Wahkiakum Pgs 68-69'!J31+'Walla Walla Pgs 70-71'!J31+'Whatcom Pgs 72-73'!J31+'Whitman Pgs 74-75'!J31+'Yakima Pgs 76-77'!J31</f>
        <v>-43509</v>
      </c>
      <c r="K31" s="142">
        <f t="shared" si="0"/>
        <v>2472894</v>
      </c>
      <c r="L31"/>
    </row>
    <row r="32" spans="1:12" x14ac:dyDescent="0.35">
      <c r="A32" s="79">
        <v>562.59</v>
      </c>
      <c r="B32" s="29" t="s">
        <v>49</v>
      </c>
      <c r="C32" s="108">
        <f>'Adams Pgs 8-9'!C32+'Asotin Pgs 10-11'!C32+'Benton-Franklin Pgs 12-13'!C32+'Chelan-Douglas Pgs 14-15'!C32+'Clallam Pgs 16-17'!C32+'Clark Pgs 18-19'!C32+'Columbia Pgs 20-21'!C32+'Cowlitz Pgs 22-23'!C32+'Garfield Pgs 24-25'!C32+'Grant Pgs 26-27'!C32+'Grays Harbor Pgs 28-29'!C32+'Island Pgs 30-31'!C32+'Jefferson Pgs 32-33'!C32+'Kitsap Pgs 34-35'!C32+'Kittitas Pgs 36-37'!C32+'Klickitat Pgs 38-39'!C32+'Lewis Pgs 40-41'!C32+'Lincoln Pgs 42-43'!C32+'Mason Pgs 44-45'!C32+'Northeast Tri Pgs 46-47'!C32+'Okanogan Pgs 48-49'!C32+'Pacific Pgs 50-51'!C32+'San Juan Pgs 52-53'!C32+'[1]seattle king'!C32+'Skagit Pgs 56-57'!C32+'Skamania Pgs 58-59'!C32+'Snohomish Pgs 60-61'!C32+'Spokane Pgs 62-63'!C32+'Tacoma-Pierce Pgs 64-65'!C32+'Thurston Pgs 66-67'!C32+'Wahkiakum Pgs 68-69'!C32+'Walla Walla Pgs 70-71'!C32+'Whatcom Pgs 72-73'!C32+'Whitman Pgs 74-75'!C32+'Yakima Pgs 76-77'!C32</f>
        <v>6860</v>
      </c>
      <c r="D32" s="109">
        <f>'Adams Pgs 8-9'!D32+'Asotin Pgs 10-11'!D32+'Benton-Franklin Pgs 12-13'!D32+'Chelan-Douglas Pgs 14-15'!D32+'Clallam Pgs 16-17'!D32+'Clark Pgs 18-19'!D32+'Columbia Pgs 20-21'!D32+'Cowlitz Pgs 22-23'!D32+'Garfield Pgs 24-25'!D32+'Grant Pgs 26-27'!D32+'Grays Harbor Pgs 28-29'!D32+'Island Pgs 30-31'!D32+'Jefferson Pgs 32-33'!D32+'Kitsap Pgs 34-35'!D32+'Kittitas Pgs 36-37'!D32+'Klickitat Pgs 38-39'!D32+'Lewis Pgs 40-41'!D32+'Lincoln Pgs 42-43'!D32+'Mason Pgs 44-45'!D32+'Northeast Tri Pgs 46-47'!D32+'Okanogan Pgs 48-49'!D32+'Pacific Pgs 50-51'!D32+'San Juan Pgs 52-53'!D32+'[1]seattle king'!D32+'Skagit Pgs 56-57'!D32+'Skamania Pgs 58-59'!D32+'Snohomish Pgs 60-61'!D32+'Spokane Pgs 62-63'!D32+'Tacoma-Pierce Pgs 64-65'!D32+'Thurston Pgs 66-67'!D32+'Wahkiakum Pgs 68-69'!D32+'Walla Walla Pgs 70-71'!D32+'Whatcom Pgs 72-73'!D32+'Whitman Pgs 74-75'!D32+'Yakima Pgs 76-77'!D32</f>
        <v>389793</v>
      </c>
      <c r="E32" s="110">
        <f>'Adams Pgs 8-9'!E32+'Asotin Pgs 10-11'!E32+'Benton-Franklin Pgs 12-13'!E32+'Chelan-Douglas Pgs 14-15'!E32+'Clallam Pgs 16-17'!E32+'Clark Pgs 18-19'!E32+'Columbia Pgs 20-21'!E32+'Cowlitz Pgs 22-23'!E32+'Garfield Pgs 24-25'!E32+'Grant Pgs 26-27'!E32+'Grays Harbor Pgs 28-29'!E32+'Island Pgs 30-31'!E32+'Jefferson Pgs 32-33'!E32+'Kitsap Pgs 34-35'!E32+'Kittitas Pgs 36-37'!E32+'Klickitat Pgs 38-39'!E32+'Lewis Pgs 40-41'!E32+'Lincoln Pgs 42-43'!E32+'Mason Pgs 44-45'!E32+'Northeast Tri Pgs 46-47'!E32+'Okanogan Pgs 48-49'!E32+'Pacific Pgs 50-51'!E32+'San Juan Pgs 52-53'!E32+'[1]seattle king'!E32+'Skagit Pgs 56-57'!E32+'Skamania Pgs 58-59'!E32+'Snohomish Pgs 60-61'!E32+'Spokane Pgs 62-63'!E32+'Tacoma-Pierce Pgs 64-65'!E32+'Thurston Pgs 66-67'!E32+'Wahkiakum Pgs 68-69'!E32+'Walla Walla Pgs 70-71'!E32+'Whatcom Pgs 72-73'!E32+'Whitman Pgs 74-75'!E32+'Yakima Pgs 76-77'!E32</f>
        <v>0</v>
      </c>
      <c r="F32" s="108">
        <f>'Adams Pgs 8-9'!F32+'Asotin Pgs 10-11'!F32+'Benton-Franklin Pgs 12-13'!F32+'Chelan-Douglas Pgs 14-15'!F32+'Clallam Pgs 16-17'!F32+'Clark Pgs 18-19'!F32+'Columbia Pgs 20-21'!F32+'Cowlitz Pgs 22-23'!F32+'Garfield Pgs 24-25'!F32+'Grant Pgs 26-27'!F32+'Grays Harbor Pgs 28-29'!F32+'Island Pgs 30-31'!F32+'Jefferson Pgs 32-33'!F32+'Kitsap Pgs 34-35'!F32+'Kittitas Pgs 36-37'!F32+'Klickitat Pgs 38-39'!F32+'Lewis Pgs 40-41'!F32+'Lincoln Pgs 42-43'!F32+'Mason Pgs 44-45'!F32+'Northeast Tri Pgs 46-47'!F32+'Okanogan Pgs 48-49'!F32+'Pacific Pgs 50-51'!F32+'San Juan Pgs 52-53'!F32+'[1]seattle king'!F32+'Skagit Pgs 56-57'!F32+'Skamania Pgs 58-59'!F32+'Snohomish Pgs 60-61'!F32+'Spokane Pgs 62-63'!F32+'Tacoma-Pierce Pgs 64-65'!F32+'Thurston Pgs 66-67'!F32+'Wahkiakum Pgs 68-69'!F32+'Walla Walla Pgs 70-71'!F32+'Whatcom Pgs 72-73'!F32+'Whitman Pgs 74-75'!F32+'Yakima Pgs 76-77'!F32</f>
        <v>473</v>
      </c>
      <c r="G32" s="110">
        <f>'Adams Pgs 8-9'!G32+'Asotin Pgs 10-11'!G32+'Benton-Franklin Pgs 12-13'!G32+'Chelan-Douglas Pgs 14-15'!G32+'Clallam Pgs 16-17'!G32+'Clark Pgs 18-19'!G32+'Columbia Pgs 20-21'!G32+'Cowlitz Pgs 22-23'!G32+'Garfield Pgs 24-25'!G32+'Grant Pgs 26-27'!G32+'Grays Harbor Pgs 28-29'!G32+'Island Pgs 30-31'!G32+'Jefferson Pgs 32-33'!G32+'Kitsap Pgs 34-35'!G32+'Kittitas Pgs 36-37'!G32+'Klickitat Pgs 38-39'!G32+'Lewis Pgs 40-41'!G32+'Lincoln Pgs 42-43'!G32+'Mason Pgs 44-45'!G32+'Northeast Tri Pgs 46-47'!G32+'Okanogan Pgs 48-49'!G32+'Pacific Pgs 50-51'!G32+'San Juan Pgs 52-53'!G32+'[1]seattle king'!G32+'Skagit Pgs 56-57'!G32+'Skamania Pgs 58-59'!G32+'Snohomish Pgs 60-61'!G32+'Spokane Pgs 62-63'!G32+'Tacoma-Pierce Pgs 64-65'!G32+'Thurston Pgs 66-67'!G32+'Wahkiakum Pgs 68-69'!G32+'Walla Walla Pgs 70-71'!G32+'Whatcom Pgs 72-73'!G32+'Whitman Pgs 74-75'!G32+'Yakima Pgs 76-77'!G32</f>
        <v>171889</v>
      </c>
      <c r="H32" s="111">
        <f>'Adams Pgs 8-9'!H32+'Asotin Pgs 10-11'!H32+'Benton-Franklin Pgs 12-13'!H32+'Chelan-Douglas Pgs 14-15'!H32+'Clallam Pgs 16-17'!H32+'Clark Pgs 18-19'!H32+'Columbia Pgs 20-21'!H32+'Cowlitz Pgs 22-23'!H32+'Garfield Pgs 24-25'!H32+'Grant Pgs 26-27'!H32+'Grays Harbor Pgs 28-29'!H32+'Island Pgs 30-31'!H32+'Jefferson Pgs 32-33'!H32+'Kitsap Pgs 34-35'!H32+'Kittitas Pgs 36-37'!H32+'Klickitat Pgs 38-39'!H32+'Lewis Pgs 40-41'!H32+'Lincoln Pgs 42-43'!H32+'Mason Pgs 44-45'!H32+'Northeast Tri Pgs 46-47'!H32+'Okanogan Pgs 48-49'!H32+'Pacific Pgs 50-51'!H32+'San Juan Pgs 52-53'!H32+'[1]seattle king'!H32+'Skagit Pgs 56-57'!H32+'Skamania Pgs 58-59'!H32+'Snohomish Pgs 60-61'!H32+'Spokane Pgs 62-63'!H32+'Tacoma-Pierce Pgs 64-65'!H32+'Thurston Pgs 66-67'!H32+'Wahkiakum Pgs 68-69'!H32+'Walla Walla Pgs 70-71'!H32+'Whatcom Pgs 72-73'!H32+'Whitman Pgs 74-75'!H32+'Yakima Pgs 76-77'!H32</f>
        <v>243312</v>
      </c>
      <c r="I32" s="110">
        <f>'Adams Pgs 8-9'!I32+'Asotin Pgs 10-11'!I32+'Benton-Franklin Pgs 12-13'!I32+'Chelan-Douglas Pgs 14-15'!I32+'Clallam Pgs 16-17'!I32+'Clark Pgs 18-19'!I32+'Columbia Pgs 20-21'!I32+'Cowlitz Pgs 22-23'!I32+'Garfield Pgs 24-25'!I32+'Grant Pgs 26-27'!I32+'Grays Harbor Pgs 28-29'!I32+'Island Pgs 30-31'!I32+'Jefferson Pgs 32-33'!I32+'Kitsap Pgs 34-35'!I32+'Kittitas Pgs 36-37'!I32+'Klickitat Pgs 38-39'!I32+'Lewis Pgs 40-41'!I32+'Lincoln Pgs 42-43'!I32+'Mason Pgs 44-45'!I32+'Northeast Tri Pgs 46-47'!I32+'Okanogan Pgs 48-49'!I32+'Pacific Pgs 50-51'!I32+'San Juan Pgs 52-53'!I32+'[1]seattle king'!I32+'Skagit Pgs 56-57'!I32+'Skamania Pgs 58-59'!I32+'Snohomish Pgs 60-61'!I32+'Spokane Pgs 62-63'!I32+'Tacoma-Pierce Pgs 64-65'!I32+'Thurston Pgs 66-67'!I32+'Wahkiakum Pgs 68-69'!I32+'Walla Walla Pgs 70-71'!I32+'Whatcom Pgs 72-73'!I32+'Whitman Pgs 74-75'!I32+'Yakima Pgs 76-77'!I32</f>
        <v>3408062</v>
      </c>
      <c r="J32" s="112">
        <f>'Adams Pgs 8-9'!J32+'Asotin Pgs 10-11'!J32+'Benton-Franklin Pgs 12-13'!J32+'Chelan-Douglas Pgs 14-15'!J32+'Clallam Pgs 16-17'!J32+'Clark Pgs 18-19'!J32+'Columbia Pgs 20-21'!J32+'Cowlitz Pgs 22-23'!J32+'Garfield Pgs 24-25'!J32+'Grant Pgs 26-27'!J32+'Grays Harbor Pgs 28-29'!J32+'Island Pgs 30-31'!J32+'Jefferson Pgs 32-33'!J32+'Kitsap Pgs 34-35'!J32+'Kittitas Pgs 36-37'!J32+'Klickitat Pgs 38-39'!J32+'Lewis Pgs 40-41'!J32+'Lincoln Pgs 42-43'!J32+'Mason Pgs 44-45'!J32+'Northeast Tri Pgs 46-47'!J32+'Okanogan Pgs 48-49'!J32+'Pacific Pgs 50-51'!J32+'San Juan Pgs 52-53'!J32+'[1]seattle king'!J32+'Skagit Pgs 56-57'!J32+'Skamania Pgs 58-59'!J32+'Snohomish Pgs 60-61'!J32+'Spokane Pgs 62-63'!J32+'Tacoma-Pierce Pgs 64-65'!J32+'Thurston Pgs 66-67'!J32+'Wahkiakum Pgs 68-69'!J32+'Walla Walla Pgs 70-71'!J32+'Whatcom Pgs 72-73'!J32+'Whitman Pgs 74-75'!J32+'Yakima Pgs 76-77'!J32</f>
        <v>171681</v>
      </c>
      <c r="K32" s="142">
        <f t="shared" si="0"/>
        <v>4392070</v>
      </c>
      <c r="L32"/>
    </row>
    <row r="33" spans="1:12" x14ac:dyDescent="0.35">
      <c r="A33" s="79">
        <v>562.6</v>
      </c>
      <c r="B33" s="16" t="s">
        <v>21</v>
      </c>
      <c r="C33" s="108">
        <f>'Adams Pgs 8-9'!C33+'Asotin Pgs 10-11'!C33+'Benton-Franklin Pgs 12-13'!C33+'Chelan-Douglas Pgs 14-15'!C33+'Clallam Pgs 16-17'!C33+'Clark Pgs 18-19'!C33+'Columbia Pgs 20-21'!C33+'Cowlitz Pgs 22-23'!C33+'Garfield Pgs 24-25'!C33+'Grant Pgs 26-27'!C33+'Grays Harbor Pgs 28-29'!C33+'Island Pgs 30-31'!C33+'Jefferson Pgs 32-33'!C33+'Kitsap Pgs 34-35'!C33+'Kittitas Pgs 36-37'!C33+'Klickitat Pgs 38-39'!C33+'Lewis Pgs 40-41'!C33+'Lincoln Pgs 42-43'!C33+'Mason Pgs 44-45'!C33+'Northeast Tri Pgs 46-47'!C33+'Okanogan Pgs 48-49'!C33+'Pacific Pgs 50-51'!C33+'San Juan Pgs 52-53'!C33+'[1]seattle king'!C33+'Skagit Pgs 56-57'!C33+'Skamania Pgs 58-59'!C33+'Snohomish Pgs 60-61'!C33+'Spokane Pgs 62-63'!C33+'Tacoma-Pierce Pgs 64-65'!C33+'Thurston Pgs 66-67'!C33+'Wahkiakum Pgs 68-69'!C33+'Walla Walla Pgs 70-71'!C33+'Whatcom Pgs 72-73'!C33+'Whitman Pgs 74-75'!C33+'Yakima Pgs 76-77'!C33</f>
        <v>97135</v>
      </c>
      <c r="D33" s="109">
        <f>'Adams Pgs 8-9'!D33+'Asotin Pgs 10-11'!D33+'Benton-Franklin Pgs 12-13'!D33+'Chelan-Douglas Pgs 14-15'!D33+'Clallam Pgs 16-17'!D33+'Clark Pgs 18-19'!D33+'Columbia Pgs 20-21'!D33+'Cowlitz Pgs 22-23'!D33+'Garfield Pgs 24-25'!D33+'Grant Pgs 26-27'!D33+'Grays Harbor Pgs 28-29'!D33+'Island Pgs 30-31'!D33+'Jefferson Pgs 32-33'!D33+'Kitsap Pgs 34-35'!D33+'Kittitas Pgs 36-37'!D33+'Klickitat Pgs 38-39'!D33+'Lewis Pgs 40-41'!D33+'Lincoln Pgs 42-43'!D33+'Mason Pgs 44-45'!D33+'Northeast Tri Pgs 46-47'!D33+'Okanogan Pgs 48-49'!D33+'Pacific Pgs 50-51'!D33+'San Juan Pgs 52-53'!D33+'[1]seattle king'!D33+'Skagit Pgs 56-57'!D33+'Skamania Pgs 58-59'!D33+'Snohomish Pgs 60-61'!D33+'Spokane Pgs 62-63'!D33+'Tacoma-Pierce Pgs 64-65'!D33+'Thurston Pgs 66-67'!D33+'Wahkiakum Pgs 68-69'!D33+'Walla Walla Pgs 70-71'!D33+'Whatcom Pgs 72-73'!D33+'Whitman Pgs 74-75'!D33+'Yakima Pgs 76-77'!D33</f>
        <v>164313</v>
      </c>
      <c r="E33" s="110">
        <f>'Adams Pgs 8-9'!E33+'Asotin Pgs 10-11'!E33+'Benton-Franklin Pgs 12-13'!E33+'Chelan-Douglas Pgs 14-15'!E33+'Clallam Pgs 16-17'!E33+'Clark Pgs 18-19'!E33+'Columbia Pgs 20-21'!E33+'Cowlitz Pgs 22-23'!E33+'Garfield Pgs 24-25'!E33+'Grant Pgs 26-27'!E33+'Grays Harbor Pgs 28-29'!E33+'Island Pgs 30-31'!E33+'Jefferson Pgs 32-33'!E33+'Kitsap Pgs 34-35'!E33+'Kittitas Pgs 36-37'!E33+'Klickitat Pgs 38-39'!E33+'Lewis Pgs 40-41'!E33+'Lincoln Pgs 42-43'!E33+'Mason Pgs 44-45'!E33+'Northeast Tri Pgs 46-47'!E33+'Okanogan Pgs 48-49'!E33+'Pacific Pgs 50-51'!E33+'San Juan Pgs 52-53'!E33+'[1]seattle king'!E33+'Skagit Pgs 56-57'!E33+'Skamania Pgs 58-59'!E33+'Snohomish Pgs 60-61'!E33+'Spokane Pgs 62-63'!E33+'Tacoma-Pierce Pgs 64-65'!E33+'Thurston Pgs 66-67'!E33+'Wahkiakum Pgs 68-69'!E33+'Walla Walla Pgs 70-71'!E33+'Whatcom Pgs 72-73'!E33+'Whitman Pgs 74-75'!E33+'Yakima Pgs 76-77'!E33</f>
        <v>924100</v>
      </c>
      <c r="F33" s="108">
        <f>'Adams Pgs 8-9'!F33+'Asotin Pgs 10-11'!F33+'Benton-Franklin Pgs 12-13'!F33+'Chelan-Douglas Pgs 14-15'!F33+'Clallam Pgs 16-17'!F33+'Clark Pgs 18-19'!F33+'Columbia Pgs 20-21'!F33+'Cowlitz Pgs 22-23'!F33+'Garfield Pgs 24-25'!F33+'Grant Pgs 26-27'!F33+'Grays Harbor Pgs 28-29'!F33+'Island Pgs 30-31'!F33+'Jefferson Pgs 32-33'!F33+'Kitsap Pgs 34-35'!F33+'Kittitas Pgs 36-37'!F33+'Klickitat Pgs 38-39'!F33+'Lewis Pgs 40-41'!F33+'Lincoln Pgs 42-43'!F33+'Mason Pgs 44-45'!F33+'Northeast Tri Pgs 46-47'!F33+'Okanogan Pgs 48-49'!F33+'Pacific Pgs 50-51'!F33+'San Juan Pgs 52-53'!F33+'[1]seattle king'!F33+'Skagit Pgs 56-57'!F33+'Skamania Pgs 58-59'!F33+'Snohomish Pgs 60-61'!F33+'Spokane Pgs 62-63'!F33+'Tacoma-Pierce Pgs 64-65'!F33+'Thurston Pgs 66-67'!F33+'Wahkiakum Pgs 68-69'!F33+'Walla Walla Pgs 70-71'!F33+'Whatcom Pgs 72-73'!F33+'Whitman Pgs 74-75'!F33+'Yakima Pgs 76-77'!F33</f>
        <v>869626</v>
      </c>
      <c r="G33" s="110">
        <f>'Adams Pgs 8-9'!G33+'Asotin Pgs 10-11'!G33+'Benton-Franklin Pgs 12-13'!G33+'Chelan-Douglas Pgs 14-15'!G33+'Clallam Pgs 16-17'!G33+'Clark Pgs 18-19'!G33+'Columbia Pgs 20-21'!G33+'Cowlitz Pgs 22-23'!G33+'Garfield Pgs 24-25'!G33+'Grant Pgs 26-27'!G33+'Grays Harbor Pgs 28-29'!G33+'Island Pgs 30-31'!G33+'Jefferson Pgs 32-33'!G33+'Kitsap Pgs 34-35'!G33+'Kittitas Pgs 36-37'!G33+'Klickitat Pgs 38-39'!G33+'Lewis Pgs 40-41'!G33+'Lincoln Pgs 42-43'!G33+'Mason Pgs 44-45'!G33+'Northeast Tri Pgs 46-47'!G33+'Okanogan Pgs 48-49'!G33+'Pacific Pgs 50-51'!G33+'San Juan Pgs 52-53'!G33+'[1]seattle king'!G33+'Skagit Pgs 56-57'!G33+'Skamania Pgs 58-59'!G33+'Snohomish Pgs 60-61'!G33+'Spokane Pgs 62-63'!G33+'Tacoma-Pierce Pgs 64-65'!G33+'Thurston Pgs 66-67'!G33+'Wahkiakum Pgs 68-69'!G33+'Walla Walla Pgs 70-71'!G33+'Whatcom Pgs 72-73'!G33+'Whitman Pgs 74-75'!G33+'Yakima Pgs 76-77'!G33</f>
        <v>124311</v>
      </c>
      <c r="H33" s="111">
        <f>'Adams Pgs 8-9'!H33+'Asotin Pgs 10-11'!H33+'Benton-Franklin Pgs 12-13'!H33+'Chelan-Douglas Pgs 14-15'!H33+'Clallam Pgs 16-17'!H33+'Clark Pgs 18-19'!H33+'Columbia Pgs 20-21'!H33+'Cowlitz Pgs 22-23'!H33+'Garfield Pgs 24-25'!H33+'Grant Pgs 26-27'!H33+'Grays Harbor Pgs 28-29'!H33+'Island Pgs 30-31'!H33+'Jefferson Pgs 32-33'!H33+'Kitsap Pgs 34-35'!H33+'Kittitas Pgs 36-37'!H33+'Klickitat Pgs 38-39'!H33+'Lewis Pgs 40-41'!H33+'Lincoln Pgs 42-43'!H33+'Mason Pgs 44-45'!H33+'Northeast Tri Pgs 46-47'!H33+'Okanogan Pgs 48-49'!H33+'Pacific Pgs 50-51'!H33+'San Juan Pgs 52-53'!H33+'[1]seattle king'!H33+'Skagit Pgs 56-57'!H33+'Skamania Pgs 58-59'!H33+'Snohomish Pgs 60-61'!H33+'Spokane Pgs 62-63'!H33+'Tacoma-Pierce Pgs 64-65'!H33+'Thurston Pgs 66-67'!H33+'Wahkiakum Pgs 68-69'!H33+'Walla Walla Pgs 70-71'!H33+'Whatcom Pgs 72-73'!H33+'Whitman Pgs 74-75'!H33+'Yakima Pgs 76-77'!H33</f>
        <v>1318734</v>
      </c>
      <c r="I33" s="110">
        <f>'Adams Pgs 8-9'!I33+'Asotin Pgs 10-11'!I33+'Benton-Franklin Pgs 12-13'!I33+'Chelan-Douglas Pgs 14-15'!I33+'Clallam Pgs 16-17'!I33+'Clark Pgs 18-19'!I33+'Columbia Pgs 20-21'!I33+'Cowlitz Pgs 22-23'!I33+'Garfield Pgs 24-25'!I33+'Grant Pgs 26-27'!I33+'Grays Harbor Pgs 28-29'!I33+'Island Pgs 30-31'!I33+'Jefferson Pgs 32-33'!I33+'Kitsap Pgs 34-35'!I33+'Kittitas Pgs 36-37'!I33+'Klickitat Pgs 38-39'!I33+'Lewis Pgs 40-41'!I33+'Lincoln Pgs 42-43'!I33+'Mason Pgs 44-45'!I33+'Northeast Tri Pgs 46-47'!I33+'Okanogan Pgs 48-49'!I33+'Pacific Pgs 50-51'!I33+'San Juan Pgs 52-53'!I33+'[1]seattle king'!I33+'Skagit Pgs 56-57'!I33+'Skamania Pgs 58-59'!I33+'Snohomish Pgs 60-61'!I33+'Spokane Pgs 62-63'!I33+'Tacoma-Pierce Pgs 64-65'!I33+'Thurston Pgs 66-67'!I33+'Wahkiakum Pgs 68-69'!I33+'Walla Walla Pgs 70-71'!I33+'Whatcom Pgs 72-73'!I33+'Whitman Pgs 74-75'!I33+'Yakima Pgs 76-77'!I33</f>
        <v>1505269</v>
      </c>
      <c r="J33" s="112">
        <f>'Adams Pgs 8-9'!J33+'Asotin Pgs 10-11'!J33+'Benton-Franklin Pgs 12-13'!J33+'Chelan-Douglas Pgs 14-15'!J33+'Clallam Pgs 16-17'!J33+'Clark Pgs 18-19'!J33+'Columbia Pgs 20-21'!J33+'Cowlitz Pgs 22-23'!J33+'Garfield Pgs 24-25'!J33+'Grant Pgs 26-27'!J33+'Grays Harbor Pgs 28-29'!J33+'Island Pgs 30-31'!J33+'Jefferson Pgs 32-33'!J33+'Kitsap Pgs 34-35'!J33+'Kittitas Pgs 36-37'!J33+'Klickitat Pgs 38-39'!J33+'Lewis Pgs 40-41'!J33+'Lincoln Pgs 42-43'!J33+'Mason Pgs 44-45'!J33+'Northeast Tri Pgs 46-47'!J33+'Okanogan Pgs 48-49'!J33+'Pacific Pgs 50-51'!J33+'San Juan Pgs 52-53'!J33+'[1]seattle king'!J33+'Skagit Pgs 56-57'!J33+'Skamania Pgs 58-59'!J33+'Snohomish Pgs 60-61'!J33+'Spokane Pgs 62-63'!J33+'Tacoma-Pierce Pgs 64-65'!J33+'Thurston Pgs 66-67'!J33+'Wahkiakum Pgs 68-69'!J33+'Walla Walla Pgs 70-71'!J33+'Whatcom Pgs 72-73'!J33+'Whitman Pgs 74-75'!J33+'Yakima Pgs 76-77'!J33</f>
        <v>174699</v>
      </c>
      <c r="K33" s="142">
        <f t="shared" si="0"/>
        <v>5178187</v>
      </c>
      <c r="L33"/>
    </row>
    <row r="34" spans="1:12" x14ac:dyDescent="0.35">
      <c r="A34" s="79">
        <v>562.71</v>
      </c>
      <c r="B34" s="16" t="s">
        <v>22</v>
      </c>
      <c r="C34" s="108">
        <f>'Adams Pgs 8-9'!C34+'Asotin Pgs 10-11'!C34+'Benton-Franklin Pgs 12-13'!C34+'Chelan-Douglas Pgs 14-15'!C34+'Clallam Pgs 16-17'!C34+'Clark Pgs 18-19'!C34+'Columbia Pgs 20-21'!C34+'Cowlitz Pgs 22-23'!C34+'Garfield Pgs 24-25'!C34+'Grant Pgs 26-27'!C34+'Grays Harbor Pgs 28-29'!C34+'Island Pgs 30-31'!C34+'Jefferson Pgs 32-33'!C34+'Kitsap Pgs 34-35'!C34+'Kittitas Pgs 36-37'!C34+'Klickitat Pgs 38-39'!C34+'Lewis Pgs 40-41'!C34+'Lincoln Pgs 42-43'!C34+'Mason Pgs 44-45'!C34+'Northeast Tri Pgs 46-47'!C34+'Okanogan Pgs 48-49'!C34+'Pacific Pgs 50-51'!C34+'San Juan Pgs 52-53'!C34+'[1]seattle king'!C34+'Skagit Pgs 56-57'!C34+'Skamania Pgs 58-59'!C34+'Snohomish Pgs 60-61'!C34+'Spokane Pgs 62-63'!C34+'Tacoma-Pierce Pgs 64-65'!C34+'Thurston Pgs 66-67'!C34+'Wahkiakum Pgs 68-69'!C34+'Walla Walla Pgs 70-71'!C34+'Whatcom Pgs 72-73'!C34+'Whitman Pgs 74-75'!C34+'Yakima Pgs 76-77'!C34</f>
        <v>0</v>
      </c>
      <c r="D34" s="109">
        <f>'Adams Pgs 8-9'!D34+'Asotin Pgs 10-11'!D34+'Benton-Franklin Pgs 12-13'!D34+'Chelan-Douglas Pgs 14-15'!D34+'Clallam Pgs 16-17'!D34+'Clark Pgs 18-19'!D34+'Columbia Pgs 20-21'!D34+'Cowlitz Pgs 22-23'!D34+'Garfield Pgs 24-25'!D34+'Grant Pgs 26-27'!D34+'Grays Harbor Pgs 28-29'!D34+'Island Pgs 30-31'!D34+'Jefferson Pgs 32-33'!D34+'Kitsap Pgs 34-35'!D34+'Kittitas Pgs 36-37'!D34+'Klickitat Pgs 38-39'!D34+'Lewis Pgs 40-41'!D34+'Lincoln Pgs 42-43'!D34+'Mason Pgs 44-45'!D34+'Northeast Tri Pgs 46-47'!D34+'Okanogan Pgs 48-49'!D34+'Pacific Pgs 50-51'!D34+'San Juan Pgs 52-53'!D34+'[1]seattle king'!D34+'Skagit Pgs 56-57'!D34+'Skamania Pgs 58-59'!D34+'Snohomish Pgs 60-61'!D34+'Spokane Pgs 62-63'!D34+'Tacoma-Pierce Pgs 64-65'!D34+'Thurston Pgs 66-67'!D34+'Wahkiakum Pgs 68-69'!D34+'Walla Walla Pgs 70-71'!D34+'Whatcom Pgs 72-73'!D34+'Whitman Pgs 74-75'!D34+'Yakima Pgs 76-77'!D34</f>
        <v>68617</v>
      </c>
      <c r="E34" s="110">
        <f>'Adams Pgs 8-9'!E34+'Asotin Pgs 10-11'!E34+'Benton-Franklin Pgs 12-13'!E34+'Chelan-Douglas Pgs 14-15'!E34+'Clallam Pgs 16-17'!E34+'Clark Pgs 18-19'!E34+'Columbia Pgs 20-21'!E34+'Cowlitz Pgs 22-23'!E34+'Garfield Pgs 24-25'!E34+'Grant Pgs 26-27'!E34+'Grays Harbor Pgs 28-29'!E34+'Island Pgs 30-31'!E34+'Jefferson Pgs 32-33'!E34+'Kitsap Pgs 34-35'!E34+'Kittitas Pgs 36-37'!E34+'Klickitat Pgs 38-39'!E34+'Lewis Pgs 40-41'!E34+'Lincoln Pgs 42-43'!E34+'Mason Pgs 44-45'!E34+'Northeast Tri Pgs 46-47'!E34+'Okanogan Pgs 48-49'!E34+'Pacific Pgs 50-51'!E34+'San Juan Pgs 52-53'!E34+'[1]seattle king'!E34+'Skagit Pgs 56-57'!E34+'Skamania Pgs 58-59'!E34+'Snohomish Pgs 60-61'!E34+'Spokane Pgs 62-63'!E34+'Tacoma-Pierce Pgs 64-65'!E34+'Thurston Pgs 66-67'!E34+'Wahkiakum Pgs 68-69'!E34+'Walla Walla Pgs 70-71'!E34+'Whatcom Pgs 72-73'!E34+'Whitman Pgs 74-75'!E34+'Yakima Pgs 76-77'!E34</f>
        <v>0</v>
      </c>
      <c r="F34" s="108">
        <f>'Adams Pgs 8-9'!F34+'Asotin Pgs 10-11'!F34+'Benton-Franklin Pgs 12-13'!F34+'Chelan-Douglas Pgs 14-15'!F34+'Clallam Pgs 16-17'!F34+'Clark Pgs 18-19'!F34+'Columbia Pgs 20-21'!F34+'Cowlitz Pgs 22-23'!F34+'Garfield Pgs 24-25'!F34+'Grant Pgs 26-27'!F34+'Grays Harbor Pgs 28-29'!F34+'Island Pgs 30-31'!F34+'Jefferson Pgs 32-33'!F34+'Kitsap Pgs 34-35'!F34+'Kittitas Pgs 36-37'!F34+'Klickitat Pgs 38-39'!F34+'Lewis Pgs 40-41'!F34+'Lincoln Pgs 42-43'!F34+'Mason Pgs 44-45'!F34+'Northeast Tri Pgs 46-47'!F34+'Okanogan Pgs 48-49'!F34+'Pacific Pgs 50-51'!F34+'San Juan Pgs 52-53'!F34+'[1]seattle king'!F34+'Skagit Pgs 56-57'!F34+'Skamania Pgs 58-59'!F34+'Snohomish Pgs 60-61'!F34+'Spokane Pgs 62-63'!F34+'Tacoma-Pierce Pgs 64-65'!F34+'Thurston Pgs 66-67'!F34+'Wahkiakum Pgs 68-69'!F34+'Walla Walla Pgs 70-71'!F34+'Whatcom Pgs 72-73'!F34+'Whitman Pgs 74-75'!F34+'Yakima Pgs 76-77'!F34</f>
        <v>0</v>
      </c>
      <c r="G34" s="110">
        <f>'Adams Pgs 8-9'!G34+'Asotin Pgs 10-11'!G34+'Benton-Franklin Pgs 12-13'!G34+'Chelan-Douglas Pgs 14-15'!G34+'Clallam Pgs 16-17'!G34+'Clark Pgs 18-19'!G34+'Columbia Pgs 20-21'!G34+'Cowlitz Pgs 22-23'!G34+'Garfield Pgs 24-25'!G34+'Grant Pgs 26-27'!G34+'Grays Harbor Pgs 28-29'!G34+'Island Pgs 30-31'!G34+'Jefferson Pgs 32-33'!G34+'Kitsap Pgs 34-35'!G34+'Kittitas Pgs 36-37'!G34+'Klickitat Pgs 38-39'!G34+'Lewis Pgs 40-41'!G34+'Lincoln Pgs 42-43'!G34+'Mason Pgs 44-45'!G34+'Northeast Tri Pgs 46-47'!G34+'Okanogan Pgs 48-49'!G34+'Pacific Pgs 50-51'!G34+'San Juan Pgs 52-53'!G34+'[1]seattle king'!G34+'Skagit Pgs 56-57'!G34+'Skamania Pgs 58-59'!G34+'Snohomish Pgs 60-61'!G34+'Spokane Pgs 62-63'!G34+'Tacoma-Pierce Pgs 64-65'!G34+'Thurston Pgs 66-67'!G34+'Wahkiakum Pgs 68-69'!G34+'Walla Walla Pgs 70-71'!G34+'Whatcom Pgs 72-73'!G34+'Whitman Pgs 74-75'!G34+'Yakima Pgs 76-77'!G34</f>
        <v>0</v>
      </c>
      <c r="H34" s="111">
        <f>'Adams Pgs 8-9'!H34+'Asotin Pgs 10-11'!H34+'Benton-Franklin Pgs 12-13'!H34+'Chelan-Douglas Pgs 14-15'!H34+'Clallam Pgs 16-17'!H34+'Clark Pgs 18-19'!H34+'Columbia Pgs 20-21'!H34+'Cowlitz Pgs 22-23'!H34+'Garfield Pgs 24-25'!H34+'Grant Pgs 26-27'!H34+'Grays Harbor Pgs 28-29'!H34+'Island Pgs 30-31'!H34+'Jefferson Pgs 32-33'!H34+'Kitsap Pgs 34-35'!H34+'Kittitas Pgs 36-37'!H34+'Klickitat Pgs 38-39'!H34+'Lewis Pgs 40-41'!H34+'Lincoln Pgs 42-43'!H34+'Mason Pgs 44-45'!H34+'Northeast Tri Pgs 46-47'!H34+'Okanogan Pgs 48-49'!H34+'Pacific Pgs 50-51'!H34+'San Juan Pgs 52-53'!H34+'[1]seattle king'!H34+'Skagit Pgs 56-57'!H34+'Skamania Pgs 58-59'!H34+'Snohomish Pgs 60-61'!H34+'Spokane Pgs 62-63'!H34+'Tacoma-Pierce Pgs 64-65'!H34+'Thurston Pgs 66-67'!H34+'Wahkiakum Pgs 68-69'!H34+'Walla Walla Pgs 70-71'!H34+'Whatcom Pgs 72-73'!H34+'Whitman Pgs 74-75'!H34+'Yakima Pgs 76-77'!H34</f>
        <v>88963</v>
      </c>
      <c r="I34" s="110">
        <f>'Adams Pgs 8-9'!I34+'Asotin Pgs 10-11'!I34+'Benton-Franklin Pgs 12-13'!I34+'Chelan-Douglas Pgs 14-15'!I34+'Clallam Pgs 16-17'!I34+'Clark Pgs 18-19'!I34+'Columbia Pgs 20-21'!I34+'Cowlitz Pgs 22-23'!I34+'Garfield Pgs 24-25'!I34+'Grant Pgs 26-27'!I34+'Grays Harbor Pgs 28-29'!I34+'Island Pgs 30-31'!I34+'Jefferson Pgs 32-33'!I34+'Kitsap Pgs 34-35'!I34+'Kittitas Pgs 36-37'!I34+'Klickitat Pgs 38-39'!I34+'Lewis Pgs 40-41'!I34+'Lincoln Pgs 42-43'!I34+'Mason Pgs 44-45'!I34+'Northeast Tri Pgs 46-47'!I34+'Okanogan Pgs 48-49'!I34+'Pacific Pgs 50-51'!I34+'San Juan Pgs 52-53'!I34+'[1]seattle king'!I34+'Skagit Pgs 56-57'!I34+'Skamania Pgs 58-59'!I34+'Snohomish Pgs 60-61'!I34+'Spokane Pgs 62-63'!I34+'Tacoma-Pierce Pgs 64-65'!I34+'Thurston Pgs 66-67'!I34+'Wahkiakum Pgs 68-69'!I34+'Walla Walla Pgs 70-71'!I34+'Whatcom Pgs 72-73'!I34+'Whitman Pgs 74-75'!I34+'Yakima Pgs 76-77'!I34</f>
        <v>4359370</v>
      </c>
      <c r="J34" s="112">
        <f>'Adams Pgs 8-9'!J34+'Asotin Pgs 10-11'!J34+'Benton-Franklin Pgs 12-13'!J34+'Chelan-Douglas Pgs 14-15'!J34+'Clallam Pgs 16-17'!J34+'Clark Pgs 18-19'!J34+'Columbia Pgs 20-21'!J34+'Cowlitz Pgs 22-23'!J34+'Garfield Pgs 24-25'!J34+'Grant Pgs 26-27'!J34+'Grays Harbor Pgs 28-29'!J34+'Island Pgs 30-31'!J34+'Jefferson Pgs 32-33'!J34+'Kitsap Pgs 34-35'!J34+'Kittitas Pgs 36-37'!J34+'Klickitat Pgs 38-39'!J34+'Lewis Pgs 40-41'!J34+'Lincoln Pgs 42-43'!J34+'Mason Pgs 44-45'!J34+'Northeast Tri Pgs 46-47'!J34+'Okanogan Pgs 48-49'!J34+'Pacific Pgs 50-51'!J34+'San Juan Pgs 52-53'!J34+'[1]seattle king'!J34+'Skagit Pgs 56-57'!J34+'Skamania Pgs 58-59'!J34+'Snohomish Pgs 60-61'!J34+'Spokane Pgs 62-63'!J34+'Tacoma-Pierce Pgs 64-65'!J34+'Thurston Pgs 66-67'!J34+'Wahkiakum Pgs 68-69'!J34+'Walla Walla Pgs 70-71'!J34+'Whatcom Pgs 72-73'!J34+'Whitman Pgs 74-75'!J34+'Yakima Pgs 76-77'!J34</f>
        <v>106717</v>
      </c>
      <c r="K34" s="142">
        <f t="shared" si="0"/>
        <v>4623667</v>
      </c>
      <c r="L34"/>
    </row>
    <row r="35" spans="1:12" x14ac:dyDescent="0.35">
      <c r="A35" s="79">
        <v>562.72</v>
      </c>
      <c r="B35" s="16" t="s">
        <v>23</v>
      </c>
      <c r="C35" s="108">
        <f>'Adams Pgs 8-9'!C35+'Asotin Pgs 10-11'!C35+'Benton-Franklin Pgs 12-13'!C35+'Chelan-Douglas Pgs 14-15'!C35+'Clallam Pgs 16-17'!C35+'Clark Pgs 18-19'!C35+'Columbia Pgs 20-21'!C35+'Cowlitz Pgs 22-23'!C35+'Garfield Pgs 24-25'!C35+'Grant Pgs 26-27'!C35+'Grays Harbor Pgs 28-29'!C35+'Island Pgs 30-31'!C35+'Jefferson Pgs 32-33'!C35+'Kitsap Pgs 34-35'!C35+'Kittitas Pgs 36-37'!C35+'Klickitat Pgs 38-39'!C35+'Lewis Pgs 40-41'!C35+'Lincoln Pgs 42-43'!C35+'Mason Pgs 44-45'!C35+'Northeast Tri Pgs 46-47'!C35+'Okanogan Pgs 48-49'!C35+'Pacific Pgs 50-51'!C35+'San Juan Pgs 52-53'!C35+'[1]seattle king'!C35+'Skagit Pgs 56-57'!C35+'Skamania Pgs 58-59'!C35+'Snohomish Pgs 60-61'!C35+'Spokane Pgs 62-63'!C35+'Tacoma-Pierce Pgs 64-65'!C35+'Thurston Pgs 66-67'!C35+'Wahkiakum Pgs 68-69'!C35+'Walla Walla Pgs 70-71'!C35+'Whatcom Pgs 72-73'!C35+'Whitman Pgs 74-75'!C35+'Yakima Pgs 76-77'!C35</f>
        <v>0</v>
      </c>
      <c r="D35" s="109">
        <f>'Adams Pgs 8-9'!D35+'Asotin Pgs 10-11'!D35+'Benton-Franklin Pgs 12-13'!D35+'Chelan-Douglas Pgs 14-15'!D35+'Clallam Pgs 16-17'!D35+'Clark Pgs 18-19'!D35+'Columbia Pgs 20-21'!D35+'Cowlitz Pgs 22-23'!D35+'Garfield Pgs 24-25'!D35+'Grant Pgs 26-27'!D35+'Grays Harbor Pgs 28-29'!D35+'Island Pgs 30-31'!D35+'Jefferson Pgs 32-33'!D35+'Kitsap Pgs 34-35'!D35+'Kittitas Pgs 36-37'!D35+'Klickitat Pgs 38-39'!D35+'Lewis Pgs 40-41'!D35+'Lincoln Pgs 42-43'!D35+'Mason Pgs 44-45'!D35+'Northeast Tri Pgs 46-47'!D35+'Okanogan Pgs 48-49'!D35+'Pacific Pgs 50-51'!D35+'San Juan Pgs 52-53'!D35+'[1]seattle king'!D35+'Skagit Pgs 56-57'!D35+'Skamania Pgs 58-59'!D35+'Snohomish Pgs 60-61'!D35+'Spokane Pgs 62-63'!D35+'Tacoma-Pierce Pgs 64-65'!D35+'Thurston Pgs 66-67'!D35+'Wahkiakum Pgs 68-69'!D35+'Walla Walla Pgs 70-71'!D35+'Whatcom Pgs 72-73'!D35+'Whitman Pgs 74-75'!D35+'Yakima Pgs 76-77'!D35</f>
        <v>351493</v>
      </c>
      <c r="E35" s="110">
        <f>'Adams Pgs 8-9'!E35+'Asotin Pgs 10-11'!E35+'Benton-Franklin Pgs 12-13'!E35+'Chelan-Douglas Pgs 14-15'!E35+'Clallam Pgs 16-17'!E35+'Clark Pgs 18-19'!E35+'Columbia Pgs 20-21'!E35+'Cowlitz Pgs 22-23'!E35+'Garfield Pgs 24-25'!E35+'Grant Pgs 26-27'!E35+'Grays Harbor Pgs 28-29'!E35+'Island Pgs 30-31'!E35+'Jefferson Pgs 32-33'!E35+'Kitsap Pgs 34-35'!E35+'Kittitas Pgs 36-37'!E35+'Klickitat Pgs 38-39'!E35+'Lewis Pgs 40-41'!E35+'Lincoln Pgs 42-43'!E35+'Mason Pgs 44-45'!E35+'Northeast Tri Pgs 46-47'!E35+'Okanogan Pgs 48-49'!E35+'Pacific Pgs 50-51'!E35+'San Juan Pgs 52-53'!E35+'[1]seattle king'!E35+'Skagit Pgs 56-57'!E35+'Skamania Pgs 58-59'!E35+'Snohomish Pgs 60-61'!E35+'Spokane Pgs 62-63'!E35+'Tacoma-Pierce Pgs 64-65'!E35+'Thurston Pgs 66-67'!E35+'Wahkiakum Pgs 68-69'!E35+'Walla Walla Pgs 70-71'!E35+'Whatcom Pgs 72-73'!E35+'Whitman Pgs 74-75'!E35+'Yakima Pgs 76-77'!E35</f>
        <v>0</v>
      </c>
      <c r="F35" s="108">
        <f>'Adams Pgs 8-9'!F35+'Asotin Pgs 10-11'!F35+'Benton-Franklin Pgs 12-13'!F35+'Chelan-Douglas Pgs 14-15'!F35+'Clallam Pgs 16-17'!F35+'Clark Pgs 18-19'!F35+'Columbia Pgs 20-21'!F35+'Cowlitz Pgs 22-23'!F35+'Garfield Pgs 24-25'!F35+'Grant Pgs 26-27'!F35+'Grays Harbor Pgs 28-29'!F35+'Island Pgs 30-31'!F35+'Jefferson Pgs 32-33'!F35+'Kitsap Pgs 34-35'!F35+'Kittitas Pgs 36-37'!F35+'Klickitat Pgs 38-39'!F35+'Lewis Pgs 40-41'!F35+'Lincoln Pgs 42-43'!F35+'Mason Pgs 44-45'!F35+'Northeast Tri Pgs 46-47'!F35+'Okanogan Pgs 48-49'!F35+'Pacific Pgs 50-51'!F35+'San Juan Pgs 52-53'!F35+'[1]seattle king'!F35+'Skagit Pgs 56-57'!F35+'Skamania Pgs 58-59'!F35+'Snohomish Pgs 60-61'!F35+'Spokane Pgs 62-63'!F35+'Tacoma-Pierce Pgs 64-65'!F35+'Thurston Pgs 66-67'!F35+'Wahkiakum Pgs 68-69'!F35+'Walla Walla Pgs 70-71'!F35+'Whatcom Pgs 72-73'!F35+'Whitman Pgs 74-75'!F35+'Yakima Pgs 76-77'!F35</f>
        <v>0</v>
      </c>
      <c r="G35" s="110">
        <f>'Adams Pgs 8-9'!G35+'Asotin Pgs 10-11'!G35+'Benton-Franklin Pgs 12-13'!G35+'Chelan-Douglas Pgs 14-15'!G35+'Clallam Pgs 16-17'!G35+'Clark Pgs 18-19'!G35+'Columbia Pgs 20-21'!G35+'Cowlitz Pgs 22-23'!G35+'Garfield Pgs 24-25'!G35+'Grant Pgs 26-27'!G35+'Grays Harbor Pgs 28-29'!G35+'Island Pgs 30-31'!G35+'Jefferson Pgs 32-33'!G35+'Kitsap Pgs 34-35'!G35+'Kittitas Pgs 36-37'!G35+'Klickitat Pgs 38-39'!G35+'Lewis Pgs 40-41'!G35+'Lincoln Pgs 42-43'!G35+'Mason Pgs 44-45'!G35+'Northeast Tri Pgs 46-47'!G35+'Okanogan Pgs 48-49'!G35+'Pacific Pgs 50-51'!G35+'San Juan Pgs 52-53'!G35+'[1]seattle king'!G35+'Skagit Pgs 56-57'!G35+'Skamania Pgs 58-59'!G35+'Snohomish Pgs 60-61'!G35+'Spokane Pgs 62-63'!G35+'Tacoma-Pierce Pgs 64-65'!G35+'Thurston Pgs 66-67'!G35+'Wahkiakum Pgs 68-69'!G35+'Walla Walla Pgs 70-71'!G35+'Whatcom Pgs 72-73'!G35+'Whitman Pgs 74-75'!G35+'Yakima Pgs 76-77'!G35</f>
        <v>0</v>
      </c>
      <c r="H35" s="111">
        <f>'Adams Pgs 8-9'!H35+'Asotin Pgs 10-11'!H35+'Benton-Franklin Pgs 12-13'!H35+'Chelan-Douglas Pgs 14-15'!H35+'Clallam Pgs 16-17'!H35+'Clark Pgs 18-19'!H35+'Columbia Pgs 20-21'!H35+'Cowlitz Pgs 22-23'!H35+'Garfield Pgs 24-25'!H35+'Grant Pgs 26-27'!H35+'Grays Harbor Pgs 28-29'!H35+'Island Pgs 30-31'!H35+'Jefferson Pgs 32-33'!H35+'Kitsap Pgs 34-35'!H35+'Kittitas Pgs 36-37'!H35+'Klickitat Pgs 38-39'!H35+'Lewis Pgs 40-41'!H35+'Lincoln Pgs 42-43'!H35+'Mason Pgs 44-45'!H35+'Northeast Tri Pgs 46-47'!H35+'Okanogan Pgs 48-49'!H35+'Pacific Pgs 50-51'!H35+'San Juan Pgs 52-53'!H35+'[1]seattle king'!H35+'Skagit Pgs 56-57'!H35+'Skamania Pgs 58-59'!H35+'Snohomish Pgs 60-61'!H35+'Spokane Pgs 62-63'!H35+'Tacoma-Pierce Pgs 64-65'!H35+'Thurston Pgs 66-67'!H35+'Wahkiakum Pgs 68-69'!H35+'Walla Walla Pgs 70-71'!H35+'Whatcom Pgs 72-73'!H35+'Whitman Pgs 74-75'!H35+'Yakima Pgs 76-77'!H35</f>
        <v>1443</v>
      </c>
      <c r="I35" s="110">
        <f>'Adams Pgs 8-9'!I35+'Asotin Pgs 10-11'!I35+'Benton-Franklin Pgs 12-13'!I35+'Chelan-Douglas Pgs 14-15'!I35+'Clallam Pgs 16-17'!I35+'Clark Pgs 18-19'!I35+'Columbia Pgs 20-21'!I35+'Cowlitz Pgs 22-23'!I35+'Garfield Pgs 24-25'!I35+'Grant Pgs 26-27'!I35+'Grays Harbor Pgs 28-29'!I35+'Island Pgs 30-31'!I35+'Jefferson Pgs 32-33'!I35+'Kitsap Pgs 34-35'!I35+'Kittitas Pgs 36-37'!I35+'Klickitat Pgs 38-39'!I35+'Lewis Pgs 40-41'!I35+'Lincoln Pgs 42-43'!I35+'Mason Pgs 44-45'!I35+'Northeast Tri Pgs 46-47'!I35+'Okanogan Pgs 48-49'!I35+'Pacific Pgs 50-51'!I35+'San Juan Pgs 52-53'!I35+'[1]seattle king'!I35+'Skagit Pgs 56-57'!I35+'Skamania Pgs 58-59'!I35+'Snohomish Pgs 60-61'!I35+'Spokane Pgs 62-63'!I35+'Tacoma-Pierce Pgs 64-65'!I35+'Thurston Pgs 66-67'!I35+'Wahkiakum Pgs 68-69'!I35+'Walla Walla Pgs 70-71'!I35+'Whatcom Pgs 72-73'!I35+'Whitman Pgs 74-75'!I35+'Yakima Pgs 76-77'!I35</f>
        <v>2884387</v>
      </c>
      <c r="J35" s="112">
        <f>'Adams Pgs 8-9'!J35+'Asotin Pgs 10-11'!J35+'Benton-Franklin Pgs 12-13'!J35+'Chelan-Douglas Pgs 14-15'!J35+'Clallam Pgs 16-17'!J35+'Clark Pgs 18-19'!J35+'Columbia Pgs 20-21'!J35+'Cowlitz Pgs 22-23'!J35+'Garfield Pgs 24-25'!J35+'Grant Pgs 26-27'!J35+'Grays Harbor Pgs 28-29'!J35+'Island Pgs 30-31'!J35+'Jefferson Pgs 32-33'!J35+'Kitsap Pgs 34-35'!J35+'Kittitas Pgs 36-37'!J35+'Klickitat Pgs 38-39'!J35+'Lewis Pgs 40-41'!J35+'Lincoln Pgs 42-43'!J35+'Mason Pgs 44-45'!J35+'Northeast Tri Pgs 46-47'!J35+'Okanogan Pgs 48-49'!J35+'Pacific Pgs 50-51'!J35+'San Juan Pgs 52-53'!J35+'[1]seattle king'!J35+'Skagit Pgs 56-57'!J35+'Skamania Pgs 58-59'!J35+'Snohomish Pgs 60-61'!J35+'Spokane Pgs 62-63'!J35+'Tacoma-Pierce Pgs 64-65'!J35+'Thurston Pgs 66-67'!J35+'Wahkiakum Pgs 68-69'!J35+'Walla Walla Pgs 70-71'!J35+'Whatcom Pgs 72-73'!J35+'Whitman Pgs 74-75'!J35+'Yakima Pgs 76-77'!J35</f>
        <v>8237</v>
      </c>
      <c r="K35" s="142">
        <f t="shared" si="0"/>
        <v>3245560</v>
      </c>
      <c r="L35"/>
    </row>
    <row r="36" spans="1:12" x14ac:dyDescent="0.35">
      <c r="A36" s="79">
        <v>562.73</v>
      </c>
      <c r="B36" s="16" t="s">
        <v>24</v>
      </c>
      <c r="C36" s="108">
        <f>'Adams Pgs 8-9'!C36+'Asotin Pgs 10-11'!C36+'Benton-Franklin Pgs 12-13'!C36+'Chelan-Douglas Pgs 14-15'!C36+'Clallam Pgs 16-17'!C36+'Clark Pgs 18-19'!C36+'Columbia Pgs 20-21'!C36+'Cowlitz Pgs 22-23'!C36+'Garfield Pgs 24-25'!C36+'Grant Pgs 26-27'!C36+'Grays Harbor Pgs 28-29'!C36+'Island Pgs 30-31'!C36+'Jefferson Pgs 32-33'!C36+'Kitsap Pgs 34-35'!C36+'Kittitas Pgs 36-37'!C36+'Klickitat Pgs 38-39'!C36+'Lewis Pgs 40-41'!C36+'Lincoln Pgs 42-43'!C36+'Mason Pgs 44-45'!C36+'Northeast Tri Pgs 46-47'!C36+'Okanogan Pgs 48-49'!C36+'Pacific Pgs 50-51'!C36+'San Juan Pgs 52-53'!C36+'[1]seattle king'!C36+'Skagit Pgs 56-57'!C36+'Skamania Pgs 58-59'!C36+'Snohomish Pgs 60-61'!C36+'Spokane Pgs 62-63'!C36+'Tacoma-Pierce Pgs 64-65'!C36+'Thurston Pgs 66-67'!C36+'Wahkiakum Pgs 68-69'!C36+'Walla Walla Pgs 70-71'!C36+'Whatcom Pgs 72-73'!C36+'Whitman Pgs 74-75'!C36+'Yakima Pgs 76-77'!C36</f>
        <v>181274</v>
      </c>
      <c r="D36" s="109">
        <f>'Adams Pgs 8-9'!D36+'Asotin Pgs 10-11'!D36+'Benton-Franklin Pgs 12-13'!D36+'Chelan-Douglas Pgs 14-15'!D36+'Clallam Pgs 16-17'!D36+'Clark Pgs 18-19'!D36+'Columbia Pgs 20-21'!D36+'Cowlitz Pgs 22-23'!D36+'Garfield Pgs 24-25'!D36+'Grant Pgs 26-27'!D36+'Grays Harbor Pgs 28-29'!D36+'Island Pgs 30-31'!D36+'Jefferson Pgs 32-33'!D36+'Kitsap Pgs 34-35'!D36+'Kittitas Pgs 36-37'!D36+'Klickitat Pgs 38-39'!D36+'Lewis Pgs 40-41'!D36+'Lincoln Pgs 42-43'!D36+'Mason Pgs 44-45'!D36+'Northeast Tri Pgs 46-47'!D36+'Okanogan Pgs 48-49'!D36+'Pacific Pgs 50-51'!D36+'San Juan Pgs 52-53'!D36+'[1]seattle king'!D36+'Skagit Pgs 56-57'!D36+'Skamania Pgs 58-59'!D36+'Snohomish Pgs 60-61'!D36+'Spokane Pgs 62-63'!D36+'Tacoma-Pierce Pgs 64-65'!D36+'Thurston Pgs 66-67'!D36+'Wahkiakum Pgs 68-69'!D36+'Walla Walla Pgs 70-71'!D36+'Whatcom Pgs 72-73'!D36+'Whitman Pgs 74-75'!D36+'Yakima Pgs 76-77'!D36</f>
        <v>166484</v>
      </c>
      <c r="E36" s="110">
        <f>'Adams Pgs 8-9'!E36+'Asotin Pgs 10-11'!E36+'Benton-Franklin Pgs 12-13'!E36+'Chelan-Douglas Pgs 14-15'!E36+'Clallam Pgs 16-17'!E36+'Clark Pgs 18-19'!E36+'Columbia Pgs 20-21'!E36+'Cowlitz Pgs 22-23'!E36+'Garfield Pgs 24-25'!E36+'Grant Pgs 26-27'!E36+'Grays Harbor Pgs 28-29'!E36+'Island Pgs 30-31'!E36+'Jefferson Pgs 32-33'!E36+'Kitsap Pgs 34-35'!E36+'Kittitas Pgs 36-37'!E36+'Klickitat Pgs 38-39'!E36+'Lewis Pgs 40-41'!E36+'Lincoln Pgs 42-43'!E36+'Mason Pgs 44-45'!E36+'Northeast Tri Pgs 46-47'!E36+'Okanogan Pgs 48-49'!E36+'Pacific Pgs 50-51'!E36+'San Juan Pgs 52-53'!E36+'[1]seattle king'!E36+'Skagit Pgs 56-57'!E36+'Skamania Pgs 58-59'!E36+'Snohomish Pgs 60-61'!E36+'Spokane Pgs 62-63'!E36+'Tacoma-Pierce Pgs 64-65'!E36+'Thurston Pgs 66-67'!E36+'Wahkiakum Pgs 68-69'!E36+'Walla Walla Pgs 70-71'!E36+'Whatcom Pgs 72-73'!E36+'Whitman Pgs 74-75'!E36+'Yakima Pgs 76-77'!E36</f>
        <v>43302</v>
      </c>
      <c r="F36" s="108">
        <f>'Adams Pgs 8-9'!F36+'Asotin Pgs 10-11'!F36+'Benton-Franklin Pgs 12-13'!F36+'Chelan-Douglas Pgs 14-15'!F36+'Clallam Pgs 16-17'!F36+'Clark Pgs 18-19'!F36+'Columbia Pgs 20-21'!F36+'Cowlitz Pgs 22-23'!F36+'Garfield Pgs 24-25'!F36+'Grant Pgs 26-27'!F36+'Grays Harbor Pgs 28-29'!F36+'Island Pgs 30-31'!F36+'Jefferson Pgs 32-33'!F36+'Kitsap Pgs 34-35'!F36+'Kittitas Pgs 36-37'!F36+'Klickitat Pgs 38-39'!F36+'Lewis Pgs 40-41'!F36+'Lincoln Pgs 42-43'!F36+'Mason Pgs 44-45'!F36+'Northeast Tri Pgs 46-47'!F36+'Okanogan Pgs 48-49'!F36+'Pacific Pgs 50-51'!F36+'San Juan Pgs 52-53'!F36+'[1]seattle king'!F36+'Skagit Pgs 56-57'!F36+'Skamania Pgs 58-59'!F36+'Snohomish Pgs 60-61'!F36+'Spokane Pgs 62-63'!F36+'Tacoma-Pierce Pgs 64-65'!F36+'Thurston Pgs 66-67'!F36+'Wahkiakum Pgs 68-69'!F36+'Walla Walla Pgs 70-71'!F36+'Whatcom Pgs 72-73'!F36+'Whitman Pgs 74-75'!F36+'Yakima Pgs 76-77'!F36</f>
        <v>1409359</v>
      </c>
      <c r="G36" s="110">
        <f>'Adams Pgs 8-9'!G36+'Asotin Pgs 10-11'!G36+'Benton-Franklin Pgs 12-13'!G36+'Chelan-Douglas Pgs 14-15'!G36+'Clallam Pgs 16-17'!G36+'Clark Pgs 18-19'!G36+'Columbia Pgs 20-21'!G36+'Cowlitz Pgs 22-23'!G36+'Garfield Pgs 24-25'!G36+'Grant Pgs 26-27'!G36+'Grays Harbor Pgs 28-29'!G36+'Island Pgs 30-31'!G36+'Jefferson Pgs 32-33'!G36+'Kitsap Pgs 34-35'!G36+'Kittitas Pgs 36-37'!G36+'Klickitat Pgs 38-39'!G36+'Lewis Pgs 40-41'!G36+'Lincoln Pgs 42-43'!G36+'Mason Pgs 44-45'!G36+'Northeast Tri Pgs 46-47'!G36+'Okanogan Pgs 48-49'!G36+'Pacific Pgs 50-51'!G36+'San Juan Pgs 52-53'!G36+'[1]seattle king'!G36+'Skagit Pgs 56-57'!G36+'Skamania Pgs 58-59'!G36+'Snohomish Pgs 60-61'!G36+'Spokane Pgs 62-63'!G36+'Tacoma-Pierce Pgs 64-65'!G36+'Thurston Pgs 66-67'!G36+'Wahkiakum Pgs 68-69'!G36+'Walla Walla Pgs 70-71'!G36+'Whatcom Pgs 72-73'!G36+'Whitman Pgs 74-75'!G36+'Yakima Pgs 76-77'!G36</f>
        <v>49242</v>
      </c>
      <c r="H36" s="111">
        <f>'Adams Pgs 8-9'!H36+'Asotin Pgs 10-11'!H36+'Benton-Franklin Pgs 12-13'!H36+'Chelan-Douglas Pgs 14-15'!H36+'Clallam Pgs 16-17'!H36+'Clark Pgs 18-19'!H36+'Columbia Pgs 20-21'!H36+'Cowlitz Pgs 22-23'!H36+'Garfield Pgs 24-25'!H36+'Grant Pgs 26-27'!H36+'Grays Harbor Pgs 28-29'!H36+'Island Pgs 30-31'!H36+'Jefferson Pgs 32-33'!H36+'Kitsap Pgs 34-35'!H36+'Kittitas Pgs 36-37'!H36+'Klickitat Pgs 38-39'!H36+'Lewis Pgs 40-41'!H36+'Lincoln Pgs 42-43'!H36+'Mason Pgs 44-45'!H36+'Northeast Tri Pgs 46-47'!H36+'Okanogan Pgs 48-49'!H36+'Pacific Pgs 50-51'!H36+'San Juan Pgs 52-53'!H36+'[1]seattle king'!H36+'Skagit Pgs 56-57'!H36+'Skamania Pgs 58-59'!H36+'Snohomish Pgs 60-61'!H36+'Spokane Pgs 62-63'!H36+'Tacoma-Pierce Pgs 64-65'!H36+'Thurston Pgs 66-67'!H36+'Wahkiakum Pgs 68-69'!H36+'Walla Walla Pgs 70-71'!H36+'Whatcom Pgs 72-73'!H36+'Whitman Pgs 74-75'!H36+'Yakima Pgs 76-77'!H36</f>
        <v>27738</v>
      </c>
      <c r="I36" s="110">
        <f>'Adams Pgs 8-9'!I36+'Asotin Pgs 10-11'!I36+'Benton-Franklin Pgs 12-13'!I36+'Chelan-Douglas Pgs 14-15'!I36+'Clallam Pgs 16-17'!I36+'Clark Pgs 18-19'!I36+'Columbia Pgs 20-21'!I36+'Cowlitz Pgs 22-23'!I36+'Garfield Pgs 24-25'!I36+'Grant Pgs 26-27'!I36+'Grays Harbor Pgs 28-29'!I36+'Island Pgs 30-31'!I36+'Jefferson Pgs 32-33'!I36+'Kitsap Pgs 34-35'!I36+'Kittitas Pgs 36-37'!I36+'Klickitat Pgs 38-39'!I36+'Lewis Pgs 40-41'!I36+'Lincoln Pgs 42-43'!I36+'Mason Pgs 44-45'!I36+'Northeast Tri Pgs 46-47'!I36+'Okanogan Pgs 48-49'!I36+'Pacific Pgs 50-51'!I36+'San Juan Pgs 52-53'!I36+'[1]seattle king'!I36+'Skagit Pgs 56-57'!I36+'Skamania Pgs 58-59'!I36+'Snohomish Pgs 60-61'!I36+'Spokane Pgs 62-63'!I36+'Tacoma-Pierce Pgs 64-65'!I36+'Thurston Pgs 66-67'!I36+'Wahkiakum Pgs 68-69'!I36+'Walla Walla Pgs 70-71'!I36+'Whatcom Pgs 72-73'!I36+'Whitman Pgs 74-75'!I36+'Yakima Pgs 76-77'!I36</f>
        <v>0</v>
      </c>
      <c r="J36" s="112">
        <f>'Adams Pgs 8-9'!J36+'Asotin Pgs 10-11'!J36+'Benton-Franklin Pgs 12-13'!J36+'Chelan-Douglas Pgs 14-15'!J36+'Clallam Pgs 16-17'!J36+'Clark Pgs 18-19'!J36+'Columbia Pgs 20-21'!J36+'Cowlitz Pgs 22-23'!J36+'Garfield Pgs 24-25'!J36+'Grant Pgs 26-27'!J36+'Grays Harbor Pgs 28-29'!J36+'Island Pgs 30-31'!J36+'Jefferson Pgs 32-33'!J36+'Kitsap Pgs 34-35'!J36+'Kittitas Pgs 36-37'!J36+'Klickitat Pgs 38-39'!J36+'Lewis Pgs 40-41'!J36+'Lincoln Pgs 42-43'!J36+'Mason Pgs 44-45'!J36+'Northeast Tri Pgs 46-47'!J36+'Okanogan Pgs 48-49'!J36+'Pacific Pgs 50-51'!J36+'San Juan Pgs 52-53'!J36+'[1]seattle king'!J36+'Skagit Pgs 56-57'!J36+'Skamania Pgs 58-59'!J36+'Snohomish Pgs 60-61'!J36+'Spokane Pgs 62-63'!J36+'Tacoma-Pierce Pgs 64-65'!J36+'Thurston Pgs 66-67'!J36+'Wahkiakum Pgs 68-69'!J36+'Walla Walla Pgs 70-71'!J36+'Whatcom Pgs 72-73'!J36+'Whitman Pgs 74-75'!J36+'Yakima Pgs 76-77'!J36</f>
        <v>-1327</v>
      </c>
      <c r="K36" s="142">
        <f t="shared" si="0"/>
        <v>1876072</v>
      </c>
      <c r="L36"/>
    </row>
    <row r="37" spans="1:12" x14ac:dyDescent="0.35">
      <c r="A37" s="79">
        <v>562.74</v>
      </c>
      <c r="B37" s="29" t="s">
        <v>50</v>
      </c>
      <c r="C37" s="108">
        <f>'Adams Pgs 8-9'!C37+'Asotin Pgs 10-11'!C37+'Benton-Franklin Pgs 12-13'!C37+'Chelan-Douglas Pgs 14-15'!C37+'Clallam Pgs 16-17'!C37+'Clark Pgs 18-19'!C37+'Columbia Pgs 20-21'!C37+'Cowlitz Pgs 22-23'!C37+'Garfield Pgs 24-25'!C37+'Grant Pgs 26-27'!C37+'Grays Harbor Pgs 28-29'!C37+'Island Pgs 30-31'!C37+'Jefferson Pgs 32-33'!C37+'Kitsap Pgs 34-35'!C37+'Kittitas Pgs 36-37'!C37+'Klickitat Pgs 38-39'!C37+'Lewis Pgs 40-41'!C37+'Lincoln Pgs 42-43'!C37+'Mason Pgs 44-45'!C37+'Northeast Tri Pgs 46-47'!C37+'Okanogan Pgs 48-49'!C37+'Pacific Pgs 50-51'!C37+'San Juan Pgs 52-53'!C37+'[1]seattle king'!C37+'Skagit Pgs 56-57'!C37+'Skamania Pgs 58-59'!C37+'Snohomish Pgs 60-61'!C37+'Spokane Pgs 62-63'!C37+'Tacoma-Pierce Pgs 64-65'!C37+'Thurston Pgs 66-67'!C37+'Wahkiakum Pgs 68-69'!C37+'Walla Walla Pgs 70-71'!C37+'Whatcom Pgs 72-73'!C37+'Whitman Pgs 74-75'!C37+'Yakima Pgs 76-77'!C37</f>
        <v>0</v>
      </c>
      <c r="D37" s="109">
        <f>'Adams Pgs 8-9'!D37+'Asotin Pgs 10-11'!D37+'Benton-Franklin Pgs 12-13'!D37+'Chelan-Douglas Pgs 14-15'!D37+'Clallam Pgs 16-17'!D37+'Clark Pgs 18-19'!D37+'Columbia Pgs 20-21'!D37+'Cowlitz Pgs 22-23'!D37+'Garfield Pgs 24-25'!D37+'Grant Pgs 26-27'!D37+'Grays Harbor Pgs 28-29'!D37+'Island Pgs 30-31'!D37+'Jefferson Pgs 32-33'!D37+'Kitsap Pgs 34-35'!D37+'Kittitas Pgs 36-37'!D37+'Klickitat Pgs 38-39'!D37+'Lewis Pgs 40-41'!D37+'Lincoln Pgs 42-43'!D37+'Mason Pgs 44-45'!D37+'Northeast Tri Pgs 46-47'!D37+'Okanogan Pgs 48-49'!D37+'Pacific Pgs 50-51'!D37+'San Juan Pgs 52-53'!D37+'[1]seattle king'!D37+'Skagit Pgs 56-57'!D37+'Skamania Pgs 58-59'!D37+'Snohomish Pgs 60-61'!D37+'Spokane Pgs 62-63'!D37+'Tacoma-Pierce Pgs 64-65'!D37+'Thurston Pgs 66-67'!D37+'Wahkiakum Pgs 68-69'!D37+'Walla Walla Pgs 70-71'!D37+'Whatcom Pgs 72-73'!D37+'Whitman Pgs 74-75'!D37+'Yakima Pgs 76-77'!D37</f>
        <v>145859</v>
      </c>
      <c r="E37" s="110">
        <f>'Adams Pgs 8-9'!E37+'Asotin Pgs 10-11'!E37+'Benton-Franklin Pgs 12-13'!E37+'Chelan-Douglas Pgs 14-15'!E37+'Clallam Pgs 16-17'!E37+'Clark Pgs 18-19'!E37+'Columbia Pgs 20-21'!E37+'Cowlitz Pgs 22-23'!E37+'Garfield Pgs 24-25'!E37+'Grant Pgs 26-27'!E37+'Grays Harbor Pgs 28-29'!E37+'Island Pgs 30-31'!E37+'Jefferson Pgs 32-33'!E37+'Kitsap Pgs 34-35'!E37+'Kittitas Pgs 36-37'!E37+'Klickitat Pgs 38-39'!E37+'Lewis Pgs 40-41'!E37+'Lincoln Pgs 42-43'!E37+'Mason Pgs 44-45'!E37+'Northeast Tri Pgs 46-47'!E37+'Okanogan Pgs 48-49'!E37+'Pacific Pgs 50-51'!E37+'San Juan Pgs 52-53'!E37+'[1]seattle king'!E37+'Skagit Pgs 56-57'!E37+'Skamania Pgs 58-59'!E37+'Snohomish Pgs 60-61'!E37+'Spokane Pgs 62-63'!E37+'Tacoma-Pierce Pgs 64-65'!E37+'Thurston Pgs 66-67'!E37+'Wahkiakum Pgs 68-69'!E37+'Walla Walla Pgs 70-71'!E37+'Whatcom Pgs 72-73'!E37+'Whitman Pgs 74-75'!E37+'Yakima Pgs 76-77'!E37</f>
        <v>0</v>
      </c>
      <c r="F37" s="108">
        <f>'Adams Pgs 8-9'!F37+'Asotin Pgs 10-11'!F37+'Benton-Franklin Pgs 12-13'!F37+'Chelan-Douglas Pgs 14-15'!F37+'Clallam Pgs 16-17'!F37+'Clark Pgs 18-19'!F37+'Columbia Pgs 20-21'!F37+'Cowlitz Pgs 22-23'!F37+'Garfield Pgs 24-25'!F37+'Grant Pgs 26-27'!F37+'Grays Harbor Pgs 28-29'!F37+'Island Pgs 30-31'!F37+'Jefferson Pgs 32-33'!F37+'Kitsap Pgs 34-35'!F37+'Kittitas Pgs 36-37'!F37+'Klickitat Pgs 38-39'!F37+'Lewis Pgs 40-41'!F37+'Lincoln Pgs 42-43'!F37+'Mason Pgs 44-45'!F37+'Northeast Tri Pgs 46-47'!F37+'Okanogan Pgs 48-49'!F37+'Pacific Pgs 50-51'!F37+'San Juan Pgs 52-53'!F37+'[1]seattle king'!F37+'Skagit Pgs 56-57'!F37+'Skamania Pgs 58-59'!F37+'Snohomish Pgs 60-61'!F37+'Spokane Pgs 62-63'!F37+'Tacoma-Pierce Pgs 64-65'!F37+'Thurston Pgs 66-67'!F37+'Wahkiakum Pgs 68-69'!F37+'Walla Walla Pgs 70-71'!F37+'Whatcom Pgs 72-73'!F37+'Whitman Pgs 74-75'!F37+'Yakima Pgs 76-77'!F37</f>
        <v>0</v>
      </c>
      <c r="G37" s="110">
        <f>'Adams Pgs 8-9'!G37+'Asotin Pgs 10-11'!G37+'Benton-Franklin Pgs 12-13'!G37+'Chelan-Douglas Pgs 14-15'!G37+'Clallam Pgs 16-17'!G37+'Clark Pgs 18-19'!G37+'Columbia Pgs 20-21'!G37+'Cowlitz Pgs 22-23'!G37+'Garfield Pgs 24-25'!G37+'Grant Pgs 26-27'!G37+'Grays Harbor Pgs 28-29'!G37+'Island Pgs 30-31'!G37+'Jefferson Pgs 32-33'!G37+'Kitsap Pgs 34-35'!G37+'Kittitas Pgs 36-37'!G37+'Klickitat Pgs 38-39'!G37+'Lewis Pgs 40-41'!G37+'Lincoln Pgs 42-43'!G37+'Mason Pgs 44-45'!G37+'Northeast Tri Pgs 46-47'!G37+'Okanogan Pgs 48-49'!G37+'Pacific Pgs 50-51'!G37+'San Juan Pgs 52-53'!G37+'[1]seattle king'!G37+'Skagit Pgs 56-57'!G37+'Skamania Pgs 58-59'!G37+'Snohomish Pgs 60-61'!G37+'Spokane Pgs 62-63'!G37+'Tacoma-Pierce Pgs 64-65'!G37+'Thurston Pgs 66-67'!G37+'Wahkiakum Pgs 68-69'!G37+'Walla Walla Pgs 70-71'!G37+'Whatcom Pgs 72-73'!G37+'Whitman Pgs 74-75'!G37+'Yakima Pgs 76-77'!G37</f>
        <v>-2410886</v>
      </c>
      <c r="H37" s="111">
        <f>'Adams Pgs 8-9'!H37+'Asotin Pgs 10-11'!H37+'Benton-Franklin Pgs 12-13'!H37+'Chelan-Douglas Pgs 14-15'!H37+'Clallam Pgs 16-17'!H37+'Clark Pgs 18-19'!H37+'Columbia Pgs 20-21'!H37+'Cowlitz Pgs 22-23'!H37+'Garfield Pgs 24-25'!H37+'Grant Pgs 26-27'!H37+'Grays Harbor Pgs 28-29'!H37+'Island Pgs 30-31'!H37+'Jefferson Pgs 32-33'!H37+'Kitsap Pgs 34-35'!H37+'Kittitas Pgs 36-37'!H37+'Klickitat Pgs 38-39'!H37+'Lewis Pgs 40-41'!H37+'Lincoln Pgs 42-43'!H37+'Mason Pgs 44-45'!H37+'Northeast Tri Pgs 46-47'!H37+'Okanogan Pgs 48-49'!H37+'Pacific Pgs 50-51'!H37+'San Juan Pgs 52-53'!H37+'[1]seattle king'!H37+'Skagit Pgs 56-57'!H37+'Skamania Pgs 58-59'!H37+'Snohomish Pgs 60-61'!H37+'Spokane Pgs 62-63'!H37+'Tacoma-Pierce Pgs 64-65'!H37+'Thurston Pgs 66-67'!H37+'Wahkiakum Pgs 68-69'!H37+'Walla Walla Pgs 70-71'!H37+'Whatcom Pgs 72-73'!H37+'Whitman Pgs 74-75'!H37+'Yakima Pgs 76-77'!H37</f>
        <v>14724918</v>
      </c>
      <c r="I37" s="110">
        <f>'Adams Pgs 8-9'!I37+'Asotin Pgs 10-11'!I37+'Benton-Franklin Pgs 12-13'!I37+'Chelan-Douglas Pgs 14-15'!I37+'Clallam Pgs 16-17'!I37+'Clark Pgs 18-19'!I37+'Columbia Pgs 20-21'!I37+'Cowlitz Pgs 22-23'!I37+'Garfield Pgs 24-25'!I37+'Grant Pgs 26-27'!I37+'Grays Harbor Pgs 28-29'!I37+'Island Pgs 30-31'!I37+'Jefferson Pgs 32-33'!I37+'Kitsap Pgs 34-35'!I37+'Kittitas Pgs 36-37'!I37+'Klickitat Pgs 38-39'!I37+'Lewis Pgs 40-41'!I37+'Lincoln Pgs 42-43'!I37+'Mason Pgs 44-45'!I37+'Northeast Tri Pgs 46-47'!I37+'Okanogan Pgs 48-49'!I37+'Pacific Pgs 50-51'!I37+'San Juan Pgs 52-53'!I37+'[1]seattle king'!I37+'Skagit Pgs 56-57'!I37+'Skamania Pgs 58-59'!I37+'Snohomish Pgs 60-61'!I37+'Spokane Pgs 62-63'!I37+'Tacoma-Pierce Pgs 64-65'!I37+'Thurston Pgs 66-67'!I37+'Wahkiakum Pgs 68-69'!I37+'Walla Walla Pgs 70-71'!I37+'Whatcom Pgs 72-73'!I37+'Whitman Pgs 74-75'!I37+'Yakima Pgs 76-77'!I37</f>
        <v>2211373</v>
      </c>
      <c r="J37" s="112">
        <f>'Adams Pgs 8-9'!J37+'Asotin Pgs 10-11'!J37+'Benton-Franklin Pgs 12-13'!J37+'Chelan-Douglas Pgs 14-15'!J37+'Clallam Pgs 16-17'!J37+'Clark Pgs 18-19'!J37+'Columbia Pgs 20-21'!J37+'Cowlitz Pgs 22-23'!J37+'Garfield Pgs 24-25'!J37+'Grant Pgs 26-27'!J37+'Grays Harbor Pgs 28-29'!J37+'Island Pgs 30-31'!J37+'Jefferson Pgs 32-33'!J37+'Kitsap Pgs 34-35'!J37+'Kittitas Pgs 36-37'!J37+'Klickitat Pgs 38-39'!J37+'Lewis Pgs 40-41'!J37+'Lincoln Pgs 42-43'!J37+'Mason Pgs 44-45'!J37+'Northeast Tri Pgs 46-47'!J37+'Okanogan Pgs 48-49'!J37+'Pacific Pgs 50-51'!J37+'San Juan Pgs 52-53'!J37+'[1]seattle king'!J37+'Skagit Pgs 56-57'!J37+'Skamania Pgs 58-59'!J37+'Snohomish Pgs 60-61'!J37+'Spokane Pgs 62-63'!J37+'Tacoma-Pierce Pgs 64-65'!J37+'Thurston Pgs 66-67'!J37+'Wahkiakum Pgs 68-69'!J37+'Walla Walla Pgs 70-71'!J37+'Whatcom Pgs 72-73'!J37+'Whitman Pgs 74-75'!J37+'Yakima Pgs 76-77'!J37</f>
        <v>715259</v>
      </c>
      <c r="K37" s="142">
        <f t="shared" si="0"/>
        <v>15386523</v>
      </c>
      <c r="L37"/>
    </row>
    <row r="38" spans="1:12" x14ac:dyDescent="0.35">
      <c r="A38" s="79">
        <v>562.78</v>
      </c>
      <c r="B38" s="16" t="s">
        <v>25</v>
      </c>
      <c r="C38" s="108">
        <f>'Adams Pgs 8-9'!C38+'Asotin Pgs 10-11'!C38+'Benton-Franklin Pgs 12-13'!C38+'Chelan-Douglas Pgs 14-15'!C38+'Clallam Pgs 16-17'!C38+'Clark Pgs 18-19'!C38+'Columbia Pgs 20-21'!C38+'Cowlitz Pgs 22-23'!C38+'Garfield Pgs 24-25'!C38+'Grant Pgs 26-27'!C38+'Grays Harbor Pgs 28-29'!C38+'Island Pgs 30-31'!C38+'Jefferson Pgs 32-33'!C38+'Kitsap Pgs 34-35'!C38+'Kittitas Pgs 36-37'!C38+'Klickitat Pgs 38-39'!C38+'Lewis Pgs 40-41'!C38+'Lincoln Pgs 42-43'!C38+'Mason Pgs 44-45'!C38+'Northeast Tri Pgs 46-47'!C38+'Okanogan Pgs 48-49'!C38+'Pacific Pgs 50-51'!C38+'San Juan Pgs 52-53'!C38+'[1]seattle king'!C38+'Skagit Pgs 56-57'!C38+'Skamania Pgs 58-59'!C38+'Snohomish Pgs 60-61'!C38+'Spokane Pgs 62-63'!C38+'Tacoma-Pierce Pgs 64-65'!C38+'Thurston Pgs 66-67'!C38+'Wahkiakum Pgs 68-69'!C38+'Walla Walla Pgs 70-71'!C38+'Whatcom Pgs 72-73'!C38+'Whitman Pgs 74-75'!C38+'Yakima Pgs 76-77'!C38</f>
        <v>0</v>
      </c>
      <c r="D38" s="109">
        <f>'Adams Pgs 8-9'!D38+'Asotin Pgs 10-11'!D38+'Benton-Franklin Pgs 12-13'!D38+'Chelan-Douglas Pgs 14-15'!D38+'Clallam Pgs 16-17'!D38+'Clark Pgs 18-19'!D38+'Columbia Pgs 20-21'!D38+'Cowlitz Pgs 22-23'!D38+'Garfield Pgs 24-25'!D38+'Grant Pgs 26-27'!D38+'Grays Harbor Pgs 28-29'!D38+'Island Pgs 30-31'!D38+'Jefferson Pgs 32-33'!D38+'Kitsap Pgs 34-35'!D38+'Kittitas Pgs 36-37'!D38+'Klickitat Pgs 38-39'!D38+'Lewis Pgs 40-41'!D38+'Lincoln Pgs 42-43'!D38+'Mason Pgs 44-45'!D38+'Northeast Tri Pgs 46-47'!D38+'Okanogan Pgs 48-49'!D38+'Pacific Pgs 50-51'!D38+'San Juan Pgs 52-53'!D38+'[1]seattle king'!D38+'Skagit Pgs 56-57'!D38+'Skamania Pgs 58-59'!D38+'Snohomish Pgs 60-61'!D38+'Spokane Pgs 62-63'!D38+'Tacoma-Pierce Pgs 64-65'!D38+'Thurston Pgs 66-67'!D38+'Wahkiakum Pgs 68-69'!D38+'Walla Walla Pgs 70-71'!D38+'Whatcom Pgs 72-73'!D38+'Whitman Pgs 74-75'!D38+'Yakima Pgs 76-77'!D38</f>
        <v>105787</v>
      </c>
      <c r="E38" s="110">
        <f>'Adams Pgs 8-9'!E38+'Asotin Pgs 10-11'!E38+'Benton-Franklin Pgs 12-13'!E38+'Chelan-Douglas Pgs 14-15'!E38+'Clallam Pgs 16-17'!E38+'Clark Pgs 18-19'!E38+'Columbia Pgs 20-21'!E38+'Cowlitz Pgs 22-23'!E38+'Garfield Pgs 24-25'!E38+'Grant Pgs 26-27'!E38+'Grays Harbor Pgs 28-29'!E38+'Island Pgs 30-31'!E38+'Jefferson Pgs 32-33'!E38+'Kitsap Pgs 34-35'!E38+'Kittitas Pgs 36-37'!E38+'Klickitat Pgs 38-39'!E38+'Lewis Pgs 40-41'!E38+'Lincoln Pgs 42-43'!E38+'Mason Pgs 44-45'!E38+'Northeast Tri Pgs 46-47'!E38+'Okanogan Pgs 48-49'!E38+'Pacific Pgs 50-51'!E38+'San Juan Pgs 52-53'!E38+'[1]seattle king'!E38+'Skagit Pgs 56-57'!E38+'Skamania Pgs 58-59'!E38+'Snohomish Pgs 60-61'!E38+'Spokane Pgs 62-63'!E38+'Tacoma-Pierce Pgs 64-65'!E38+'Thurston Pgs 66-67'!E38+'Wahkiakum Pgs 68-69'!E38+'Walla Walla Pgs 70-71'!E38+'Whatcom Pgs 72-73'!E38+'Whitman Pgs 74-75'!E38+'Yakima Pgs 76-77'!E38</f>
        <v>0</v>
      </c>
      <c r="F38" s="108">
        <f>'Adams Pgs 8-9'!F38+'Asotin Pgs 10-11'!F38+'Benton-Franklin Pgs 12-13'!F38+'Chelan-Douglas Pgs 14-15'!F38+'Clallam Pgs 16-17'!F38+'Clark Pgs 18-19'!F38+'Columbia Pgs 20-21'!F38+'Cowlitz Pgs 22-23'!F38+'Garfield Pgs 24-25'!F38+'Grant Pgs 26-27'!F38+'Grays Harbor Pgs 28-29'!F38+'Island Pgs 30-31'!F38+'Jefferson Pgs 32-33'!F38+'Kitsap Pgs 34-35'!F38+'Kittitas Pgs 36-37'!F38+'Klickitat Pgs 38-39'!F38+'Lewis Pgs 40-41'!F38+'Lincoln Pgs 42-43'!F38+'Mason Pgs 44-45'!F38+'Northeast Tri Pgs 46-47'!F38+'Okanogan Pgs 48-49'!F38+'Pacific Pgs 50-51'!F38+'San Juan Pgs 52-53'!F38+'[1]seattle king'!F38+'Skagit Pgs 56-57'!F38+'Skamania Pgs 58-59'!F38+'Snohomish Pgs 60-61'!F38+'Spokane Pgs 62-63'!F38+'Tacoma-Pierce Pgs 64-65'!F38+'Thurston Pgs 66-67'!F38+'Wahkiakum Pgs 68-69'!F38+'Walla Walla Pgs 70-71'!F38+'Whatcom Pgs 72-73'!F38+'Whitman Pgs 74-75'!F38+'Yakima Pgs 76-77'!F38</f>
        <v>0</v>
      </c>
      <c r="G38" s="110">
        <f>'Adams Pgs 8-9'!G38+'Asotin Pgs 10-11'!G38+'Benton-Franklin Pgs 12-13'!G38+'Chelan-Douglas Pgs 14-15'!G38+'Clallam Pgs 16-17'!G38+'Clark Pgs 18-19'!G38+'Columbia Pgs 20-21'!G38+'Cowlitz Pgs 22-23'!G38+'Garfield Pgs 24-25'!G38+'Grant Pgs 26-27'!G38+'Grays Harbor Pgs 28-29'!G38+'Island Pgs 30-31'!G38+'Jefferson Pgs 32-33'!G38+'Kitsap Pgs 34-35'!G38+'Kittitas Pgs 36-37'!G38+'Klickitat Pgs 38-39'!G38+'Lewis Pgs 40-41'!G38+'Lincoln Pgs 42-43'!G38+'Mason Pgs 44-45'!G38+'Northeast Tri Pgs 46-47'!G38+'Okanogan Pgs 48-49'!G38+'Pacific Pgs 50-51'!G38+'San Juan Pgs 52-53'!G38+'[1]seattle king'!G38+'Skagit Pgs 56-57'!G38+'Skamania Pgs 58-59'!G38+'Snohomish Pgs 60-61'!G38+'Spokane Pgs 62-63'!G38+'Tacoma-Pierce Pgs 64-65'!G38+'Thurston Pgs 66-67'!G38+'Wahkiakum Pgs 68-69'!G38+'Walla Walla Pgs 70-71'!G38+'Whatcom Pgs 72-73'!G38+'Whitman Pgs 74-75'!G38+'Yakima Pgs 76-77'!G38</f>
        <v>0</v>
      </c>
      <c r="H38" s="111">
        <f>'Adams Pgs 8-9'!H38+'Asotin Pgs 10-11'!H38+'Benton-Franklin Pgs 12-13'!H38+'Chelan-Douglas Pgs 14-15'!H38+'Clallam Pgs 16-17'!H38+'Clark Pgs 18-19'!H38+'Columbia Pgs 20-21'!H38+'Cowlitz Pgs 22-23'!H38+'Garfield Pgs 24-25'!H38+'Grant Pgs 26-27'!H38+'Grays Harbor Pgs 28-29'!H38+'Island Pgs 30-31'!H38+'Jefferson Pgs 32-33'!H38+'Kitsap Pgs 34-35'!H38+'Kittitas Pgs 36-37'!H38+'Klickitat Pgs 38-39'!H38+'Lewis Pgs 40-41'!H38+'Lincoln Pgs 42-43'!H38+'Mason Pgs 44-45'!H38+'Northeast Tri Pgs 46-47'!H38+'Okanogan Pgs 48-49'!H38+'Pacific Pgs 50-51'!H38+'San Juan Pgs 52-53'!H38+'[1]seattle king'!H38+'Skagit Pgs 56-57'!H38+'Skamania Pgs 58-59'!H38+'Snohomish Pgs 60-61'!H38+'Spokane Pgs 62-63'!H38+'Tacoma-Pierce Pgs 64-65'!H38+'Thurston Pgs 66-67'!H38+'Wahkiakum Pgs 68-69'!H38+'Walla Walla Pgs 70-71'!H38+'Whatcom Pgs 72-73'!H38+'Whitman Pgs 74-75'!H38+'Yakima Pgs 76-77'!H38</f>
        <v>141245</v>
      </c>
      <c r="I38" s="110">
        <f>'Adams Pgs 8-9'!I38+'Asotin Pgs 10-11'!I38+'Benton-Franklin Pgs 12-13'!I38+'Chelan-Douglas Pgs 14-15'!I38+'Clallam Pgs 16-17'!I38+'Clark Pgs 18-19'!I38+'Columbia Pgs 20-21'!I38+'Cowlitz Pgs 22-23'!I38+'Garfield Pgs 24-25'!I38+'Grant Pgs 26-27'!I38+'Grays Harbor Pgs 28-29'!I38+'Island Pgs 30-31'!I38+'Jefferson Pgs 32-33'!I38+'Kitsap Pgs 34-35'!I38+'Kittitas Pgs 36-37'!I38+'Klickitat Pgs 38-39'!I38+'Lewis Pgs 40-41'!I38+'Lincoln Pgs 42-43'!I38+'Mason Pgs 44-45'!I38+'Northeast Tri Pgs 46-47'!I38+'Okanogan Pgs 48-49'!I38+'Pacific Pgs 50-51'!I38+'San Juan Pgs 52-53'!I38+'[1]seattle king'!I38+'Skagit Pgs 56-57'!I38+'Skamania Pgs 58-59'!I38+'Snohomish Pgs 60-61'!I38+'Spokane Pgs 62-63'!I38+'Tacoma-Pierce Pgs 64-65'!I38+'Thurston Pgs 66-67'!I38+'Wahkiakum Pgs 68-69'!I38+'Walla Walla Pgs 70-71'!I38+'Whatcom Pgs 72-73'!I38+'Whitman Pgs 74-75'!I38+'Yakima Pgs 76-77'!I38</f>
        <v>456916</v>
      </c>
      <c r="J38" s="112">
        <f>'Adams Pgs 8-9'!J38+'Asotin Pgs 10-11'!J38+'Benton-Franklin Pgs 12-13'!J38+'Chelan-Douglas Pgs 14-15'!J38+'Clallam Pgs 16-17'!J38+'Clark Pgs 18-19'!J38+'Columbia Pgs 20-21'!J38+'Cowlitz Pgs 22-23'!J38+'Garfield Pgs 24-25'!J38+'Grant Pgs 26-27'!J38+'Grays Harbor Pgs 28-29'!J38+'Island Pgs 30-31'!J38+'Jefferson Pgs 32-33'!J38+'Kitsap Pgs 34-35'!J38+'Kittitas Pgs 36-37'!J38+'Klickitat Pgs 38-39'!J38+'Lewis Pgs 40-41'!J38+'Lincoln Pgs 42-43'!J38+'Mason Pgs 44-45'!J38+'Northeast Tri Pgs 46-47'!J38+'Okanogan Pgs 48-49'!J38+'Pacific Pgs 50-51'!J38+'San Juan Pgs 52-53'!J38+'[1]seattle king'!J38+'Skagit Pgs 56-57'!J38+'Skamania Pgs 58-59'!J38+'Snohomish Pgs 60-61'!J38+'Spokane Pgs 62-63'!J38+'Tacoma-Pierce Pgs 64-65'!J38+'Thurston Pgs 66-67'!J38+'Wahkiakum Pgs 68-69'!J38+'Walla Walla Pgs 70-71'!J38+'Whatcom Pgs 72-73'!J38+'Whitman Pgs 74-75'!J38+'Yakima Pgs 76-77'!J38</f>
        <v>391753</v>
      </c>
      <c r="K38" s="142">
        <f t="shared" si="0"/>
        <v>1095701</v>
      </c>
      <c r="L38"/>
    </row>
    <row r="39" spans="1:12" x14ac:dyDescent="0.35">
      <c r="A39" s="79">
        <v>562.79</v>
      </c>
      <c r="B39" s="16" t="s">
        <v>26</v>
      </c>
      <c r="C39" s="108">
        <f>'Adams Pgs 8-9'!C39+'Asotin Pgs 10-11'!C39+'Benton-Franklin Pgs 12-13'!C39+'Chelan-Douglas Pgs 14-15'!C39+'Clallam Pgs 16-17'!C39+'Clark Pgs 18-19'!C39+'Columbia Pgs 20-21'!C39+'Cowlitz Pgs 22-23'!C39+'Garfield Pgs 24-25'!C39+'Grant Pgs 26-27'!C39+'Grays Harbor Pgs 28-29'!C39+'Island Pgs 30-31'!C39+'Jefferson Pgs 32-33'!C39+'Kitsap Pgs 34-35'!C39+'Kittitas Pgs 36-37'!C39+'Klickitat Pgs 38-39'!C39+'Lewis Pgs 40-41'!C39+'Lincoln Pgs 42-43'!C39+'Mason Pgs 44-45'!C39+'Northeast Tri Pgs 46-47'!C39+'Okanogan Pgs 48-49'!C39+'Pacific Pgs 50-51'!C39+'San Juan Pgs 52-53'!C39+'[1]seattle king'!C39+'Skagit Pgs 56-57'!C39+'Skamania Pgs 58-59'!C39+'Snohomish Pgs 60-61'!C39+'Spokane Pgs 62-63'!C39+'Tacoma-Pierce Pgs 64-65'!C39+'Thurston Pgs 66-67'!C39+'Wahkiakum Pgs 68-69'!C39+'Walla Walla Pgs 70-71'!C39+'Whatcom Pgs 72-73'!C39+'Whitman Pgs 74-75'!C39+'Yakima Pgs 76-77'!C39</f>
        <v>0</v>
      </c>
      <c r="D39" s="109">
        <f>'Adams Pgs 8-9'!D39+'Asotin Pgs 10-11'!D39+'Benton-Franklin Pgs 12-13'!D39+'Chelan-Douglas Pgs 14-15'!D39+'Clallam Pgs 16-17'!D39+'Clark Pgs 18-19'!D39+'Columbia Pgs 20-21'!D39+'Cowlitz Pgs 22-23'!D39+'Garfield Pgs 24-25'!D39+'Grant Pgs 26-27'!D39+'Grays Harbor Pgs 28-29'!D39+'Island Pgs 30-31'!D39+'Jefferson Pgs 32-33'!D39+'Kitsap Pgs 34-35'!D39+'Kittitas Pgs 36-37'!D39+'Klickitat Pgs 38-39'!D39+'Lewis Pgs 40-41'!D39+'Lincoln Pgs 42-43'!D39+'Mason Pgs 44-45'!D39+'Northeast Tri Pgs 46-47'!D39+'Okanogan Pgs 48-49'!D39+'Pacific Pgs 50-51'!D39+'San Juan Pgs 52-53'!D39+'[1]seattle king'!D39+'Skagit Pgs 56-57'!D39+'Skamania Pgs 58-59'!D39+'Snohomish Pgs 60-61'!D39+'Spokane Pgs 62-63'!D39+'Tacoma-Pierce Pgs 64-65'!D39+'Thurston Pgs 66-67'!D39+'Wahkiakum Pgs 68-69'!D39+'Walla Walla Pgs 70-71'!D39+'Whatcom Pgs 72-73'!D39+'Whitman Pgs 74-75'!D39+'Yakima Pgs 76-77'!D39</f>
        <v>1864934</v>
      </c>
      <c r="E39" s="110">
        <f>'Adams Pgs 8-9'!E39+'Asotin Pgs 10-11'!E39+'Benton-Franklin Pgs 12-13'!E39+'Chelan-Douglas Pgs 14-15'!E39+'Clallam Pgs 16-17'!E39+'Clark Pgs 18-19'!E39+'Columbia Pgs 20-21'!E39+'Cowlitz Pgs 22-23'!E39+'Garfield Pgs 24-25'!E39+'Grant Pgs 26-27'!E39+'Grays Harbor Pgs 28-29'!E39+'Island Pgs 30-31'!E39+'Jefferson Pgs 32-33'!E39+'Kitsap Pgs 34-35'!E39+'Kittitas Pgs 36-37'!E39+'Klickitat Pgs 38-39'!E39+'Lewis Pgs 40-41'!E39+'Lincoln Pgs 42-43'!E39+'Mason Pgs 44-45'!E39+'Northeast Tri Pgs 46-47'!E39+'Okanogan Pgs 48-49'!E39+'Pacific Pgs 50-51'!E39+'San Juan Pgs 52-53'!E39+'[1]seattle king'!E39+'Skagit Pgs 56-57'!E39+'Skamania Pgs 58-59'!E39+'Snohomish Pgs 60-61'!E39+'Spokane Pgs 62-63'!E39+'Tacoma-Pierce Pgs 64-65'!E39+'Thurston Pgs 66-67'!E39+'Wahkiakum Pgs 68-69'!E39+'Walla Walla Pgs 70-71'!E39+'Whatcom Pgs 72-73'!E39+'Whitman Pgs 74-75'!E39+'Yakima Pgs 76-77'!E39</f>
        <v>251936</v>
      </c>
      <c r="F39" s="108">
        <f>'Adams Pgs 8-9'!F39+'Asotin Pgs 10-11'!F39+'Benton-Franklin Pgs 12-13'!F39+'Chelan-Douglas Pgs 14-15'!F39+'Clallam Pgs 16-17'!F39+'Clark Pgs 18-19'!F39+'Columbia Pgs 20-21'!F39+'Cowlitz Pgs 22-23'!F39+'Garfield Pgs 24-25'!F39+'Grant Pgs 26-27'!F39+'Grays Harbor Pgs 28-29'!F39+'Island Pgs 30-31'!F39+'Jefferson Pgs 32-33'!F39+'Kitsap Pgs 34-35'!F39+'Kittitas Pgs 36-37'!F39+'Klickitat Pgs 38-39'!F39+'Lewis Pgs 40-41'!F39+'Lincoln Pgs 42-43'!F39+'Mason Pgs 44-45'!F39+'Northeast Tri Pgs 46-47'!F39+'Okanogan Pgs 48-49'!F39+'Pacific Pgs 50-51'!F39+'San Juan Pgs 52-53'!F39+'[1]seattle king'!F39+'Skagit Pgs 56-57'!F39+'Skamania Pgs 58-59'!F39+'Snohomish Pgs 60-61'!F39+'Spokane Pgs 62-63'!F39+'Tacoma-Pierce Pgs 64-65'!F39+'Thurston Pgs 66-67'!F39+'Wahkiakum Pgs 68-69'!F39+'Walla Walla Pgs 70-71'!F39+'Whatcom Pgs 72-73'!F39+'Whitman Pgs 74-75'!F39+'Yakima Pgs 76-77'!F39</f>
        <v>1317</v>
      </c>
      <c r="G39" s="110">
        <f>'Adams Pgs 8-9'!G39+'Asotin Pgs 10-11'!G39+'Benton-Franklin Pgs 12-13'!G39+'Chelan-Douglas Pgs 14-15'!G39+'Clallam Pgs 16-17'!G39+'Clark Pgs 18-19'!G39+'Columbia Pgs 20-21'!G39+'Cowlitz Pgs 22-23'!G39+'Garfield Pgs 24-25'!G39+'Grant Pgs 26-27'!G39+'Grays Harbor Pgs 28-29'!G39+'Island Pgs 30-31'!G39+'Jefferson Pgs 32-33'!G39+'Kitsap Pgs 34-35'!G39+'Kittitas Pgs 36-37'!G39+'Klickitat Pgs 38-39'!G39+'Lewis Pgs 40-41'!G39+'Lincoln Pgs 42-43'!G39+'Mason Pgs 44-45'!G39+'Northeast Tri Pgs 46-47'!G39+'Okanogan Pgs 48-49'!G39+'Pacific Pgs 50-51'!G39+'San Juan Pgs 52-53'!G39+'[1]seattle king'!G39+'Skagit Pgs 56-57'!G39+'Skamania Pgs 58-59'!G39+'Snohomish Pgs 60-61'!G39+'Spokane Pgs 62-63'!G39+'Tacoma-Pierce Pgs 64-65'!G39+'Thurston Pgs 66-67'!G39+'Wahkiakum Pgs 68-69'!G39+'Walla Walla Pgs 70-71'!G39+'Whatcom Pgs 72-73'!G39+'Whitman Pgs 74-75'!G39+'Yakima Pgs 76-77'!G39</f>
        <v>0</v>
      </c>
      <c r="H39" s="111">
        <f>'Adams Pgs 8-9'!H39+'Asotin Pgs 10-11'!H39+'Benton-Franklin Pgs 12-13'!H39+'Chelan-Douglas Pgs 14-15'!H39+'Clallam Pgs 16-17'!H39+'Clark Pgs 18-19'!H39+'Columbia Pgs 20-21'!H39+'Cowlitz Pgs 22-23'!H39+'Garfield Pgs 24-25'!H39+'Grant Pgs 26-27'!H39+'Grays Harbor Pgs 28-29'!H39+'Island Pgs 30-31'!H39+'Jefferson Pgs 32-33'!H39+'Kitsap Pgs 34-35'!H39+'Kittitas Pgs 36-37'!H39+'Klickitat Pgs 38-39'!H39+'Lewis Pgs 40-41'!H39+'Lincoln Pgs 42-43'!H39+'Mason Pgs 44-45'!H39+'Northeast Tri Pgs 46-47'!H39+'Okanogan Pgs 48-49'!H39+'Pacific Pgs 50-51'!H39+'San Juan Pgs 52-53'!H39+'[1]seattle king'!H39+'Skagit Pgs 56-57'!H39+'Skamania Pgs 58-59'!H39+'Snohomish Pgs 60-61'!H39+'Spokane Pgs 62-63'!H39+'Tacoma-Pierce Pgs 64-65'!H39+'Thurston Pgs 66-67'!H39+'Wahkiakum Pgs 68-69'!H39+'Walla Walla Pgs 70-71'!H39+'Whatcom Pgs 72-73'!H39+'Whitman Pgs 74-75'!H39+'Yakima Pgs 76-77'!H39</f>
        <v>2092014</v>
      </c>
      <c r="I39" s="110">
        <f>'Adams Pgs 8-9'!I39+'Asotin Pgs 10-11'!I39+'Benton-Franklin Pgs 12-13'!I39+'Chelan-Douglas Pgs 14-15'!I39+'Clallam Pgs 16-17'!I39+'Clark Pgs 18-19'!I39+'Columbia Pgs 20-21'!I39+'Cowlitz Pgs 22-23'!I39+'Garfield Pgs 24-25'!I39+'Grant Pgs 26-27'!I39+'Grays Harbor Pgs 28-29'!I39+'Island Pgs 30-31'!I39+'Jefferson Pgs 32-33'!I39+'Kitsap Pgs 34-35'!I39+'Kittitas Pgs 36-37'!I39+'Klickitat Pgs 38-39'!I39+'Lewis Pgs 40-41'!I39+'Lincoln Pgs 42-43'!I39+'Mason Pgs 44-45'!I39+'Northeast Tri Pgs 46-47'!I39+'Okanogan Pgs 48-49'!I39+'Pacific Pgs 50-51'!I39+'San Juan Pgs 52-53'!I39+'[1]seattle king'!I39+'Skagit Pgs 56-57'!I39+'Skamania Pgs 58-59'!I39+'Snohomish Pgs 60-61'!I39+'Spokane Pgs 62-63'!I39+'Tacoma-Pierce Pgs 64-65'!I39+'Thurston Pgs 66-67'!I39+'Wahkiakum Pgs 68-69'!I39+'Walla Walla Pgs 70-71'!I39+'Whatcom Pgs 72-73'!I39+'Whitman Pgs 74-75'!I39+'Yakima Pgs 76-77'!I39</f>
        <v>208590</v>
      </c>
      <c r="J39" s="112">
        <f>'Adams Pgs 8-9'!J39+'Asotin Pgs 10-11'!J39+'Benton-Franklin Pgs 12-13'!J39+'Chelan-Douglas Pgs 14-15'!J39+'Clallam Pgs 16-17'!J39+'Clark Pgs 18-19'!J39+'Columbia Pgs 20-21'!J39+'Cowlitz Pgs 22-23'!J39+'Garfield Pgs 24-25'!J39+'Grant Pgs 26-27'!J39+'Grays Harbor Pgs 28-29'!J39+'Island Pgs 30-31'!J39+'Jefferson Pgs 32-33'!J39+'Kitsap Pgs 34-35'!J39+'Kittitas Pgs 36-37'!J39+'Klickitat Pgs 38-39'!J39+'Lewis Pgs 40-41'!J39+'Lincoln Pgs 42-43'!J39+'Mason Pgs 44-45'!J39+'Northeast Tri Pgs 46-47'!J39+'Okanogan Pgs 48-49'!J39+'Pacific Pgs 50-51'!J39+'San Juan Pgs 52-53'!J39+'[1]seattle king'!J39+'Skagit Pgs 56-57'!J39+'Skamania Pgs 58-59'!J39+'Snohomish Pgs 60-61'!J39+'Spokane Pgs 62-63'!J39+'Tacoma-Pierce Pgs 64-65'!J39+'Thurston Pgs 66-67'!J39+'Wahkiakum Pgs 68-69'!J39+'Walla Walla Pgs 70-71'!J39+'Whatcom Pgs 72-73'!J39+'Whitman Pgs 74-75'!J39+'Yakima Pgs 76-77'!J39</f>
        <v>109504</v>
      </c>
      <c r="K39" s="142">
        <f t="shared" si="0"/>
        <v>4528295</v>
      </c>
      <c r="L39"/>
    </row>
    <row r="40" spans="1:12" x14ac:dyDescent="0.35">
      <c r="A40" s="79">
        <v>562.79999999999995</v>
      </c>
      <c r="B40" s="16" t="s">
        <v>27</v>
      </c>
      <c r="C40" s="108">
        <f>'Adams Pgs 8-9'!C40+'Asotin Pgs 10-11'!C40+'Benton-Franklin Pgs 12-13'!C40+'Chelan-Douglas Pgs 14-15'!C40+'Clallam Pgs 16-17'!C40+'Clark Pgs 18-19'!C40+'Columbia Pgs 20-21'!C40+'Cowlitz Pgs 22-23'!C40+'Garfield Pgs 24-25'!C40+'Grant Pgs 26-27'!C40+'Grays Harbor Pgs 28-29'!C40+'Island Pgs 30-31'!C40+'Jefferson Pgs 32-33'!C40+'Kitsap Pgs 34-35'!C40+'Kittitas Pgs 36-37'!C40+'Klickitat Pgs 38-39'!C40+'Lewis Pgs 40-41'!C40+'Lincoln Pgs 42-43'!C40+'Mason Pgs 44-45'!C40+'Northeast Tri Pgs 46-47'!C40+'Okanogan Pgs 48-49'!C40+'Pacific Pgs 50-51'!C40+'San Juan Pgs 52-53'!C40+'[1]seattle king'!C40+'Skagit Pgs 56-57'!C40+'Skamania Pgs 58-59'!C40+'Snohomish Pgs 60-61'!C40+'Spokane Pgs 62-63'!C40+'Tacoma-Pierce Pgs 64-65'!C40+'Thurston Pgs 66-67'!C40+'Wahkiakum Pgs 68-69'!C40+'Walla Walla Pgs 70-71'!C40+'Whatcom Pgs 72-73'!C40+'Whitman Pgs 74-75'!C40+'Yakima Pgs 76-77'!C40</f>
        <v>0</v>
      </c>
      <c r="D40" s="109">
        <f>'Adams Pgs 8-9'!D40+'Asotin Pgs 10-11'!D40+'Benton-Franklin Pgs 12-13'!D40+'Chelan-Douglas Pgs 14-15'!D40+'Clallam Pgs 16-17'!D40+'Clark Pgs 18-19'!D40+'Columbia Pgs 20-21'!D40+'Cowlitz Pgs 22-23'!D40+'Garfield Pgs 24-25'!D40+'Grant Pgs 26-27'!D40+'Grays Harbor Pgs 28-29'!D40+'Island Pgs 30-31'!D40+'Jefferson Pgs 32-33'!D40+'Kitsap Pgs 34-35'!D40+'Kittitas Pgs 36-37'!D40+'Klickitat Pgs 38-39'!D40+'Lewis Pgs 40-41'!D40+'Lincoln Pgs 42-43'!D40+'Mason Pgs 44-45'!D40+'Northeast Tri Pgs 46-47'!D40+'Okanogan Pgs 48-49'!D40+'Pacific Pgs 50-51'!D40+'San Juan Pgs 52-53'!D40+'[1]seattle king'!D40+'Skagit Pgs 56-57'!D40+'Skamania Pgs 58-59'!D40+'Snohomish Pgs 60-61'!D40+'Spokane Pgs 62-63'!D40+'Tacoma-Pierce Pgs 64-65'!D40+'Thurston Pgs 66-67'!D40+'Wahkiakum Pgs 68-69'!D40+'Walla Walla Pgs 70-71'!D40+'Whatcom Pgs 72-73'!D40+'Whitman Pgs 74-75'!D40+'Yakima Pgs 76-77'!D40</f>
        <v>2754793</v>
      </c>
      <c r="E40" s="110">
        <f>'Adams Pgs 8-9'!E40+'Asotin Pgs 10-11'!E40+'Benton-Franklin Pgs 12-13'!E40+'Chelan-Douglas Pgs 14-15'!E40+'Clallam Pgs 16-17'!E40+'Clark Pgs 18-19'!E40+'Columbia Pgs 20-21'!E40+'Cowlitz Pgs 22-23'!E40+'Garfield Pgs 24-25'!E40+'Grant Pgs 26-27'!E40+'Grays Harbor Pgs 28-29'!E40+'Island Pgs 30-31'!E40+'Jefferson Pgs 32-33'!E40+'Kitsap Pgs 34-35'!E40+'Kittitas Pgs 36-37'!E40+'Klickitat Pgs 38-39'!E40+'Lewis Pgs 40-41'!E40+'Lincoln Pgs 42-43'!E40+'Mason Pgs 44-45'!E40+'Northeast Tri Pgs 46-47'!E40+'Okanogan Pgs 48-49'!E40+'Pacific Pgs 50-51'!E40+'San Juan Pgs 52-53'!E40+'[1]seattle king'!E40+'Skagit Pgs 56-57'!E40+'Skamania Pgs 58-59'!E40+'Snohomish Pgs 60-61'!E40+'Spokane Pgs 62-63'!E40+'Tacoma-Pierce Pgs 64-65'!E40+'Thurston Pgs 66-67'!E40+'Wahkiakum Pgs 68-69'!E40+'Walla Walla Pgs 70-71'!E40+'Whatcom Pgs 72-73'!E40+'Whitman Pgs 74-75'!E40+'Yakima Pgs 76-77'!E40</f>
        <v>86157</v>
      </c>
      <c r="F40" s="108">
        <f>'Adams Pgs 8-9'!F40+'Asotin Pgs 10-11'!F40+'Benton-Franklin Pgs 12-13'!F40+'Chelan-Douglas Pgs 14-15'!F40+'Clallam Pgs 16-17'!F40+'Clark Pgs 18-19'!F40+'Columbia Pgs 20-21'!F40+'Cowlitz Pgs 22-23'!F40+'Garfield Pgs 24-25'!F40+'Grant Pgs 26-27'!F40+'Grays Harbor Pgs 28-29'!F40+'Island Pgs 30-31'!F40+'Jefferson Pgs 32-33'!F40+'Kitsap Pgs 34-35'!F40+'Kittitas Pgs 36-37'!F40+'Klickitat Pgs 38-39'!F40+'Lewis Pgs 40-41'!F40+'Lincoln Pgs 42-43'!F40+'Mason Pgs 44-45'!F40+'Northeast Tri Pgs 46-47'!F40+'Okanogan Pgs 48-49'!F40+'Pacific Pgs 50-51'!F40+'San Juan Pgs 52-53'!F40+'[1]seattle king'!F40+'Skagit Pgs 56-57'!F40+'Skamania Pgs 58-59'!F40+'Snohomish Pgs 60-61'!F40+'Spokane Pgs 62-63'!F40+'Tacoma-Pierce Pgs 64-65'!F40+'Thurston Pgs 66-67'!F40+'Wahkiakum Pgs 68-69'!F40+'Walla Walla Pgs 70-71'!F40+'Whatcom Pgs 72-73'!F40+'Whitman Pgs 74-75'!F40+'Yakima Pgs 76-77'!F40</f>
        <v>369679</v>
      </c>
      <c r="G40" s="110">
        <f>'Adams Pgs 8-9'!G40+'Asotin Pgs 10-11'!G40+'Benton-Franklin Pgs 12-13'!G40+'Chelan-Douglas Pgs 14-15'!G40+'Clallam Pgs 16-17'!G40+'Clark Pgs 18-19'!G40+'Columbia Pgs 20-21'!G40+'Cowlitz Pgs 22-23'!G40+'Garfield Pgs 24-25'!G40+'Grant Pgs 26-27'!G40+'Grays Harbor Pgs 28-29'!G40+'Island Pgs 30-31'!G40+'Jefferson Pgs 32-33'!G40+'Kitsap Pgs 34-35'!G40+'Kittitas Pgs 36-37'!G40+'Klickitat Pgs 38-39'!G40+'Lewis Pgs 40-41'!G40+'Lincoln Pgs 42-43'!G40+'Mason Pgs 44-45'!G40+'Northeast Tri Pgs 46-47'!G40+'Okanogan Pgs 48-49'!G40+'Pacific Pgs 50-51'!G40+'San Juan Pgs 52-53'!G40+'[1]seattle king'!G40+'Skagit Pgs 56-57'!G40+'Skamania Pgs 58-59'!G40+'Snohomish Pgs 60-61'!G40+'Spokane Pgs 62-63'!G40+'Tacoma-Pierce Pgs 64-65'!G40+'Thurston Pgs 66-67'!G40+'Wahkiakum Pgs 68-69'!G40+'Walla Walla Pgs 70-71'!G40+'Whatcom Pgs 72-73'!G40+'Whitman Pgs 74-75'!G40+'Yakima Pgs 76-77'!G40</f>
        <v>74292</v>
      </c>
      <c r="H40" s="111">
        <f>'Adams Pgs 8-9'!H40+'Asotin Pgs 10-11'!H40+'Benton-Franklin Pgs 12-13'!H40+'Chelan-Douglas Pgs 14-15'!H40+'Clallam Pgs 16-17'!H40+'Clark Pgs 18-19'!H40+'Columbia Pgs 20-21'!H40+'Cowlitz Pgs 22-23'!H40+'Garfield Pgs 24-25'!H40+'Grant Pgs 26-27'!H40+'Grays Harbor Pgs 28-29'!H40+'Island Pgs 30-31'!H40+'Jefferson Pgs 32-33'!H40+'Kitsap Pgs 34-35'!H40+'Kittitas Pgs 36-37'!H40+'Klickitat Pgs 38-39'!H40+'Lewis Pgs 40-41'!H40+'Lincoln Pgs 42-43'!H40+'Mason Pgs 44-45'!H40+'Northeast Tri Pgs 46-47'!H40+'Okanogan Pgs 48-49'!H40+'Pacific Pgs 50-51'!H40+'San Juan Pgs 52-53'!H40+'[1]seattle king'!H40+'Skagit Pgs 56-57'!H40+'Skamania Pgs 58-59'!H40+'Snohomish Pgs 60-61'!H40+'Spokane Pgs 62-63'!H40+'Tacoma-Pierce Pgs 64-65'!H40+'Thurston Pgs 66-67'!H40+'Wahkiakum Pgs 68-69'!H40+'Walla Walla Pgs 70-71'!H40+'Whatcom Pgs 72-73'!H40+'Whitman Pgs 74-75'!H40+'Yakima Pgs 76-77'!H40</f>
        <v>2332832</v>
      </c>
      <c r="I40" s="110">
        <f>'Adams Pgs 8-9'!I40+'Asotin Pgs 10-11'!I40+'Benton-Franklin Pgs 12-13'!I40+'Chelan-Douglas Pgs 14-15'!I40+'Clallam Pgs 16-17'!I40+'Clark Pgs 18-19'!I40+'Columbia Pgs 20-21'!I40+'Cowlitz Pgs 22-23'!I40+'Garfield Pgs 24-25'!I40+'Grant Pgs 26-27'!I40+'Grays Harbor Pgs 28-29'!I40+'Island Pgs 30-31'!I40+'Jefferson Pgs 32-33'!I40+'Kitsap Pgs 34-35'!I40+'Kittitas Pgs 36-37'!I40+'Klickitat Pgs 38-39'!I40+'Lewis Pgs 40-41'!I40+'Lincoln Pgs 42-43'!I40+'Mason Pgs 44-45'!I40+'Northeast Tri Pgs 46-47'!I40+'Okanogan Pgs 48-49'!I40+'Pacific Pgs 50-51'!I40+'San Juan Pgs 52-53'!I40+'[1]seattle king'!I40+'Skagit Pgs 56-57'!I40+'Skamania Pgs 58-59'!I40+'Snohomish Pgs 60-61'!I40+'Spokane Pgs 62-63'!I40+'Tacoma-Pierce Pgs 64-65'!I40+'Thurston Pgs 66-67'!I40+'Wahkiakum Pgs 68-69'!I40+'Walla Walla Pgs 70-71'!I40+'Whatcom Pgs 72-73'!I40+'Whitman Pgs 74-75'!I40+'Yakima Pgs 76-77'!I40</f>
        <v>97334</v>
      </c>
      <c r="J40" s="112">
        <f>'Adams Pgs 8-9'!J40+'Asotin Pgs 10-11'!J40+'Benton-Franklin Pgs 12-13'!J40+'Chelan-Douglas Pgs 14-15'!J40+'Clallam Pgs 16-17'!J40+'Clark Pgs 18-19'!J40+'Columbia Pgs 20-21'!J40+'Cowlitz Pgs 22-23'!J40+'Garfield Pgs 24-25'!J40+'Grant Pgs 26-27'!J40+'Grays Harbor Pgs 28-29'!J40+'Island Pgs 30-31'!J40+'Jefferson Pgs 32-33'!J40+'Kitsap Pgs 34-35'!J40+'Kittitas Pgs 36-37'!J40+'Klickitat Pgs 38-39'!J40+'Lewis Pgs 40-41'!J40+'Lincoln Pgs 42-43'!J40+'Mason Pgs 44-45'!J40+'Northeast Tri Pgs 46-47'!J40+'Okanogan Pgs 48-49'!J40+'Pacific Pgs 50-51'!J40+'San Juan Pgs 52-53'!J40+'[1]seattle king'!J40+'Skagit Pgs 56-57'!J40+'Skamania Pgs 58-59'!J40+'Snohomish Pgs 60-61'!J40+'Spokane Pgs 62-63'!J40+'Tacoma-Pierce Pgs 64-65'!J40+'Thurston Pgs 66-67'!J40+'Wahkiakum Pgs 68-69'!J40+'Walla Walla Pgs 70-71'!J40+'Whatcom Pgs 72-73'!J40+'Whitman Pgs 74-75'!J40+'Yakima Pgs 76-77'!J40</f>
        <v>730994</v>
      </c>
      <c r="K40" s="142">
        <f t="shared" si="0"/>
        <v>6446081</v>
      </c>
      <c r="L40"/>
    </row>
    <row r="41" spans="1:12" x14ac:dyDescent="0.35">
      <c r="A41" s="79">
        <v>562.88</v>
      </c>
      <c r="B41" s="29" t="s">
        <v>51</v>
      </c>
      <c r="C41" s="108">
        <f>'Adams Pgs 8-9'!C41+'Asotin Pgs 10-11'!C41+'Benton-Franklin Pgs 12-13'!C41+'Chelan-Douglas Pgs 14-15'!C41+'Clallam Pgs 16-17'!C41+'Clark Pgs 18-19'!C41+'Columbia Pgs 20-21'!C41+'Cowlitz Pgs 22-23'!C41+'Garfield Pgs 24-25'!C41+'Grant Pgs 26-27'!C41+'Grays Harbor Pgs 28-29'!C41+'Island Pgs 30-31'!C41+'Jefferson Pgs 32-33'!C41+'Kitsap Pgs 34-35'!C41+'Kittitas Pgs 36-37'!C41+'Klickitat Pgs 38-39'!C41+'Lewis Pgs 40-41'!C41+'Lincoln Pgs 42-43'!C41+'Mason Pgs 44-45'!C41+'Northeast Tri Pgs 46-47'!C41+'Okanogan Pgs 48-49'!C41+'Pacific Pgs 50-51'!C41+'San Juan Pgs 52-53'!C41+'[1]seattle king'!C41+'Skagit Pgs 56-57'!C41+'Skamania Pgs 58-59'!C41+'Snohomish Pgs 60-61'!C41+'Spokane Pgs 62-63'!C41+'Tacoma-Pierce Pgs 64-65'!C41+'Thurston Pgs 66-67'!C41+'Wahkiakum Pgs 68-69'!C41+'Walla Walla Pgs 70-71'!C41+'Whatcom Pgs 72-73'!C41+'Whitman Pgs 74-75'!C41+'Yakima Pgs 76-77'!C41</f>
        <v>3623</v>
      </c>
      <c r="D41" s="109">
        <f>'Adams Pgs 8-9'!D41+'Asotin Pgs 10-11'!D41+'Benton-Franklin Pgs 12-13'!D41+'Chelan-Douglas Pgs 14-15'!D41+'Clallam Pgs 16-17'!D41+'Clark Pgs 18-19'!D41+'Columbia Pgs 20-21'!D41+'Cowlitz Pgs 22-23'!D41+'Garfield Pgs 24-25'!D41+'Grant Pgs 26-27'!D41+'Grays Harbor Pgs 28-29'!D41+'Island Pgs 30-31'!D41+'Jefferson Pgs 32-33'!D41+'Kitsap Pgs 34-35'!D41+'Kittitas Pgs 36-37'!D41+'Klickitat Pgs 38-39'!D41+'Lewis Pgs 40-41'!D41+'Lincoln Pgs 42-43'!D41+'Mason Pgs 44-45'!D41+'Northeast Tri Pgs 46-47'!D41+'Okanogan Pgs 48-49'!D41+'Pacific Pgs 50-51'!D41+'San Juan Pgs 52-53'!D41+'[1]seattle king'!D41+'Skagit Pgs 56-57'!D41+'Skamania Pgs 58-59'!D41+'Snohomish Pgs 60-61'!D41+'Spokane Pgs 62-63'!D41+'Tacoma-Pierce Pgs 64-65'!D41+'Thurston Pgs 66-67'!D41+'Wahkiakum Pgs 68-69'!D41+'Walla Walla Pgs 70-71'!D41+'Whatcom Pgs 72-73'!D41+'Whitman Pgs 74-75'!D41+'Yakima Pgs 76-77'!D41</f>
        <v>60421</v>
      </c>
      <c r="E41" s="110">
        <f>'Adams Pgs 8-9'!E41+'Asotin Pgs 10-11'!E41+'Benton-Franklin Pgs 12-13'!E41+'Chelan-Douglas Pgs 14-15'!E41+'Clallam Pgs 16-17'!E41+'Clark Pgs 18-19'!E41+'Columbia Pgs 20-21'!E41+'Cowlitz Pgs 22-23'!E41+'Garfield Pgs 24-25'!E41+'Grant Pgs 26-27'!E41+'Grays Harbor Pgs 28-29'!E41+'Island Pgs 30-31'!E41+'Jefferson Pgs 32-33'!E41+'Kitsap Pgs 34-35'!E41+'Kittitas Pgs 36-37'!E41+'Klickitat Pgs 38-39'!E41+'Lewis Pgs 40-41'!E41+'Lincoln Pgs 42-43'!E41+'Mason Pgs 44-45'!E41+'Northeast Tri Pgs 46-47'!E41+'Okanogan Pgs 48-49'!E41+'Pacific Pgs 50-51'!E41+'San Juan Pgs 52-53'!E41+'[1]seattle king'!E41+'Skagit Pgs 56-57'!E41+'Skamania Pgs 58-59'!E41+'Snohomish Pgs 60-61'!E41+'Spokane Pgs 62-63'!E41+'Tacoma-Pierce Pgs 64-65'!E41+'Thurston Pgs 66-67'!E41+'Wahkiakum Pgs 68-69'!E41+'Walla Walla Pgs 70-71'!E41+'Whatcom Pgs 72-73'!E41+'Whitman Pgs 74-75'!E41+'Yakima Pgs 76-77'!E41</f>
        <v>0</v>
      </c>
      <c r="F41" s="108">
        <f>'Adams Pgs 8-9'!F41+'Asotin Pgs 10-11'!F41+'Benton-Franklin Pgs 12-13'!F41+'Chelan-Douglas Pgs 14-15'!F41+'Clallam Pgs 16-17'!F41+'Clark Pgs 18-19'!F41+'Columbia Pgs 20-21'!F41+'Cowlitz Pgs 22-23'!F41+'Garfield Pgs 24-25'!F41+'Grant Pgs 26-27'!F41+'Grays Harbor Pgs 28-29'!F41+'Island Pgs 30-31'!F41+'Jefferson Pgs 32-33'!F41+'Kitsap Pgs 34-35'!F41+'Kittitas Pgs 36-37'!F41+'Klickitat Pgs 38-39'!F41+'Lewis Pgs 40-41'!F41+'Lincoln Pgs 42-43'!F41+'Mason Pgs 44-45'!F41+'Northeast Tri Pgs 46-47'!F41+'Okanogan Pgs 48-49'!F41+'Pacific Pgs 50-51'!F41+'San Juan Pgs 52-53'!F41+'[1]seattle king'!F41+'Skagit Pgs 56-57'!F41+'Skamania Pgs 58-59'!F41+'Snohomish Pgs 60-61'!F41+'Spokane Pgs 62-63'!F41+'Tacoma-Pierce Pgs 64-65'!F41+'Thurston Pgs 66-67'!F41+'Wahkiakum Pgs 68-69'!F41+'Walla Walla Pgs 70-71'!F41+'Whatcom Pgs 72-73'!F41+'Whitman Pgs 74-75'!F41+'Yakima Pgs 76-77'!F41</f>
        <v>7153734</v>
      </c>
      <c r="G41" s="110">
        <f>'Adams Pgs 8-9'!G41+'Asotin Pgs 10-11'!G41+'Benton-Franklin Pgs 12-13'!G41+'Chelan-Douglas Pgs 14-15'!G41+'Clallam Pgs 16-17'!G41+'Clark Pgs 18-19'!G41+'Columbia Pgs 20-21'!G41+'Cowlitz Pgs 22-23'!G41+'Garfield Pgs 24-25'!G41+'Grant Pgs 26-27'!G41+'Grays Harbor Pgs 28-29'!G41+'Island Pgs 30-31'!G41+'Jefferson Pgs 32-33'!G41+'Kitsap Pgs 34-35'!G41+'Kittitas Pgs 36-37'!G41+'Klickitat Pgs 38-39'!G41+'Lewis Pgs 40-41'!G41+'Lincoln Pgs 42-43'!G41+'Mason Pgs 44-45'!G41+'Northeast Tri Pgs 46-47'!G41+'Okanogan Pgs 48-49'!G41+'Pacific Pgs 50-51'!G41+'San Juan Pgs 52-53'!G41+'[1]seattle king'!G41+'Skagit Pgs 56-57'!G41+'Skamania Pgs 58-59'!G41+'Snohomish Pgs 60-61'!G41+'Spokane Pgs 62-63'!G41+'Tacoma-Pierce Pgs 64-65'!G41+'Thurston Pgs 66-67'!G41+'Wahkiakum Pgs 68-69'!G41+'Walla Walla Pgs 70-71'!G41+'Whatcom Pgs 72-73'!G41+'Whitman Pgs 74-75'!G41+'Yakima Pgs 76-77'!G41</f>
        <v>290224</v>
      </c>
      <c r="H41" s="111">
        <f>'Adams Pgs 8-9'!H41+'Asotin Pgs 10-11'!H41+'Benton-Franklin Pgs 12-13'!H41+'Chelan-Douglas Pgs 14-15'!H41+'Clallam Pgs 16-17'!H41+'Clark Pgs 18-19'!H41+'Columbia Pgs 20-21'!H41+'Cowlitz Pgs 22-23'!H41+'Garfield Pgs 24-25'!H41+'Grant Pgs 26-27'!H41+'Grays Harbor Pgs 28-29'!H41+'Island Pgs 30-31'!H41+'Jefferson Pgs 32-33'!H41+'Kitsap Pgs 34-35'!H41+'Kittitas Pgs 36-37'!H41+'Klickitat Pgs 38-39'!H41+'Lewis Pgs 40-41'!H41+'Lincoln Pgs 42-43'!H41+'Mason Pgs 44-45'!H41+'Northeast Tri Pgs 46-47'!H41+'Okanogan Pgs 48-49'!H41+'Pacific Pgs 50-51'!H41+'San Juan Pgs 52-53'!H41+'[1]seattle king'!H41+'Skagit Pgs 56-57'!H41+'Skamania Pgs 58-59'!H41+'Snohomish Pgs 60-61'!H41+'Spokane Pgs 62-63'!H41+'Tacoma-Pierce Pgs 64-65'!H41+'Thurston Pgs 66-67'!H41+'Wahkiakum Pgs 68-69'!H41+'Walla Walla Pgs 70-71'!H41+'Whatcom Pgs 72-73'!H41+'Whitman Pgs 74-75'!H41+'Yakima Pgs 76-77'!H41</f>
        <v>221984</v>
      </c>
      <c r="I41" s="110">
        <f>'Adams Pgs 8-9'!I41+'Asotin Pgs 10-11'!I41+'Benton-Franklin Pgs 12-13'!I41+'Chelan-Douglas Pgs 14-15'!I41+'Clallam Pgs 16-17'!I41+'Clark Pgs 18-19'!I41+'Columbia Pgs 20-21'!I41+'Cowlitz Pgs 22-23'!I41+'Garfield Pgs 24-25'!I41+'Grant Pgs 26-27'!I41+'Grays Harbor Pgs 28-29'!I41+'Island Pgs 30-31'!I41+'Jefferson Pgs 32-33'!I41+'Kitsap Pgs 34-35'!I41+'Kittitas Pgs 36-37'!I41+'Klickitat Pgs 38-39'!I41+'Lewis Pgs 40-41'!I41+'Lincoln Pgs 42-43'!I41+'Mason Pgs 44-45'!I41+'Northeast Tri Pgs 46-47'!I41+'Okanogan Pgs 48-49'!I41+'Pacific Pgs 50-51'!I41+'San Juan Pgs 52-53'!I41+'[1]seattle king'!I41+'Skagit Pgs 56-57'!I41+'Skamania Pgs 58-59'!I41+'Snohomish Pgs 60-61'!I41+'Spokane Pgs 62-63'!I41+'Tacoma-Pierce Pgs 64-65'!I41+'Thurston Pgs 66-67'!I41+'Wahkiakum Pgs 68-69'!I41+'Walla Walla Pgs 70-71'!I41+'Whatcom Pgs 72-73'!I41+'Whitman Pgs 74-75'!I41+'Yakima Pgs 76-77'!I41</f>
        <v>103522</v>
      </c>
      <c r="J41" s="112">
        <f>'Adams Pgs 8-9'!J41+'Asotin Pgs 10-11'!J41+'Benton-Franklin Pgs 12-13'!J41+'Chelan-Douglas Pgs 14-15'!J41+'Clallam Pgs 16-17'!J41+'Clark Pgs 18-19'!J41+'Columbia Pgs 20-21'!J41+'Cowlitz Pgs 22-23'!J41+'Garfield Pgs 24-25'!J41+'Grant Pgs 26-27'!J41+'Grays Harbor Pgs 28-29'!J41+'Island Pgs 30-31'!J41+'Jefferson Pgs 32-33'!J41+'Kitsap Pgs 34-35'!J41+'Kittitas Pgs 36-37'!J41+'Klickitat Pgs 38-39'!J41+'Lewis Pgs 40-41'!J41+'Lincoln Pgs 42-43'!J41+'Mason Pgs 44-45'!J41+'Northeast Tri Pgs 46-47'!J41+'Okanogan Pgs 48-49'!J41+'Pacific Pgs 50-51'!J41+'San Juan Pgs 52-53'!J41+'[1]seattle king'!J41+'Skagit Pgs 56-57'!J41+'Skamania Pgs 58-59'!J41+'Snohomish Pgs 60-61'!J41+'Spokane Pgs 62-63'!J41+'Tacoma-Pierce Pgs 64-65'!J41+'Thurston Pgs 66-67'!J41+'Wahkiakum Pgs 68-69'!J41+'Walla Walla Pgs 70-71'!J41+'Whatcom Pgs 72-73'!J41+'Whitman Pgs 74-75'!J41+'Yakima Pgs 76-77'!J41</f>
        <v>15100</v>
      </c>
      <c r="K41" s="142">
        <f t="shared" si="0"/>
        <v>7848608</v>
      </c>
      <c r="L41"/>
    </row>
    <row r="42" spans="1:12" x14ac:dyDescent="0.35">
      <c r="A42" s="79">
        <v>562.9</v>
      </c>
      <c r="B42" s="16" t="s">
        <v>28</v>
      </c>
      <c r="C42" s="108">
        <f>'Adams Pgs 8-9'!C42+'Asotin Pgs 10-11'!C42+'Benton-Franklin Pgs 12-13'!C42+'Chelan-Douglas Pgs 14-15'!C42+'Clallam Pgs 16-17'!C42+'Clark Pgs 18-19'!C42+'Columbia Pgs 20-21'!C42+'Cowlitz Pgs 22-23'!C42+'Garfield Pgs 24-25'!C42+'Grant Pgs 26-27'!C42+'Grays Harbor Pgs 28-29'!C42+'Island Pgs 30-31'!C42+'Jefferson Pgs 32-33'!C42+'Kitsap Pgs 34-35'!C42+'Kittitas Pgs 36-37'!C42+'Klickitat Pgs 38-39'!C42+'Lewis Pgs 40-41'!C42+'Lincoln Pgs 42-43'!C42+'Mason Pgs 44-45'!C42+'Northeast Tri Pgs 46-47'!C42+'Okanogan Pgs 48-49'!C42+'Pacific Pgs 50-51'!C42+'San Juan Pgs 52-53'!C42+'[1]seattle king'!C42+'Skagit Pgs 56-57'!C42+'Skamania Pgs 58-59'!C42+'Snohomish Pgs 60-61'!C42+'Spokane Pgs 62-63'!C42+'Tacoma-Pierce Pgs 64-65'!C42+'Thurston Pgs 66-67'!C42+'Wahkiakum Pgs 68-69'!C42+'Walla Walla Pgs 70-71'!C42+'Whatcom Pgs 72-73'!C42+'Whitman Pgs 74-75'!C42+'Yakima Pgs 76-77'!C42</f>
        <v>0</v>
      </c>
      <c r="D42" s="109">
        <f>'Adams Pgs 8-9'!D42+'Asotin Pgs 10-11'!D42+'Benton-Franklin Pgs 12-13'!D42+'Chelan-Douglas Pgs 14-15'!D42+'Clallam Pgs 16-17'!D42+'Clark Pgs 18-19'!D42+'Columbia Pgs 20-21'!D42+'Cowlitz Pgs 22-23'!D42+'Garfield Pgs 24-25'!D42+'Grant Pgs 26-27'!D42+'Grays Harbor Pgs 28-29'!D42+'Island Pgs 30-31'!D42+'Jefferson Pgs 32-33'!D42+'Kitsap Pgs 34-35'!D42+'Kittitas Pgs 36-37'!D42+'Klickitat Pgs 38-39'!D42+'Lewis Pgs 40-41'!D42+'Lincoln Pgs 42-43'!D42+'Mason Pgs 44-45'!D42+'Northeast Tri Pgs 46-47'!D42+'Okanogan Pgs 48-49'!D42+'Pacific Pgs 50-51'!D42+'San Juan Pgs 52-53'!D42+'[1]seattle king'!D42+'Skagit Pgs 56-57'!D42+'Skamania Pgs 58-59'!D42+'Snohomish Pgs 60-61'!D42+'Spokane Pgs 62-63'!D42+'Tacoma-Pierce Pgs 64-65'!D42+'Thurston Pgs 66-67'!D42+'Wahkiakum Pgs 68-69'!D42+'Walla Walla Pgs 70-71'!D42+'Whatcom Pgs 72-73'!D42+'Whitman Pgs 74-75'!D42+'Yakima Pgs 76-77'!D42</f>
        <v>82038</v>
      </c>
      <c r="E42" s="110">
        <f>'Adams Pgs 8-9'!E42+'Asotin Pgs 10-11'!E42+'Benton-Franklin Pgs 12-13'!E42+'Chelan-Douglas Pgs 14-15'!E42+'Clallam Pgs 16-17'!E42+'Clark Pgs 18-19'!E42+'Columbia Pgs 20-21'!E42+'Cowlitz Pgs 22-23'!E42+'Garfield Pgs 24-25'!E42+'Grant Pgs 26-27'!E42+'Grays Harbor Pgs 28-29'!E42+'Island Pgs 30-31'!E42+'Jefferson Pgs 32-33'!E42+'Kitsap Pgs 34-35'!E42+'Kittitas Pgs 36-37'!E42+'Klickitat Pgs 38-39'!E42+'Lewis Pgs 40-41'!E42+'Lincoln Pgs 42-43'!E42+'Mason Pgs 44-45'!E42+'Northeast Tri Pgs 46-47'!E42+'Okanogan Pgs 48-49'!E42+'Pacific Pgs 50-51'!E42+'San Juan Pgs 52-53'!E42+'[1]seattle king'!E42+'Skagit Pgs 56-57'!E42+'Skamania Pgs 58-59'!E42+'Snohomish Pgs 60-61'!E42+'Spokane Pgs 62-63'!E42+'Tacoma-Pierce Pgs 64-65'!E42+'Thurston Pgs 66-67'!E42+'Wahkiakum Pgs 68-69'!E42+'Walla Walla Pgs 70-71'!E42+'Whatcom Pgs 72-73'!E42+'Whitman Pgs 74-75'!E42+'Yakima Pgs 76-77'!E42</f>
        <v>0</v>
      </c>
      <c r="F42" s="108">
        <f>'Adams Pgs 8-9'!F42+'Asotin Pgs 10-11'!F42+'Benton-Franklin Pgs 12-13'!F42+'Chelan-Douglas Pgs 14-15'!F42+'Clallam Pgs 16-17'!F42+'Clark Pgs 18-19'!F42+'Columbia Pgs 20-21'!F42+'Cowlitz Pgs 22-23'!F42+'Garfield Pgs 24-25'!F42+'Grant Pgs 26-27'!F42+'Grays Harbor Pgs 28-29'!F42+'Island Pgs 30-31'!F42+'Jefferson Pgs 32-33'!F42+'Kitsap Pgs 34-35'!F42+'Kittitas Pgs 36-37'!F42+'Klickitat Pgs 38-39'!F42+'Lewis Pgs 40-41'!F42+'Lincoln Pgs 42-43'!F42+'Mason Pgs 44-45'!F42+'Northeast Tri Pgs 46-47'!F42+'Okanogan Pgs 48-49'!F42+'Pacific Pgs 50-51'!F42+'San Juan Pgs 52-53'!F42+'[1]seattle king'!F42+'Skagit Pgs 56-57'!F42+'Skamania Pgs 58-59'!F42+'Snohomish Pgs 60-61'!F42+'Spokane Pgs 62-63'!F42+'Tacoma-Pierce Pgs 64-65'!F42+'Thurston Pgs 66-67'!F42+'Wahkiakum Pgs 68-69'!F42+'Walla Walla Pgs 70-71'!F42+'Whatcom Pgs 72-73'!F42+'Whitman Pgs 74-75'!F42+'Yakima Pgs 76-77'!F42</f>
        <v>-656815</v>
      </c>
      <c r="G42" s="110">
        <f>'Adams Pgs 8-9'!G42+'Asotin Pgs 10-11'!G42+'Benton-Franklin Pgs 12-13'!G42+'Chelan-Douglas Pgs 14-15'!G42+'Clallam Pgs 16-17'!G42+'Clark Pgs 18-19'!G42+'Columbia Pgs 20-21'!G42+'Cowlitz Pgs 22-23'!G42+'Garfield Pgs 24-25'!G42+'Grant Pgs 26-27'!G42+'Grays Harbor Pgs 28-29'!G42+'Island Pgs 30-31'!G42+'Jefferson Pgs 32-33'!G42+'Kitsap Pgs 34-35'!G42+'Kittitas Pgs 36-37'!G42+'Klickitat Pgs 38-39'!G42+'Lewis Pgs 40-41'!G42+'Lincoln Pgs 42-43'!G42+'Mason Pgs 44-45'!G42+'Northeast Tri Pgs 46-47'!G42+'Okanogan Pgs 48-49'!G42+'Pacific Pgs 50-51'!G42+'San Juan Pgs 52-53'!G42+'[1]seattle king'!G42+'Skagit Pgs 56-57'!G42+'Skamania Pgs 58-59'!G42+'Snohomish Pgs 60-61'!G42+'Spokane Pgs 62-63'!G42+'Tacoma-Pierce Pgs 64-65'!G42+'Thurston Pgs 66-67'!G42+'Wahkiakum Pgs 68-69'!G42+'Walla Walla Pgs 70-71'!G42+'Whatcom Pgs 72-73'!G42+'Whitman Pgs 74-75'!G42+'Yakima Pgs 76-77'!G42</f>
        <v>158234</v>
      </c>
      <c r="H42" s="111">
        <f>'Adams Pgs 8-9'!H42+'Asotin Pgs 10-11'!H42+'Benton-Franklin Pgs 12-13'!H42+'Chelan-Douglas Pgs 14-15'!H42+'Clallam Pgs 16-17'!H42+'Clark Pgs 18-19'!H42+'Columbia Pgs 20-21'!H42+'Cowlitz Pgs 22-23'!H42+'Garfield Pgs 24-25'!H42+'Grant Pgs 26-27'!H42+'Grays Harbor Pgs 28-29'!H42+'Island Pgs 30-31'!H42+'Jefferson Pgs 32-33'!H42+'Kitsap Pgs 34-35'!H42+'Kittitas Pgs 36-37'!H42+'Klickitat Pgs 38-39'!H42+'Lewis Pgs 40-41'!H42+'Lincoln Pgs 42-43'!H42+'Mason Pgs 44-45'!H42+'Northeast Tri Pgs 46-47'!H42+'Okanogan Pgs 48-49'!H42+'Pacific Pgs 50-51'!H42+'San Juan Pgs 52-53'!H42+'[1]seattle king'!H42+'Skagit Pgs 56-57'!H42+'Skamania Pgs 58-59'!H42+'Snohomish Pgs 60-61'!H42+'Spokane Pgs 62-63'!H42+'Tacoma-Pierce Pgs 64-65'!H42+'Thurston Pgs 66-67'!H42+'Wahkiakum Pgs 68-69'!H42+'Walla Walla Pgs 70-71'!H42+'Whatcom Pgs 72-73'!H42+'Whitman Pgs 74-75'!H42+'Yakima Pgs 76-77'!H42</f>
        <v>2142110</v>
      </c>
      <c r="I42" s="110">
        <f>'Adams Pgs 8-9'!I42+'Asotin Pgs 10-11'!I42+'Benton-Franklin Pgs 12-13'!I42+'Chelan-Douglas Pgs 14-15'!I42+'Clallam Pgs 16-17'!I42+'Clark Pgs 18-19'!I42+'Columbia Pgs 20-21'!I42+'Cowlitz Pgs 22-23'!I42+'Garfield Pgs 24-25'!I42+'Grant Pgs 26-27'!I42+'Grays Harbor Pgs 28-29'!I42+'Island Pgs 30-31'!I42+'Jefferson Pgs 32-33'!I42+'Kitsap Pgs 34-35'!I42+'Kittitas Pgs 36-37'!I42+'Klickitat Pgs 38-39'!I42+'Lewis Pgs 40-41'!I42+'Lincoln Pgs 42-43'!I42+'Mason Pgs 44-45'!I42+'Northeast Tri Pgs 46-47'!I42+'Okanogan Pgs 48-49'!I42+'Pacific Pgs 50-51'!I42+'San Juan Pgs 52-53'!I42+'[1]seattle king'!I42+'Skagit Pgs 56-57'!I42+'Skamania Pgs 58-59'!I42+'Snohomish Pgs 60-61'!I42+'Spokane Pgs 62-63'!I42+'Tacoma-Pierce Pgs 64-65'!I42+'Thurston Pgs 66-67'!I42+'Wahkiakum Pgs 68-69'!I42+'Walla Walla Pgs 70-71'!I42+'Whatcom Pgs 72-73'!I42+'Whitman Pgs 74-75'!I42+'Yakima Pgs 76-77'!I42</f>
        <v>564944</v>
      </c>
      <c r="J42" s="112">
        <f>'Adams Pgs 8-9'!J42+'Asotin Pgs 10-11'!J42+'Benton-Franklin Pgs 12-13'!J42+'Chelan-Douglas Pgs 14-15'!J42+'Clallam Pgs 16-17'!J42+'Clark Pgs 18-19'!J42+'Columbia Pgs 20-21'!J42+'Cowlitz Pgs 22-23'!J42+'Garfield Pgs 24-25'!J42+'Grant Pgs 26-27'!J42+'Grays Harbor Pgs 28-29'!J42+'Island Pgs 30-31'!J42+'Jefferson Pgs 32-33'!J42+'Kitsap Pgs 34-35'!J42+'Kittitas Pgs 36-37'!J42+'Klickitat Pgs 38-39'!J42+'Lewis Pgs 40-41'!J42+'Lincoln Pgs 42-43'!J42+'Mason Pgs 44-45'!J42+'Northeast Tri Pgs 46-47'!J42+'Okanogan Pgs 48-49'!J42+'Pacific Pgs 50-51'!J42+'San Juan Pgs 52-53'!J42+'[1]seattle king'!J42+'Skagit Pgs 56-57'!J42+'Skamania Pgs 58-59'!J42+'Snohomish Pgs 60-61'!J42+'Spokane Pgs 62-63'!J42+'Tacoma-Pierce Pgs 64-65'!J42+'Thurston Pgs 66-67'!J42+'Wahkiakum Pgs 68-69'!J42+'Walla Walla Pgs 70-71'!J42+'Whatcom Pgs 72-73'!J42+'Whitman Pgs 74-75'!J42+'Yakima Pgs 76-77'!J42</f>
        <v>825773</v>
      </c>
      <c r="K42" s="142">
        <f t="shared" si="0"/>
        <v>3116284</v>
      </c>
      <c r="L42"/>
    </row>
    <row r="43" spans="1:12" x14ac:dyDescent="0.35">
      <c r="A43" s="149">
        <v>562.99</v>
      </c>
      <c r="B43" s="14" t="s">
        <v>29</v>
      </c>
      <c r="C43" s="116">
        <f>'Adams Pgs 8-9'!C43+'Asotin Pgs 10-11'!C43+'Benton-Franklin Pgs 12-13'!C43+'Chelan-Douglas Pgs 14-15'!C43+'Clallam Pgs 16-17'!C43+'Clark Pgs 18-19'!C43+'Columbia Pgs 20-21'!C43+'Cowlitz Pgs 22-23'!C43+'Garfield Pgs 24-25'!C43+'Grant Pgs 26-27'!C43+'Grays Harbor Pgs 28-29'!C43+'Island Pgs 30-31'!C43+'Jefferson Pgs 32-33'!C43+'Kitsap Pgs 34-35'!C43+'Kittitas Pgs 36-37'!C43+'Klickitat Pgs 38-39'!C43+'Lewis Pgs 40-41'!C43+'Lincoln Pgs 42-43'!C43+'Mason Pgs 44-45'!C43+'Northeast Tri Pgs 46-47'!C43+'Okanogan Pgs 48-49'!C43+'Pacific Pgs 50-51'!C43+'San Juan Pgs 52-53'!C43+'[1]seattle king'!C43+'Skagit Pgs 56-57'!C43+'Skamania Pgs 58-59'!C43+'Snohomish Pgs 60-61'!C43+'Spokane Pgs 62-63'!C43+'Tacoma-Pierce Pgs 64-65'!C43+'Thurston Pgs 66-67'!C43+'Wahkiakum Pgs 68-69'!C43+'Walla Walla Pgs 70-71'!C43+'Whatcom Pgs 72-73'!C43+'Whitman Pgs 74-75'!C43+'Yakima Pgs 76-77'!C43</f>
        <v>0</v>
      </c>
      <c r="D43" s="117">
        <f>'Adams Pgs 8-9'!D43+'Asotin Pgs 10-11'!D43+'Benton-Franklin Pgs 12-13'!D43+'Chelan-Douglas Pgs 14-15'!D43+'Clallam Pgs 16-17'!D43+'Clark Pgs 18-19'!D43+'Columbia Pgs 20-21'!D43+'Cowlitz Pgs 22-23'!D43+'Garfield Pgs 24-25'!D43+'Grant Pgs 26-27'!D43+'Grays Harbor Pgs 28-29'!D43+'Island Pgs 30-31'!D43+'Jefferson Pgs 32-33'!D43+'Kitsap Pgs 34-35'!D43+'Kittitas Pgs 36-37'!D43+'Klickitat Pgs 38-39'!D43+'Lewis Pgs 40-41'!D43+'Lincoln Pgs 42-43'!D43+'Mason Pgs 44-45'!D43+'Northeast Tri Pgs 46-47'!D43+'Okanogan Pgs 48-49'!D43+'Pacific Pgs 50-51'!D43+'San Juan Pgs 52-53'!D43+'[1]seattle king'!D43+'Skagit Pgs 56-57'!D43+'Skamania Pgs 58-59'!D43+'Snohomish Pgs 60-61'!D43+'Spokane Pgs 62-63'!D43+'Tacoma-Pierce Pgs 64-65'!D43+'Thurston Pgs 66-67'!D43+'Wahkiakum Pgs 68-69'!D43+'Walla Walla Pgs 70-71'!D43+'Whatcom Pgs 72-73'!D43+'Whitman Pgs 74-75'!D43+'Yakima Pgs 76-77'!D43</f>
        <v>6148</v>
      </c>
      <c r="E43" s="118">
        <f>'Adams Pgs 8-9'!E43+'Asotin Pgs 10-11'!E43+'Benton-Franklin Pgs 12-13'!E43+'Chelan-Douglas Pgs 14-15'!E43+'Clallam Pgs 16-17'!E43+'Clark Pgs 18-19'!E43+'Columbia Pgs 20-21'!E43+'Cowlitz Pgs 22-23'!E43+'Garfield Pgs 24-25'!E43+'Grant Pgs 26-27'!E43+'Grays Harbor Pgs 28-29'!E43+'Island Pgs 30-31'!E43+'Jefferson Pgs 32-33'!E43+'Kitsap Pgs 34-35'!E43+'Kittitas Pgs 36-37'!E43+'Klickitat Pgs 38-39'!E43+'Lewis Pgs 40-41'!E43+'Lincoln Pgs 42-43'!E43+'Mason Pgs 44-45'!E43+'Northeast Tri Pgs 46-47'!E43+'Okanogan Pgs 48-49'!E43+'Pacific Pgs 50-51'!E43+'San Juan Pgs 52-53'!E43+'[1]seattle king'!E43+'Skagit Pgs 56-57'!E43+'Skamania Pgs 58-59'!E43+'Snohomish Pgs 60-61'!E43+'Spokane Pgs 62-63'!E43+'Tacoma-Pierce Pgs 64-65'!E43+'Thurston Pgs 66-67'!E43+'Wahkiakum Pgs 68-69'!E43+'Walla Walla Pgs 70-71'!E43+'Whatcom Pgs 72-73'!E43+'Whitman Pgs 74-75'!E43+'Yakima Pgs 76-77'!E43</f>
        <v>0</v>
      </c>
      <c r="F43" s="116">
        <f>'Adams Pgs 8-9'!F43+'Asotin Pgs 10-11'!F43+'Benton-Franklin Pgs 12-13'!F43+'Chelan-Douglas Pgs 14-15'!F43+'Clallam Pgs 16-17'!F43+'Clark Pgs 18-19'!F43+'Columbia Pgs 20-21'!F43+'Cowlitz Pgs 22-23'!F43+'Garfield Pgs 24-25'!F43+'Grant Pgs 26-27'!F43+'Grays Harbor Pgs 28-29'!F43+'Island Pgs 30-31'!F43+'Jefferson Pgs 32-33'!F43+'Kitsap Pgs 34-35'!F43+'Kittitas Pgs 36-37'!F43+'Klickitat Pgs 38-39'!F43+'Lewis Pgs 40-41'!F43+'Lincoln Pgs 42-43'!F43+'Mason Pgs 44-45'!F43+'Northeast Tri Pgs 46-47'!F43+'Okanogan Pgs 48-49'!F43+'Pacific Pgs 50-51'!F43+'San Juan Pgs 52-53'!F43+'[1]seattle king'!F43+'Skagit Pgs 56-57'!F43+'Skamania Pgs 58-59'!F43+'Snohomish Pgs 60-61'!F43+'Spokane Pgs 62-63'!F43+'Tacoma-Pierce Pgs 64-65'!F43+'Thurston Pgs 66-67'!F43+'Wahkiakum Pgs 68-69'!F43+'Walla Walla Pgs 70-71'!F43+'Whatcom Pgs 72-73'!F43+'Whitman Pgs 74-75'!F43+'Yakima Pgs 76-77'!F43</f>
        <v>0</v>
      </c>
      <c r="G43" s="118">
        <f>'Adams Pgs 8-9'!G43+'Asotin Pgs 10-11'!G43+'Benton-Franklin Pgs 12-13'!G43+'Chelan-Douglas Pgs 14-15'!G43+'Clallam Pgs 16-17'!G43+'Clark Pgs 18-19'!G43+'Columbia Pgs 20-21'!G43+'Cowlitz Pgs 22-23'!G43+'Garfield Pgs 24-25'!G43+'Grant Pgs 26-27'!G43+'Grays Harbor Pgs 28-29'!G43+'Island Pgs 30-31'!G43+'Jefferson Pgs 32-33'!G43+'Kitsap Pgs 34-35'!G43+'Kittitas Pgs 36-37'!G43+'Klickitat Pgs 38-39'!G43+'Lewis Pgs 40-41'!G43+'Lincoln Pgs 42-43'!G43+'Mason Pgs 44-45'!G43+'Northeast Tri Pgs 46-47'!G43+'Okanogan Pgs 48-49'!G43+'Pacific Pgs 50-51'!G43+'San Juan Pgs 52-53'!G43+'[1]seattle king'!G43+'Skagit Pgs 56-57'!G43+'Skamania Pgs 58-59'!G43+'Snohomish Pgs 60-61'!G43+'Spokane Pgs 62-63'!G43+'Tacoma-Pierce Pgs 64-65'!G43+'Thurston Pgs 66-67'!G43+'Wahkiakum Pgs 68-69'!G43+'Walla Walla Pgs 70-71'!G43+'Whatcom Pgs 72-73'!G43+'Whitman Pgs 74-75'!G43+'Yakima Pgs 76-77'!G43</f>
        <v>0</v>
      </c>
      <c r="H43" s="111">
        <f>'Adams Pgs 8-9'!H43+'Asotin Pgs 10-11'!H43+'Benton-Franklin Pgs 12-13'!H43+'Chelan-Douglas Pgs 14-15'!H43+'Clallam Pgs 16-17'!H43+'Clark Pgs 18-19'!H43+'Columbia Pgs 20-21'!H43+'Cowlitz Pgs 22-23'!H43+'Garfield Pgs 24-25'!H43+'Grant Pgs 26-27'!H43+'Grays Harbor Pgs 28-29'!H43+'Island Pgs 30-31'!H43+'Jefferson Pgs 32-33'!H43+'Kitsap Pgs 34-35'!H43+'Kittitas Pgs 36-37'!H43+'Klickitat Pgs 38-39'!H43+'Lewis Pgs 40-41'!H43+'Lincoln Pgs 42-43'!H43+'Mason Pgs 44-45'!H43+'Northeast Tri Pgs 46-47'!H43+'Okanogan Pgs 48-49'!H43+'Pacific Pgs 50-51'!H43+'San Juan Pgs 52-53'!H43+'[1]seattle king'!H43+'Skagit Pgs 56-57'!H43+'Skamania Pgs 58-59'!H43+'Snohomish Pgs 60-61'!H43+'Spokane Pgs 62-63'!H43+'Tacoma-Pierce Pgs 64-65'!H43+'Thurston Pgs 66-67'!H43+'Wahkiakum Pgs 68-69'!H43+'Walla Walla Pgs 70-71'!H43+'Whatcom Pgs 72-73'!H43+'Whitman Pgs 74-75'!H43+'Yakima Pgs 76-77'!H43</f>
        <v>19433</v>
      </c>
      <c r="I43" s="110">
        <f>'Adams Pgs 8-9'!I43+'Asotin Pgs 10-11'!I43+'Benton-Franklin Pgs 12-13'!I43+'Chelan-Douglas Pgs 14-15'!I43+'Clallam Pgs 16-17'!I43+'Clark Pgs 18-19'!I43+'Columbia Pgs 20-21'!I43+'Cowlitz Pgs 22-23'!I43+'Garfield Pgs 24-25'!I43+'Grant Pgs 26-27'!I43+'Grays Harbor Pgs 28-29'!I43+'Island Pgs 30-31'!I43+'Jefferson Pgs 32-33'!I43+'Kitsap Pgs 34-35'!I43+'Kittitas Pgs 36-37'!I43+'Klickitat Pgs 38-39'!I43+'Lewis Pgs 40-41'!I43+'Lincoln Pgs 42-43'!I43+'Mason Pgs 44-45'!I43+'Northeast Tri Pgs 46-47'!I43+'Okanogan Pgs 48-49'!I43+'Pacific Pgs 50-51'!I43+'San Juan Pgs 52-53'!I43+'[1]seattle king'!I43+'Skagit Pgs 56-57'!I43+'Skamania Pgs 58-59'!I43+'Snohomish Pgs 60-61'!I43+'Spokane Pgs 62-63'!I43+'Tacoma-Pierce Pgs 64-65'!I43+'Thurston Pgs 66-67'!I43+'Wahkiakum Pgs 68-69'!I43+'Walla Walla Pgs 70-71'!I43+'Whatcom Pgs 72-73'!I43+'Whitman Pgs 74-75'!I43+'Yakima Pgs 76-77'!I43</f>
        <v>0</v>
      </c>
      <c r="J43" s="119">
        <f>'Adams Pgs 8-9'!J43+'Asotin Pgs 10-11'!J43+'Benton-Franklin Pgs 12-13'!J43+'Chelan-Douglas Pgs 14-15'!J43+'Clallam Pgs 16-17'!J43+'Clark Pgs 18-19'!J43+'Columbia Pgs 20-21'!J43+'Cowlitz Pgs 22-23'!J43+'Garfield Pgs 24-25'!J43+'Grant Pgs 26-27'!J43+'Grays Harbor Pgs 28-29'!J43+'Island Pgs 30-31'!J43+'Jefferson Pgs 32-33'!J43+'Kitsap Pgs 34-35'!J43+'Kittitas Pgs 36-37'!J43+'Klickitat Pgs 38-39'!J43+'Lewis Pgs 40-41'!J43+'Lincoln Pgs 42-43'!J43+'Mason Pgs 44-45'!J43+'Northeast Tri Pgs 46-47'!J43+'Okanogan Pgs 48-49'!J43+'Pacific Pgs 50-51'!J43+'San Juan Pgs 52-53'!J43+'[1]seattle king'!J43+'Skagit Pgs 56-57'!J43+'Skamania Pgs 58-59'!J43+'Snohomish Pgs 60-61'!J43+'Spokane Pgs 62-63'!J43+'Tacoma-Pierce Pgs 64-65'!J43+'Thurston Pgs 66-67'!J43+'Wahkiakum Pgs 68-69'!J43+'Walla Walla Pgs 70-71'!J43+'Whatcom Pgs 72-73'!J43+'Whitman Pgs 74-75'!J43+'Yakima Pgs 76-77'!J43</f>
        <v>2242</v>
      </c>
      <c r="K43" s="142">
        <f t="shared" si="0"/>
        <v>27823</v>
      </c>
      <c r="L43"/>
    </row>
    <row r="44" spans="1:12" x14ac:dyDescent="0.35">
      <c r="A44" s="150" t="s">
        <v>65</v>
      </c>
      <c r="B44" s="40" t="s">
        <v>30</v>
      </c>
      <c r="C44" s="120">
        <f t="shared" ref="C44:J44" si="1">SUM(C5:C43)</f>
        <v>9255307</v>
      </c>
      <c r="D44" s="121">
        <f t="shared" si="1"/>
        <v>35793306.870000005</v>
      </c>
      <c r="E44" s="122">
        <f t="shared" si="1"/>
        <v>12236176</v>
      </c>
      <c r="F44" s="120">
        <f t="shared" si="1"/>
        <v>46646604</v>
      </c>
      <c r="G44" s="123">
        <f t="shared" si="1"/>
        <v>23046259</v>
      </c>
      <c r="H44" s="124">
        <f t="shared" si="1"/>
        <v>77947381.980000004</v>
      </c>
      <c r="I44" s="122">
        <f t="shared" si="1"/>
        <v>118060932</v>
      </c>
      <c r="J44" s="125">
        <f t="shared" si="1"/>
        <v>9802601.0300000012</v>
      </c>
      <c r="K44" s="143">
        <f>SUM(C44:J44)</f>
        <v>332788567.88</v>
      </c>
      <c r="L44"/>
    </row>
    <row r="45" spans="1:12" x14ac:dyDescent="0.35">
      <c r="A45" s="93">
        <v>523</v>
      </c>
      <c r="B45" s="16" t="s">
        <v>31</v>
      </c>
      <c r="C45" s="127">
        <f>'Adams Pgs 8-9'!C45+'Asotin Pgs 10-11'!C45+'Benton-Franklin Pgs 12-13'!C45+'Chelan-Douglas Pgs 14-15'!C45+'Clallam Pgs 16-17'!C45+'Clark Pgs 18-19'!C45+'Columbia Pgs 20-21'!C45+'Cowlitz Pgs 22-23'!C45+'Garfield Pgs 24-25'!C45+'Grant Pgs 26-27'!C45+'Grays Harbor Pgs 28-29'!C45+'Island Pgs 30-31'!C45+'Jefferson Pgs 32-33'!C45+'Kitsap Pgs 34-35'!C45+'Kittitas Pgs 36-37'!C45+'Klickitat Pgs 38-39'!C45+'Lewis Pgs 40-41'!C45+'Lincoln Pgs 42-43'!C45+'Mason Pgs 44-45'!C45+'Northeast Tri Pgs 46-47'!C45+'Okanogan Pgs 48-49'!C45+'Pacific Pgs 50-51'!C45+'San Juan Pgs 52-53'!C45+'[1]seattle king'!C45+'Skagit Pgs 56-57'!C45+'Skamania Pgs 58-59'!C45+'Snohomish Pgs 60-61'!C45+'Spokane Pgs 62-63'!C45+'Tacoma-Pierce Pgs 64-65'!C45+'Thurston Pgs 66-67'!C45+'Wahkiakum Pgs 68-69'!C45+'Walla Walla Pgs 70-71'!C45+'Whatcom Pgs 72-73'!C45+'Whitman Pgs 74-75'!C45+'Yakima Pgs 76-77'!C45</f>
        <v>0</v>
      </c>
      <c r="D45" s="128">
        <f>'Adams Pgs 8-9'!D45+'Asotin Pgs 10-11'!D45+'Benton-Franklin Pgs 12-13'!D45+'Chelan-Douglas Pgs 14-15'!D45+'Clallam Pgs 16-17'!D45+'Clark Pgs 18-19'!D45+'Columbia Pgs 20-21'!D45+'Cowlitz Pgs 22-23'!D45+'Garfield Pgs 24-25'!D45+'Grant Pgs 26-27'!D45+'Grays Harbor Pgs 28-29'!D45+'Island Pgs 30-31'!D45+'Jefferson Pgs 32-33'!D45+'Kitsap Pgs 34-35'!D45+'Kittitas Pgs 36-37'!D45+'Klickitat Pgs 38-39'!D45+'Lewis Pgs 40-41'!D45+'Lincoln Pgs 42-43'!D45+'Mason Pgs 44-45'!D45+'Northeast Tri Pgs 46-47'!D45+'Okanogan Pgs 48-49'!D45+'Pacific Pgs 50-51'!D45+'San Juan Pgs 52-53'!D45+'[1]seattle king'!D45+'Skagit Pgs 56-57'!D45+'Skamania Pgs 58-59'!D45+'Snohomish Pgs 60-61'!D45+'Spokane Pgs 62-63'!D45+'Tacoma-Pierce Pgs 64-65'!D45+'Thurston Pgs 66-67'!D45+'Wahkiakum Pgs 68-69'!D45+'Walla Walla Pgs 70-71'!D45+'Whatcom Pgs 72-73'!D45+'Whitman Pgs 74-75'!D45+'Yakima Pgs 76-77'!D45</f>
        <v>0</v>
      </c>
      <c r="E45" s="129">
        <f>'Adams Pgs 8-9'!E45+'Asotin Pgs 10-11'!E45+'Benton-Franklin Pgs 12-13'!E45+'Chelan-Douglas Pgs 14-15'!E45+'Clallam Pgs 16-17'!E45+'Clark Pgs 18-19'!E45+'Columbia Pgs 20-21'!E45+'Cowlitz Pgs 22-23'!E45+'Garfield Pgs 24-25'!E45+'Grant Pgs 26-27'!E45+'Grays Harbor Pgs 28-29'!E45+'Island Pgs 30-31'!E45+'Jefferson Pgs 32-33'!E45+'Kitsap Pgs 34-35'!E45+'Kittitas Pgs 36-37'!E45+'Klickitat Pgs 38-39'!E45+'Lewis Pgs 40-41'!E45+'Lincoln Pgs 42-43'!E45+'Mason Pgs 44-45'!E45+'Northeast Tri Pgs 46-47'!E45+'Okanogan Pgs 48-49'!E45+'Pacific Pgs 50-51'!E45+'San Juan Pgs 52-53'!E45+'[1]seattle king'!E45+'Skagit Pgs 56-57'!E45+'Skamania Pgs 58-59'!E45+'Snohomish Pgs 60-61'!E45+'Spokane Pgs 62-63'!E45+'Tacoma-Pierce Pgs 64-65'!E45+'Thurston Pgs 66-67'!E45+'Wahkiakum Pgs 68-69'!E45+'Walla Walla Pgs 70-71'!E45+'Whatcom Pgs 72-73'!E45+'Whitman Pgs 74-75'!E45+'Yakima Pgs 76-77'!E45</f>
        <v>81536</v>
      </c>
      <c r="F45" s="127">
        <f>'Adams Pgs 8-9'!F45+'Asotin Pgs 10-11'!F45+'Benton-Franklin Pgs 12-13'!F45+'Chelan-Douglas Pgs 14-15'!F45+'Clallam Pgs 16-17'!F45+'Clark Pgs 18-19'!F45+'Columbia Pgs 20-21'!F45+'Cowlitz Pgs 22-23'!F45+'Garfield Pgs 24-25'!F45+'Grant Pgs 26-27'!F45+'Grays Harbor Pgs 28-29'!F45+'Island Pgs 30-31'!F45+'Jefferson Pgs 32-33'!F45+'Kitsap Pgs 34-35'!F45+'Kittitas Pgs 36-37'!F45+'Klickitat Pgs 38-39'!F45+'Lewis Pgs 40-41'!F45+'Lincoln Pgs 42-43'!F45+'Mason Pgs 44-45'!F45+'Northeast Tri Pgs 46-47'!F45+'Okanogan Pgs 48-49'!F45+'Pacific Pgs 50-51'!F45+'San Juan Pgs 52-53'!F45+'[1]seattle king'!F45+'Skagit Pgs 56-57'!F45+'Skamania Pgs 58-59'!F45+'Snohomish Pgs 60-61'!F45+'Spokane Pgs 62-63'!F45+'Tacoma-Pierce Pgs 64-65'!F45+'Thurston Pgs 66-67'!F45+'Wahkiakum Pgs 68-69'!F45+'Walla Walla Pgs 70-71'!F45+'Whatcom Pgs 72-73'!F45+'Whitman Pgs 74-75'!F45+'Yakima Pgs 76-77'!F45</f>
        <v>27469</v>
      </c>
      <c r="G45" s="129">
        <f>'Adams Pgs 8-9'!G45+'Asotin Pgs 10-11'!G45+'Benton-Franklin Pgs 12-13'!G45+'Chelan-Douglas Pgs 14-15'!G45+'Clallam Pgs 16-17'!G45+'Clark Pgs 18-19'!G45+'Columbia Pgs 20-21'!G45+'Cowlitz Pgs 22-23'!G45+'Garfield Pgs 24-25'!G45+'Grant Pgs 26-27'!G45+'Grays Harbor Pgs 28-29'!G45+'Island Pgs 30-31'!G45+'Jefferson Pgs 32-33'!G45+'Kitsap Pgs 34-35'!G45+'Kittitas Pgs 36-37'!G45+'Klickitat Pgs 38-39'!G45+'Lewis Pgs 40-41'!G45+'Lincoln Pgs 42-43'!G45+'Mason Pgs 44-45'!G45+'Northeast Tri Pgs 46-47'!G45+'Okanogan Pgs 48-49'!G45+'Pacific Pgs 50-51'!G45+'San Juan Pgs 52-53'!G45+'[1]seattle king'!G45+'Skagit Pgs 56-57'!G45+'Skamania Pgs 58-59'!G45+'Snohomish Pgs 60-61'!G45+'Spokane Pgs 62-63'!G45+'Tacoma-Pierce Pgs 64-65'!G45+'Thurston Pgs 66-67'!G45+'Wahkiakum Pgs 68-69'!G45+'Walla Walla Pgs 70-71'!G45+'Whatcom Pgs 72-73'!G45+'Whitman Pgs 74-75'!G45+'Yakima Pgs 76-77'!G45</f>
        <v>106298</v>
      </c>
      <c r="H45" s="111">
        <f>'Adams Pgs 8-9'!H45+'Asotin Pgs 10-11'!H45+'Benton-Franklin Pgs 12-13'!H45+'Chelan-Douglas Pgs 14-15'!H45+'Clallam Pgs 16-17'!H45+'Clark Pgs 18-19'!H45+'Columbia Pgs 20-21'!H45+'Cowlitz Pgs 22-23'!H45+'Garfield Pgs 24-25'!H45+'Grant Pgs 26-27'!H45+'Grays Harbor Pgs 28-29'!H45+'Island Pgs 30-31'!H45+'Jefferson Pgs 32-33'!H45+'Kitsap Pgs 34-35'!H45+'Kittitas Pgs 36-37'!H45+'Klickitat Pgs 38-39'!H45+'Lewis Pgs 40-41'!H45+'Lincoln Pgs 42-43'!H45+'Mason Pgs 44-45'!H45+'Northeast Tri Pgs 46-47'!H45+'Okanogan Pgs 48-49'!H45+'Pacific Pgs 50-51'!H45+'San Juan Pgs 52-53'!H45+'[1]seattle king'!H45+'Skagit Pgs 56-57'!H45+'Skamania Pgs 58-59'!H45+'Snohomish Pgs 60-61'!H45+'Spokane Pgs 62-63'!H45+'Tacoma-Pierce Pgs 64-65'!H45+'Thurston Pgs 66-67'!H45+'Wahkiakum Pgs 68-69'!H45+'Walla Walla Pgs 70-71'!H45+'Whatcom Pgs 72-73'!H45+'Whitman Pgs 74-75'!H45+'Yakima Pgs 76-77'!H45</f>
        <v>197939</v>
      </c>
      <c r="I45" s="110">
        <f>'Adams Pgs 8-9'!I45+'Asotin Pgs 10-11'!I45+'Benton-Franklin Pgs 12-13'!I45+'Chelan-Douglas Pgs 14-15'!I45+'Clallam Pgs 16-17'!I45+'Clark Pgs 18-19'!I45+'Columbia Pgs 20-21'!I45+'Cowlitz Pgs 22-23'!I45+'Garfield Pgs 24-25'!I45+'Grant Pgs 26-27'!I45+'Grays Harbor Pgs 28-29'!I45+'Island Pgs 30-31'!I45+'Jefferson Pgs 32-33'!I45+'Kitsap Pgs 34-35'!I45+'Kittitas Pgs 36-37'!I45+'Klickitat Pgs 38-39'!I45+'Lewis Pgs 40-41'!I45+'Lincoln Pgs 42-43'!I45+'Mason Pgs 44-45'!I45+'Northeast Tri Pgs 46-47'!I45+'Okanogan Pgs 48-49'!I45+'Pacific Pgs 50-51'!I45+'San Juan Pgs 52-53'!I45+'[1]seattle king'!I45+'Skagit Pgs 56-57'!I45+'Skamania Pgs 58-59'!I45+'Snohomish Pgs 60-61'!I45+'Spokane Pgs 62-63'!I45+'Tacoma-Pierce Pgs 64-65'!I45+'Thurston Pgs 66-67'!I45+'Wahkiakum Pgs 68-69'!I45+'Walla Walla Pgs 70-71'!I45+'Whatcom Pgs 72-73'!I45+'Whitman Pgs 74-75'!I45+'Yakima Pgs 76-77'!I45</f>
        <v>296367</v>
      </c>
      <c r="J45" s="130">
        <f>'Adams Pgs 8-9'!J45+'Asotin Pgs 10-11'!J45+'Benton-Franklin Pgs 12-13'!J45+'Chelan-Douglas Pgs 14-15'!J45+'Clallam Pgs 16-17'!J45+'Clark Pgs 18-19'!J45+'Columbia Pgs 20-21'!J45+'Cowlitz Pgs 22-23'!J45+'Garfield Pgs 24-25'!J45+'Grant Pgs 26-27'!J45+'Grays Harbor Pgs 28-29'!J45+'Island Pgs 30-31'!J45+'Jefferson Pgs 32-33'!J45+'Kitsap Pgs 34-35'!J45+'Kittitas Pgs 36-37'!J45+'Klickitat Pgs 38-39'!J45+'Lewis Pgs 40-41'!J45+'Lincoln Pgs 42-43'!J45+'Mason Pgs 44-45'!J45+'Northeast Tri Pgs 46-47'!J45+'Okanogan Pgs 48-49'!J45+'Pacific Pgs 50-51'!J45+'San Juan Pgs 52-53'!J45+'[1]seattle king'!J45+'Skagit Pgs 56-57'!J45+'Skamania Pgs 58-59'!J45+'Snohomish Pgs 60-61'!J45+'Spokane Pgs 62-63'!J45+'Tacoma-Pierce Pgs 64-65'!J45+'Thurston Pgs 66-67'!J45+'Wahkiakum Pgs 68-69'!J45+'Walla Walla Pgs 70-71'!J45+'Whatcom Pgs 72-73'!J45+'Whitman Pgs 74-75'!J45+'Yakima Pgs 76-77'!J45</f>
        <v>644086</v>
      </c>
      <c r="K45" s="142">
        <f t="shared" si="0"/>
        <v>1353695</v>
      </c>
      <c r="L45"/>
    </row>
    <row r="46" spans="1:12" x14ac:dyDescent="0.35">
      <c r="A46" s="93">
        <v>526</v>
      </c>
      <c r="B46" s="16" t="s">
        <v>32</v>
      </c>
      <c r="C46" s="108">
        <f>'Adams Pgs 8-9'!C46+'Asotin Pgs 10-11'!C46+'Benton-Franklin Pgs 12-13'!C46+'Chelan-Douglas Pgs 14-15'!C46+'Clallam Pgs 16-17'!C46+'Clark Pgs 18-19'!C46+'Columbia Pgs 20-21'!C46+'Cowlitz Pgs 22-23'!C46+'Garfield Pgs 24-25'!C46+'Grant Pgs 26-27'!C46+'Grays Harbor Pgs 28-29'!C46+'Island Pgs 30-31'!C46+'Jefferson Pgs 32-33'!C46+'Kitsap Pgs 34-35'!C46+'Kittitas Pgs 36-37'!C46+'Klickitat Pgs 38-39'!C46+'Lewis Pgs 40-41'!C46+'Lincoln Pgs 42-43'!C46+'Mason Pgs 44-45'!C46+'Northeast Tri Pgs 46-47'!C46+'Okanogan Pgs 48-49'!C46+'Pacific Pgs 50-51'!C46+'San Juan Pgs 52-53'!C46+'[1]seattle king'!C46+'Skagit Pgs 56-57'!C46+'Skamania Pgs 58-59'!C46+'Snohomish Pgs 60-61'!C46+'Spokane Pgs 62-63'!C46+'Tacoma-Pierce Pgs 64-65'!C46+'Thurston Pgs 66-67'!C46+'Wahkiakum Pgs 68-69'!C46+'Walla Walla Pgs 70-71'!C46+'Whatcom Pgs 72-73'!C46+'Whitman Pgs 74-75'!C46+'Yakima Pgs 76-77'!C46</f>
        <v>0</v>
      </c>
      <c r="D46" s="109">
        <f>'Adams Pgs 8-9'!D46+'Asotin Pgs 10-11'!D46+'Benton-Franklin Pgs 12-13'!D46+'Chelan-Douglas Pgs 14-15'!D46+'Clallam Pgs 16-17'!D46+'Clark Pgs 18-19'!D46+'Columbia Pgs 20-21'!D46+'Cowlitz Pgs 22-23'!D46+'Garfield Pgs 24-25'!D46+'Grant Pgs 26-27'!D46+'Grays Harbor Pgs 28-29'!D46+'Island Pgs 30-31'!D46+'Jefferson Pgs 32-33'!D46+'Kitsap Pgs 34-35'!D46+'Kittitas Pgs 36-37'!D46+'Klickitat Pgs 38-39'!D46+'Lewis Pgs 40-41'!D46+'Lincoln Pgs 42-43'!D46+'Mason Pgs 44-45'!D46+'Northeast Tri Pgs 46-47'!D46+'Okanogan Pgs 48-49'!D46+'Pacific Pgs 50-51'!D46+'San Juan Pgs 52-53'!D46+'[1]seattle king'!D46+'Skagit Pgs 56-57'!D46+'Skamania Pgs 58-59'!D46+'Snohomish Pgs 60-61'!D46+'Spokane Pgs 62-63'!D46+'Tacoma-Pierce Pgs 64-65'!D46+'Thurston Pgs 66-67'!D46+'Wahkiakum Pgs 68-69'!D46+'Walla Walla Pgs 70-71'!D46+'Whatcom Pgs 72-73'!D46+'Whitman Pgs 74-75'!D46+'Yakima Pgs 76-77'!D46</f>
        <v>0</v>
      </c>
      <c r="E46" s="110">
        <f>'Adams Pgs 8-9'!E46+'Asotin Pgs 10-11'!E46+'Benton-Franklin Pgs 12-13'!E46+'Chelan-Douglas Pgs 14-15'!E46+'Clallam Pgs 16-17'!E46+'Clark Pgs 18-19'!E46+'Columbia Pgs 20-21'!E46+'Cowlitz Pgs 22-23'!E46+'Garfield Pgs 24-25'!E46+'Grant Pgs 26-27'!E46+'Grays Harbor Pgs 28-29'!E46+'Island Pgs 30-31'!E46+'Jefferson Pgs 32-33'!E46+'Kitsap Pgs 34-35'!E46+'Kittitas Pgs 36-37'!E46+'Klickitat Pgs 38-39'!E46+'Lewis Pgs 40-41'!E46+'Lincoln Pgs 42-43'!E46+'Mason Pgs 44-45'!E46+'Northeast Tri Pgs 46-47'!E46+'Okanogan Pgs 48-49'!E46+'Pacific Pgs 50-51'!E46+'San Juan Pgs 52-53'!E46+'[1]seattle king'!E46+'Skagit Pgs 56-57'!E46+'Skamania Pgs 58-59'!E46+'Snohomish Pgs 60-61'!E46+'Spokane Pgs 62-63'!E46+'Tacoma-Pierce Pgs 64-65'!E46+'Thurston Pgs 66-67'!E46+'Wahkiakum Pgs 68-69'!E46+'Walla Walla Pgs 70-71'!E46+'Whatcom Pgs 72-73'!E46+'Whitman Pgs 74-75'!E46+'Yakima Pgs 76-77'!E46</f>
        <v>0</v>
      </c>
      <c r="F46" s="108">
        <f>'Adams Pgs 8-9'!F46+'Asotin Pgs 10-11'!F46+'Benton-Franklin Pgs 12-13'!F46+'Chelan-Douglas Pgs 14-15'!F46+'Clallam Pgs 16-17'!F46+'Clark Pgs 18-19'!F46+'Columbia Pgs 20-21'!F46+'Cowlitz Pgs 22-23'!F46+'Garfield Pgs 24-25'!F46+'Grant Pgs 26-27'!F46+'Grays Harbor Pgs 28-29'!F46+'Island Pgs 30-31'!F46+'Jefferson Pgs 32-33'!F46+'Kitsap Pgs 34-35'!F46+'Kittitas Pgs 36-37'!F46+'Klickitat Pgs 38-39'!F46+'Lewis Pgs 40-41'!F46+'Lincoln Pgs 42-43'!F46+'Mason Pgs 44-45'!F46+'Northeast Tri Pgs 46-47'!F46+'Okanogan Pgs 48-49'!F46+'Pacific Pgs 50-51'!F46+'San Juan Pgs 52-53'!F46+'[1]seattle king'!F46+'Skagit Pgs 56-57'!F46+'Skamania Pgs 58-59'!F46+'Snohomish Pgs 60-61'!F46+'Spokane Pgs 62-63'!F46+'Tacoma-Pierce Pgs 64-65'!F46+'Thurston Pgs 66-67'!F46+'Wahkiakum Pgs 68-69'!F46+'Walla Walla Pgs 70-71'!F46+'Whatcom Pgs 72-73'!F46+'Whitman Pgs 74-75'!F46+'Yakima Pgs 76-77'!F46</f>
        <v>0</v>
      </c>
      <c r="G46" s="110">
        <f>'Adams Pgs 8-9'!G46+'Asotin Pgs 10-11'!G46+'Benton-Franklin Pgs 12-13'!G46+'Chelan-Douglas Pgs 14-15'!G46+'Clallam Pgs 16-17'!G46+'Clark Pgs 18-19'!G46+'Columbia Pgs 20-21'!G46+'Cowlitz Pgs 22-23'!G46+'Garfield Pgs 24-25'!G46+'Grant Pgs 26-27'!G46+'Grays Harbor Pgs 28-29'!G46+'Island Pgs 30-31'!G46+'Jefferson Pgs 32-33'!G46+'Kitsap Pgs 34-35'!G46+'Kittitas Pgs 36-37'!G46+'Klickitat Pgs 38-39'!G46+'Lewis Pgs 40-41'!G46+'Lincoln Pgs 42-43'!G46+'Mason Pgs 44-45'!G46+'Northeast Tri Pgs 46-47'!G46+'Okanogan Pgs 48-49'!G46+'Pacific Pgs 50-51'!G46+'San Juan Pgs 52-53'!G46+'[1]seattle king'!G46+'Skagit Pgs 56-57'!G46+'Skamania Pgs 58-59'!G46+'Snohomish Pgs 60-61'!G46+'Spokane Pgs 62-63'!G46+'Tacoma-Pierce Pgs 64-65'!G46+'Thurston Pgs 66-67'!G46+'Wahkiakum Pgs 68-69'!G46+'Walla Walla Pgs 70-71'!G46+'Whatcom Pgs 72-73'!G46+'Whitman Pgs 74-75'!G46+'Yakima Pgs 76-77'!G46</f>
        <v>0</v>
      </c>
      <c r="H46" s="111">
        <f>'Adams Pgs 8-9'!H46+'Asotin Pgs 10-11'!H46+'Benton-Franklin Pgs 12-13'!H46+'Chelan-Douglas Pgs 14-15'!H46+'Clallam Pgs 16-17'!H46+'Clark Pgs 18-19'!H46+'Columbia Pgs 20-21'!H46+'Cowlitz Pgs 22-23'!H46+'Garfield Pgs 24-25'!H46+'Grant Pgs 26-27'!H46+'Grays Harbor Pgs 28-29'!H46+'Island Pgs 30-31'!H46+'Jefferson Pgs 32-33'!H46+'Kitsap Pgs 34-35'!H46+'Kittitas Pgs 36-37'!H46+'Klickitat Pgs 38-39'!H46+'Lewis Pgs 40-41'!H46+'Lincoln Pgs 42-43'!H46+'Mason Pgs 44-45'!H46+'Northeast Tri Pgs 46-47'!H46+'Okanogan Pgs 48-49'!H46+'Pacific Pgs 50-51'!H46+'San Juan Pgs 52-53'!H46+'[1]seattle king'!H46+'Skagit Pgs 56-57'!H46+'Skamania Pgs 58-59'!H46+'Snohomish Pgs 60-61'!H46+'Spokane Pgs 62-63'!H46+'Tacoma-Pierce Pgs 64-65'!H46+'Thurston Pgs 66-67'!H46+'Wahkiakum Pgs 68-69'!H46+'Walla Walla Pgs 70-71'!H46+'Whatcom Pgs 72-73'!H46+'Whitman Pgs 74-75'!H46+'Yakima Pgs 76-77'!H46</f>
        <v>0</v>
      </c>
      <c r="I46" s="110">
        <f>'Adams Pgs 8-9'!I46+'Asotin Pgs 10-11'!I46+'Benton-Franklin Pgs 12-13'!I46+'Chelan-Douglas Pgs 14-15'!I46+'Clallam Pgs 16-17'!I46+'Clark Pgs 18-19'!I46+'Columbia Pgs 20-21'!I46+'Cowlitz Pgs 22-23'!I46+'Garfield Pgs 24-25'!I46+'Grant Pgs 26-27'!I46+'Grays Harbor Pgs 28-29'!I46+'Island Pgs 30-31'!I46+'Jefferson Pgs 32-33'!I46+'Kitsap Pgs 34-35'!I46+'Kittitas Pgs 36-37'!I46+'Klickitat Pgs 38-39'!I46+'Lewis Pgs 40-41'!I46+'Lincoln Pgs 42-43'!I46+'Mason Pgs 44-45'!I46+'Northeast Tri Pgs 46-47'!I46+'Okanogan Pgs 48-49'!I46+'Pacific Pgs 50-51'!I46+'San Juan Pgs 52-53'!I46+'[1]seattle king'!I46+'Skagit Pgs 56-57'!I46+'Skamania Pgs 58-59'!I46+'Snohomish Pgs 60-61'!I46+'Spokane Pgs 62-63'!I46+'Tacoma-Pierce Pgs 64-65'!I46+'Thurston Pgs 66-67'!I46+'Wahkiakum Pgs 68-69'!I46+'Walla Walla Pgs 70-71'!I46+'Whatcom Pgs 72-73'!I46+'Whitman Pgs 74-75'!I46+'Yakima Pgs 76-77'!I46</f>
        <v>0</v>
      </c>
      <c r="J46" s="112">
        <f>'Adams Pgs 8-9'!J46+'Asotin Pgs 10-11'!J46+'Benton-Franklin Pgs 12-13'!J46+'Chelan-Douglas Pgs 14-15'!J46+'Clallam Pgs 16-17'!J46+'Clark Pgs 18-19'!J46+'Columbia Pgs 20-21'!J46+'Cowlitz Pgs 22-23'!J46+'Garfield Pgs 24-25'!J46+'Grant Pgs 26-27'!J46+'Grays Harbor Pgs 28-29'!J46+'Island Pgs 30-31'!J46+'Jefferson Pgs 32-33'!J46+'Kitsap Pgs 34-35'!J46+'Kittitas Pgs 36-37'!J46+'Klickitat Pgs 38-39'!J46+'Lewis Pgs 40-41'!J46+'Lincoln Pgs 42-43'!J46+'Mason Pgs 44-45'!J46+'Northeast Tri Pgs 46-47'!J46+'Okanogan Pgs 48-49'!J46+'Pacific Pgs 50-51'!J46+'San Juan Pgs 52-53'!J46+'[1]seattle king'!J46+'Skagit Pgs 56-57'!J46+'Skamania Pgs 58-59'!J46+'Snohomish Pgs 60-61'!J46+'Spokane Pgs 62-63'!J46+'Tacoma-Pierce Pgs 64-65'!J46+'Thurston Pgs 66-67'!J46+'Wahkiakum Pgs 68-69'!J46+'Walla Walla Pgs 70-71'!J46+'Whatcom Pgs 72-73'!J46+'Whitman Pgs 74-75'!J46+'Yakima Pgs 76-77'!J46</f>
        <v>0</v>
      </c>
      <c r="K46" s="142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>
        <f>'Adams Pgs 8-9'!C47+'Asotin Pgs 10-11'!C47+'Benton-Franklin Pgs 12-13'!C47+'Chelan-Douglas Pgs 14-15'!C47+'Clallam Pgs 16-17'!C47+'Clark Pgs 18-19'!C47+'Columbia Pgs 20-21'!C47+'Cowlitz Pgs 22-23'!C47+'Garfield Pgs 24-25'!C47+'Grant Pgs 26-27'!C47+'Grays Harbor Pgs 28-29'!C47+'Island Pgs 30-31'!C47+'Jefferson Pgs 32-33'!C47+'Kitsap Pgs 34-35'!C47+'Kittitas Pgs 36-37'!C47+'Klickitat Pgs 38-39'!C47+'Lewis Pgs 40-41'!C47+'Lincoln Pgs 42-43'!C47+'Mason Pgs 44-45'!C47+'Northeast Tri Pgs 46-47'!C47+'Okanogan Pgs 48-49'!C47+'Pacific Pgs 50-51'!C47+'San Juan Pgs 52-53'!C47+'[1]seattle king'!C47+'Skagit Pgs 56-57'!C47+'Skamania Pgs 58-59'!C47+'Snohomish Pgs 60-61'!C47+'Spokane Pgs 62-63'!C47+'Tacoma-Pierce Pgs 64-65'!C47+'Thurston Pgs 66-67'!C47+'Wahkiakum Pgs 68-69'!C47+'Walla Walla Pgs 70-71'!C47+'Whatcom Pgs 72-73'!C47+'Whitman Pgs 74-75'!C47+'Yakima Pgs 76-77'!C47</f>
        <v>0</v>
      </c>
      <c r="D47" s="109">
        <f>'Adams Pgs 8-9'!D47+'Asotin Pgs 10-11'!D47+'Benton-Franklin Pgs 12-13'!D47+'Chelan-Douglas Pgs 14-15'!D47+'Clallam Pgs 16-17'!D47+'Clark Pgs 18-19'!D47+'Columbia Pgs 20-21'!D47+'Cowlitz Pgs 22-23'!D47+'Garfield Pgs 24-25'!D47+'Grant Pgs 26-27'!D47+'Grays Harbor Pgs 28-29'!D47+'Island Pgs 30-31'!D47+'Jefferson Pgs 32-33'!D47+'Kitsap Pgs 34-35'!D47+'Kittitas Pgs 36-37'!D47+'Klickitat Pgs 38-39'!D47+'Lewis Pgs 40-41'!D47+'Lincoln Pgs 42-43'!D47+'Mason Pgs 44-45'!D47+'Northeast Tri Pgs 46-47'!D47+'Okanogan Pgs 48-49'!D47+'Pacific Pgs 50-51'!D47+'San Juan Pgs 52-53'!D47+'[1]seattle king'!D47+'Skagit Pgs 56-57'!D47+'Skamania Pgs 58-59'!D47+'Snohomish Pgs 60-61'!D47+'Spokane Pgs 62-63'!D47+'Tacoma-Pierce Pgs 64-65'!D47+'Thurston Pgs 66-67'!D47+'Wahkiakum Pgs 68-69'!D47+'Walla Walla Pgs 70-71'!D47+'Whatcom Pgs 72-73'!D47+'Whitman Pgs 74-75'!D47+'Yakima Pgs 76-77'!D47</f>
        <v>853</v>
      </c>
      <c r="E47" s="110">
        <f>'Adams Pgs 8-9'!E47+'Asotin Pgs 10-11'!E47+'Benton-Franklin Pgs 12-13'!E47+'Chelan-Douglas Pgs 14-15'!E47+'Clallam Pgs 16-17'!E47+'Clark Pgs 18-19'!E47+'Columbia Pgs 20-21'!E47+'Cowlitz Pgs 22-23'!E47+'Garfield Pgs 24-25'!E47+'Grant Pgs 26-27'!E47+'Grays Harbor Pgs 28-29'!E47+'Island Pgs 30-31'!E47+'Jefferson Pgs 32-33'!E47+'Kitsap Pgs 34-35'!E47+'Kittitas Pgs 36-37'!E47+'Klickitat Pgs 38-39'!E47+'Lewis Pgs 40-41'!E47+'Lincoln Pgs 42-43'!E47+'Mason Pgs 44-45'!E47+'Northeast Tri Pgs 46-47'!E47+'Okanogan Pgs 48-49'!E47+'Pacific Pgs 50-51'!E47+'San Juan Pgs 52-53'!E47+'[1]seattle king'!E47+'Skagit Pgs 56-57'!E47+'Skamania Pgs 58-59'!E47+'Snohomish Pgs 60-61'!E47+'Spokane Pgs 62-63'!E47+'Tacoma-Pierce Pgs 64-65'!E47+'Thurston Pgs 66-67'!E47+'Wahkiakum Pgs 68-69'!E47+'Walla Walla Pgs 70-71'!E47+'Whatcom Pgs 72-73'!E47+'Whitman Pgs 74-75'!E47+'Yakima Pgs 76-77'!E47</f>
        <v>378674</v>
      </c>
      <c r="F47" s="108">
        <f>'Adams Pgs 8-9'!F47+'Asotin Pgs 10-11'!F47+'Benton-Franklin Pgs 12-13'!F47+'Chelan-Douglas Pgs 14-15'!F47+'Clallam Pgs 16-17'!F47+'Clark Pgs 18-19'!F47+'Columbia Pgs 20-21'!F47+'Cowlitz Pgs 22-23'!F47+'Garfield Pgs 24-25'!F47+'Grant Pgs 26-27'!F47+'Grays Harbor Pgs 28-29'!F47+'Island Pgs 30-31'!F47+'Jefferson Pgs 32-33'!F47+'Kitsap Pgs 34-35'!F47+'Kittitas Pgs 36-37'!F47+'Klickitat Pgs 38-39'!F47+'Lewis Pgs 40-41'!F47+'Lincoln Pgs 42-43'!F47+'Mason Pgs 44-45'!F47+'Northeast Tri Pgs 46-47'!F47+'Okanogan Pgs 48-49'!F47+'Pacific Pgs 50-51'!F47+'San Juan Pgs 52-53'!F47+'[1]seattle king'!F47+'Skagit Pgs 56-57'!F47+'Skamania Pgs 58-59'!F47+'Snohomish Pgs 60-61'!F47+'Spokane Pgs 62-63'!F47+'Tacoma-Pierce Pgs 64-65'!F47+'Thurston Pgs 66-67'!F47+'Wahkiakum Pgs 68-69'!F47+'Walla Walla Pgs 70-71'!F47+'Whatcom Pgs 72-73'!F47+'Whitman Pgs 74-75'!F47+'Yakima Pgs 76-77'!F47</f>
        <v>0</v>
      </c>
      <c r="G47" s="110">
        <f>'Adams Pgs 8-9'!G47+'Asotin Pgs 10-11'!G47+'Benton-Franklin Pgs 12-13'!G47+'Chelan-Douglas Pgs 14-15'!G47+'Clallam Pgs 16-17'!G47+'Clark Pgs 18-19'!G47+'Columbia Pgs 20-21'!G47+'Cowlitz Pgs 22-23'!G47+'Garfield Pgs 24-25'!G47+'Grant Pgs 26-27'!G47+'Grays Harbor Pgs 28-29'!G47+'Island Pgs 30-31'!G47+'Jefferson Pgs 32-33'!G47+'Kitsap Pgs 34-35'!G47+'Kittitas Pgs 36-37'!G47+'Klickitat Pgs 38-39'!G47+'Lewis Pgs 40-41'!G47+'Lincoln Pgs 42-43'!G47+'Mason Pgs 44-45'!G47+'Northeast Tri Pgs 46-47'!G47+'Okanogan Pgs 48-49'!G47+'Pacific Pgs 50-51'!G47+'San Juan Pgs 52-53'!G47+'[1]seattle king'!G47+'Skagit Pgs 56-57'!G47+'Skamania Pgs 58-59'!G47+'Snohomish Pgs 60-61'!G47+'Spokane Pgs 62-63'!G47+'Tacoma-Pierce Pgs 64-65'!G47+'Thurston Pgs 66-67'!G47+'Wahkiakum Pgs 68-69'!G47+'Walla Walla Pgs 70-71'!G47+'Whatcom Pgs 72-73'!G47+'Whitman Pgs 74-75'!G47+'Yakima Pgs 76-77'!G47</f>
        <v>0</v>
      </c>
      <c r="H47" s="111">
        <f>'Adams Pgs 8-9'!H47+'Asotin Pgs 10-11'!H47+'Benton-Franklin Pgs 12-13'!H47+'Chelan-Douglas Pgs 14-15'!H47+'Clallam Pgs 16-17'!H47+'Clark Pgs 18-19'!H47+'Columbia Pgs 20-21'!H47+'Cowlitz Pgs 22-23'!H47+'Garfield Pgs 24-25'!H47+'Grant Pgs 26-27'!H47+'Grays Harbor Pgs 28-29'!H47+'Island Pgs 30-31'!H47+'Jefferson Pgs 32-33'!H47+'Kitsap Pgs 34-35'!H47+'Kittitas Pgs 36-37'!H47+'Klickitat Pgs 38-39'!H47+'Lewis Pgs 40-41'!H47+'Lincoln Pgs 42-43'!H47+'Mason Pgs 44-45'!H47+'Northeast Tri Pgs 46-47'!H47+'Okanogan Pgs 48-49'!H47+'Pacific Pgs 50-51'!H47+'San Juan Pgs 52-53'!H47+'[1]seattle king'!H47+'Skagit Pgs 56-57'!H47+'Skamania Pgs 58-59'!H47+'Snohomish Pgs 60-61'!H47+'Spokane Pgs 62-63'!H47+'Tacoma-Pierce Pgs 64-65'!H47+'Thurston Pgs 66-67'!H47+'Wahkiakum Pgs 68-69'!H47+'Walla Walla Pgs 70-71'!H47+'Whatcom Pgs 72-73'!H47+'Whitman Pgs 74-75'!H47+'Yakima Pgs 76-77'!H47</f>
        <v>1579</v>
      </c>
      <c r="I47" s="110">
        <f>'Adams Pgs 8-9'!I47+'Asotin Pgs 10-11'!I47+'Benton-Franklin Pgs 12-13'!I47+'Chelan-Douglas Pgs 14-15'!I47+'Clallam Pgs 16-17'!I47+'Clark Pgs 18-19'!I47+'Columbia Pgs 20-21'!I47+'Cowlitz Pgs 22-23'!I47+'Garfield Pgs 24-25'!I47+'Grant Pgs 26-27'!I47+'Grays Harbor Pgs 28-29'!I47+'Island Pgs 30-31'!I47+'Jefferson Pgs 32-33'!I47+'Kitsap Pgs 34-35'!I47+'Kittitas Pgs 36-37'!I47+'Klickitat Pgs 38-39'!I47+'Lewis Pgs 40-41'!I47+'Lincoln Pgs 42-43'!I47+'Mason Pgs 44-45'!I47+'Northeast Tri Pgs 46-47'!I47+'Okanogan Pgs 48-49'!I47+'Pacific Pgs 50-51'!I47+'San Juan Pgs 52-53'!I47+'[1]seattle king'!I47+'Skagit Pgs 56-57'!I47+'Skamania Pgs 58-59'!I47+'Snohomish Pgs 60-61'!I47+'Spokane Pgs 62-63'!I47+'Tacoma-Pierce Pgs 64-65'!I47+'Thurston Pgs 66-67'!I47+'Wahkiakum Pgs 68-69'!I47+'Walla Walla Pgs 70-71'!I47+'Whatcom Pgs 72-73'!I47+'Whitman Pgs 74-75'!I47+'Yakima Pgs 76-77'!I47</f>
        <v>218910</v>
      </c>
      <c r="J47" s="112">
        <f>'Adams Pgs 8-9'!J47+'Asotin Pgs 10-11'!J47+'Benton-Franklin Pgs 12-13'!J47+'Chelan-Douglas Pgs 14-15'!J47+'Clallam Pgs 16-17'!J47+'Clark Pgs 18-19'!J47+'Columbia Pgs 20-21'!J47+'Cowlitz Pgs 22-23'!J47+'Garfield Pgs 24-25'!J47+'Grant Pgs 26-27'!J47+'Grays Harbor Pgs 28-29'!J47+'Island Pgs 30-31'!J47+'Jefferson Pgs 32-33'!J47+'Kitsap Pgs 34-35'!J47+'Kittitas Pgs 36-37'!J47+'Klickitat Pgs 38-39'!J47+'Lewis Pgs 40-41'!J47+'Lincoln Pgs 42-43'!J47+'Mason Pgs 44-45'!J47+'Northeast Tri Pgs 46-47'!J47+'Okanogan Pgs 48-49'!J47+'Pacific Pgs 50-51'!J47+'San Juan Pgs 52-53'!J47+'[1]seattle king'!J47+'Skagit Pgs 56-57'!J47+'Skamania Pgs 58-59'!J47+'Snohomish Pgs 60-61'!J47+'Spokane Pgs 62-63'!J47+'Tacoma-Pierce Pgs 64-65'!J47+'Thurston Pgs 66-67'!J47+'Wahkiakum Pgs 68-69'!J47+'Walla Walla Pgs 70-71'!J47+'Whatcom Pgs 72-73'!J47+'Whitman Pgs 74-75'!J47+'Yakima Pgs 76-77'!J47</f>
        <v>12212</v>
      </c>
      <c r="K47" s="142">
        <f t="shared" si="0"/>
        <v>612228</v>
      </c>
      <c r="L47"/>
    </row>
    <row r="48" spans="1:12" x14ac:dyDescent="0.35">
      <c r="A48" s="93">
        <v>551.20000000000005</v>
      </c>
      <c r="B48" s="16" t="s">
        <v>34</v>
      </c>
      <c r="C48" s="108">
        <f>'Adams Pgs 8-9'!C48+'Asotin Pgs 10-11'!C48+'Benton-Franklin Pgs 12-13'!C48+'Chelan-Douglas Pgs 14-15'!C48+'Clallam Pgs 16-17'!C48+'Clark Pgs 18-19'!C48+'Columbia Pgs 20-21'!C48+'Cowlitz Pgs 22-23'!C48+'Garfield Pgs 24-25'!C48+'Grant Pgs 26-27'!C48+'Grays Harbor Pgs 28-29'!C48+'Island Pgs 30-31'!C48+'Jefferson Pgs 32-33'!C48+'Kitsap Pgs 34-35'!C48+'Kittitas Pgs 36-37'!C48+'Klickitat Pgs 38-39'!C48+'Lewis Pgs 40-41'!C48+'Lincoln Pgs 42-43'!C48+'Mason Pgs 44-45'!C48+'Northeast Tri Pgs 46-47'!C48+'Okanogan Pgs 48-49'!C48+'Pacific Pgs 50-51'!C48+'San Juan Pgs 52-53'!C48+'[1]seattle king'!C48+'Skagit Pgs 56-57'!C48+'Skamania Pgs 58-59'!C48+'Snohomish Pgs 60-61'!C48+'Spokane Pgs 62-63'!C48+'Tacoma-Pierce Pgs 64-65'!C48+'Thurston Pgs 66-67'!C48+'Wahkiakum Pgs 68-69'!C48+'Walla Walla Pgs 70-71'!C48+'Whatcom Pgs 72-73'!C48+'Whitman Pgs 74-75'!C48+'Yakima Pgs 76-77'!C48</f>
        <v>0</v>
      </c>
      <c r="D48" s="109">
        <f>'Adams Pgs 8-9'!D48+'Asotin Pgs 10-11'!D48+'Benton-Franklin Pgs 12-13'!D48+'Chelan-Douglas Pgs 14-15'!D48+'Clallam Pgs 16-17'!D48+'Clark Pgs 18-19'!D48+'Columbia Pgs 20-21'!D48+'Cowlitz Pgs 22-23'!D48+'Garfield Pgs 24-25'!D48+'Grant Pgs 26-27'!D48+'Grays Harbor Pgs 28-29'!D48+'Island Pgs 30-31'!D48+'Jefferson Pgs 32-33'!D48+'Kitsap Pgs 34-35'!D48+'Kittitas Pgs 36-37'!D48+'Klickitat Pgs 38-39'!D48+'Lewis Pgs 40-41'!D48+'Lincoln Pgs 42-43'!D48+'Mason Pgs 44-45'!D48+'Northeast Tri Pgs 46-47'!D48+'Okanogan Pgs 48-49'!D48+'Pacific Pgs 50-51'!D48+'San Juan Pgs 52-53'!D48+'[1]seattle king'!D48+'Skagit Pgs 56-57'!D48+'Skamania Pgs 58-59'!D48+'Snohomish Pgs 60-61'!D48+'Spokane Pgs 62-63'!D48+'Tacoma-Pierce Pgs 64-65'!D48+'Thurston Pgs 66-67'!D48+'Wahkiakum Pgs 68-69'!D48+'Walla Walla Pgs 70-71'!D48+'Whatcom Pgs 72-73'!D48+'Whitman Pgs 74-75'!D48+'Yakima Pgs 76-77'!D48</f>
        <v>0</v>
      </c>
      <c r="E48" s="110">
        <f>'Adams Pgs 8-9'!E48+'Asotin Pgs 10-11'!E48+'Benton-Franklin Pgs 12-13'!E48+'Chelan-Douglas Pgs 14-15'!E48+'Clallam Pgs 16-17'!E48+'Clark Pgs 18-19'!E48+'Columbia Pgs 20-21'!E48+'Cowlitz Pgs 22-23'!E48+'Garfield Pgs 24-25'!E48+'Grant Pgs 26-27'!E48+'Grays Harbor Pgs 28-29'!E48+'Island Pgs 30-31'!E48+'Jefferson Pgs 32-33'!E48+'Kitsap Pgs 34-35'!E48+'Kittitas Pgs 36-37'!E48+'Klickitat Pgs 38-39'!E48+'Lewis Pgs 40-41'!E48+'Lincoln Pgs 42-43'!E48+'Mason Pgs 44-45'!E48+'Northeast Tri Pgs 46-47'!E48+'Okanogan Pgs 48-49'!E48+'Pacific Pgs 50-51'!E48+'San Juan Pgs 52-53'!E48+'[1]seattle king'!E48+'Skagit Pgs 56-57'!E48+'Skamania Pgs 58-59'!E48+'Snohomish Pgs 60-61'!E48+'Spokane Pgs 62-63'!E48+'Tacoma-Pierce Pgs 64-65'!E48+'Thurston Pgs 66-67'!E48+'Wahkiakum Pgs 68-69'!E48+'Walla Walla Pgs 70-71'!E48+'Whatcom Pgs 72-73'!E48+'Whitman Pgs 74-75'!E48+'Yakima Pgs 76-77'!E48</f>
        <v>0</v>
      </c>
      <c r="F48" s="108">
        <f>'Adams Pgs 8-9'!F48+'Asotin Pgs 10-11'!F48+'Benton-Franklin Pgs 12-13'!F48+'Chelan-Douglas Pgs 14-15'!F48+'Clallam Pgs 16-17'!F48+'Clark Pgs 18-19'!F48+'Columbia Pgs 20-21'!F48+'Cowlitz Pgs 22-23'!F48+'Garfield Pgs 24-25'!F48+'Grant Pgs 26-27'!F48+'Grays Harbor Pgs 28-29'!F48+'Island Pgs 30-31'!F48+'Jefferson Pgs 32-33'!F48+'Kitsap Pgs 34-35'!F48+'Kittitas Pgs 36-37'!F48+'Klickitat Pgs 38-39'!F48+'Lewis Pgs 40-41'!F48+'Lincoln Pgs 42-43'!F48+'Mason Pgs 44-45'!F48+'Northeast Tri Pgs 46-47'!F48+'Okanogan Pgs 48-49'!F48+'Pacific Pgs 50-51'!F48+'San Juan Pgs 52-53'!F48+'[1]seattle king'!F48+'Skagit Pgs 56-57'!F48+'Skamania Pgs 58-59'!F48+'Snohomish Pgs 60-61'!F48+'Spokane Pgs 62-63'!F48+'Tacoma-Pierce Pgs 64-65'!F48+'Thurston Pgs 66-67'!F48+'Wahkiakum Pgs 68-69'!F48+'Walla Walla Pgs 70-71'!F48+'Whatcom Pgs 72-73'!F48+'Whitman Pgs 74-75'!F48+'Yakima Pgs 76-77'!F48</f>
        <v>0</v>
      </c>
      <c r="G48" s="110">
        <f>'Adams Pgs 8-9'!G48+'Asotin Pgs 10-11'!G48+'Benton-Franklin Pgs 12-13'!G48+'Chelan-Douglas Pgs 14-15'!G48+'Clallam Pgs 16-17'!G48+'Clark Pgs 18-19'!G48+'Columbia Pgs 20-21'!G48+'Cowlitz Pgs 22-23'!G48+'Garfield Pgs 24-25'!G48+'Grant Pgs 26-27'!G48+'Grays Harbor Pgs 28-29'!G48+'Island Pgs 30-31'!G48+'Jefferson Pgs 32-33'!G48+'Kitsap Pgs 34-35'!G48+'Kittitas Pgs 36-37'!G48+'Klickitat Pgs 38-39'!G48+'Lewis Pgs 40-41'!G48+'Lincoln Pgs 42-43'!G48+'Mason Pgs 44-45'!G48+'Northeast Tri Pgs 46-47'!G48+'Okanogan Pgs 48-49'!G48+'Pacific Pgs 50-51'!G48+'San Juan Pgs 52-53'!G48+'[1]seattle king'!G48+'Skagit Pgs 56-57'!G48+'Skamania Pgs 58-59'!G48+'Snohomish Pgs 60-61'!G48+'Spokane Pgs 62-63'!G48+'Tacoma-Pierce Pgs 64-65'!G48+'Thurston Pgs 66-67'!G48+'Wahkiakum Pgs 68-69'!G48+'Walla Walla Pgs 70-71'!G48+'Whatcom Pgs 72-73'!G48+'Whitman Pgs 74-75'!G48+'Yakima Pgs 76-77'!G48</f>
        <v>0</v>
      </c>
      <c r="H48" s="111">
        <f>'Adams Pgs 8-9'!H48+'Asotin Pgs 10-11'!H48+'Benton-Franklin Pgs 12-13'!H48+'Chelan-Douglas Pgs 14-15'!H48+'Clallam Pgs 16-17'!H48+'Clark Pgs 18-19'!H48+'Columbia Pgs 20-21'!H48+'Cowlitz Pgs 22-23'!H48+'Garfield Pgs 24-25'!H48+'Grant Pgs 26-27'!H48+'Grays Harbor Pgs 28-29'!H48+'Island Pgs 30-31'!H48+'Jefferson Pgs 32-33'!H48+'Kitsap Pgs 34-35'!H48+'Kittitas Pgs 36-37'!H48+'Klickitat Pgs 38-39'!H48+'Lewis Pgs 40-41'!H48+'Lincoln Pgs 42-43'!H48+'Mason Pgs 44-45'!H48+'Northeast Tri Pgs 46-47'!H48+'Okanogan Pgs 48-49'!H48+'Pacific Pgs 50-51'!H48+'San Juan Pgs 52-53'!H48+'[1]seattle king'!H48+'Skagit Pgs 56-57'!H48+'Skamania Pgs 58-59'!H48+'Snohomish Pgs 60-61'!H48+'Spokane Pgs 62-63'!H48+'Tacoma-Pierce Pgs 64-65'!H48+'Thurston Pgs 66-67'!H48+'Wahkiakum Pgs 68-69'!H48+'Walla Walla Pgs 70-71'!H48+'Whatcom Pgs 72-73'!H48+'Whitman Pgs 74-75'!H48+'Yakima Pgs 76-77'!H48</f>
        <v>0</v>
      </c>
      <c r="I48" s="110">
        <f>'Adams Pgs 8-9'!I48+'Asotin Pgs 10-11'!I48+'Benton-Franklin Pgs 12-13'!I48+'Chelan-Douglas Pgs 14-15'!I48+'Clallam Pgs 16-17'!I48+'Clark Pgs 18-19'!I48+'Columbia Pgs 20-21'!I48+'Cowlitz Pgs 22-23'!I48+'Garfield Pgs 24-25'!I48+'Grant Pgs 26-27'!I48+'Grays Harbor Pgs 28-29'!I48+'Island Pgs 30-31'!I48+'Jefferson Pgs 32-33'!I48+'Kitsap Pgs 34-35'!I48+'Kittitas Pgs 36-37'!I48+'Klickitat Pgs 38-39'!I48+'Lewis Pgs 40-41'!I48+'Lincoln Pgs 42-43'!I48+'Mason Pgs 44-45'!I48+'Northeast Tri Pgs 46-47'!I48+'Okanogan Pgs 48-49'!I48+'Pacific Pgs 50-51'!I48+'San Juan Pgs 52-53'!I48+'[1]seattle king'!I48+'Skagit Pgs 56-57'!I48+'Skamania Pgs 58-59'!I48+'Snohomish Pgs 60-61'!I48+'Spokane Pgs 62-63'!I48+'Tacoma-Pierce Pgs 64-65'!I48+'Thurston Pgs 66-67'!I48+'Wahkiakum Pgs 68-69'!I48+'Walla Walla Pgs 70-71'!I48+'Whatcom Pgs 72-73'!I48+'Whitman Pgs 74-75'!I48+'Yakima Pgs 76-77'!I48</f>
        <v>0</v>
      </c>
      <c r="J48" s="112">
        <f>'Adams Pgs 8-9'!J48+'Asotin Pgs 10-11'!J48+'Benton-Franklin Pgs 12-13'!J48+'Chelan-Douglas Pgs 14-15'!J48+'Clallam Pgs 16-17'!J48+'Clark Pgs 18-19'!J48+'Columbia Pgs 20-21'!J48+'Cowlitz Pgs 22-23'!J48+'Garfield Pgs 24-25'!J48+'Grant Pgs 26-27'!J48+'Grays Harbor Pgs 28-29'!J48+'Island Pgs 30-31'!J48+'Jefferson Pgs 32-33'!J48+'Kitsap Pgs 34-35'!J48+'Kittitas Pgs 36-37'!J48+'Klickitat Pgs 38-39'!J48+'Lewis Pgs 40-41'!J48+'Lincoln Pgs 42-43'!J48+'Mason Pgs 44-45'!J48+'Northeast Tri Pgs 46-47'!J48+'Okanogan Pgs 48-49'!J48+'Pacific Pgs 50-51'!J48+'San Juan Pgs 52-53'!J48+'[1]seattle king'!J48+'Skagit Pgs 56-57'!J48+'Skamania Pgs 58-59'!J48+'Snohomish Pgs 60-61'!J48+'Spokane Pgs 62-63'!J48+'Tacoma-Pierce Pgs 64-65'!J48+'Thurston Pgs 66-67'!J48+'Wahkiakum Pgs 68-69'!J48+'Walla Walla Pgs 70-71'!J48+'Whatcom Pgs 72-73'!J48+'Whitman Pgs 74-75'!J48+'Yakima Pgs 76-77'!J48</f>
        <v>0</v>
      </c>
      <c r="K48" s="142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>
        <f>'Adams Pgs 8-9'!C49+'Asotin Pgs 10-11'!C49+'Benton-Franklin Pgs 12-13'!C49+'Chelan-Douglas Pgs 14-15'!C49+'Clallam Pgs 16-17'!C49+'Clark Pgs 18-19'!C49+'Columbia Pgs 20-21'!C49+'Cowlitz Pgs 22-23'!C49+'Garfield Pgs 24-25'!C49+'Grant Pgs 26-27'!C49+'Grays Harbor Pgs 28-29'!C49+'Island Pgs 30-31'!C49+'Jefferson Pgs 32-33'!C49+'Kitsap Pgs 34-35'!C49+'Kittitas Pgs 36-37'!C49+'Klickitat Pgs 38-39'!C49+'Lewis Pgs 40-41'!C49+'Lincoln Pgs 42-43'!C49+'Mason Pgs 44-45'!C49+'Northeast Tri Pgs 46-47'!C49+'Okanogan Pgs 48-49'!C49+'Pacific Pgs 50-51'!C49+'San Juan Pgs 52-53'!C49+'[1]seattle king'!C49+'Skagit Pgs 56-57'!C49+'Skamania Pgs 58-59'!C49+'Snohomish Pgs 60-61'!C49+'Spokane Pgs 62-63'!C49+'Tacoma-Pierce Pgs 64-65'!C49+'Thurston Pgs 66-67'!C49+'Wahkiakum Pgs 68-69'!C49+'Walla Walla Pgs 70-71'!C49+'Whatcom Pgs 72-73'!C49+'Whitman Pgs 74-75'!C49+'Yakima Pgs 76-77'!C49</f>
        <v>0</v>
      </c>
      <c r="D49" s="109">
        <f>'Adams Pgs 8-9'!D49+'Asotin Pgs 10-11'!D49+'Benton-Franklin Pgs 12-13'!D49+'Chelan-Douglas Pgs 14-15'!D49+'Clallam Pgs 16-17'!D49+'Clark Pgs 18-19'!D49+'Columbia Pgs 20-21'!D49+'Cowlitz Pgs 22-23'!D49+'Garfield Pgs 24-25'!D49+'Grant Pgs 26-27'!D49+'Grays Harbor Pgs 28-29'!D49+'Island Pgs 30-31'!D49+'Jefferson Pgs 32-33'!D49+'Kitsap Pgs 34-35'!D49+'Kittitas Pgs 36-37'!D49+'Klickitat Pgs 38-39'!D49+'Lewis Pgs 40-41'!D49+'Lincoln Pgs 42-43'!D49+'Mason Pgs 44-45'!D49+'Northeast Tri Pgs 46-47'!D49+'Okanogan Pgs 48-49'!D49+'Pacific Pgs 50-51'!D49+'San Juan Pgs 52-53'!D49+'[1]seattle king'!D49+'Skagit Pgs 56-57'!D49+'Skamania Pgs 58-59'!D49+'Snohomish Pgs 60-61'!D49+'Spokane Pgs 62-63'!D49+'Tacoma-Pierce Pgs 64-65'!D49+'Thurston Pgs 66-67'!D49+'Wahkiakum Pgs 68-69'!D49+'Walla Walla Pgs 70-71'!D49+'Whatcom Pgs 72-73'!D49+'Whitman Pgs 74-75'!D49+'Yakima Pgs 76-77'!D49</f>
        <v>23957</v>
      </c>
      <c r="E49" s="110">
        <f>'Adams Pgs 8-9'!E49+'Asotin Pgs 10-11'!E49+'Benton-Franklin Pgs 12-13'!E49+'Chelan-Douglas Pgs 14-15'!E49+'Clallam Pgs 16-17'!E49+'Clark Pgs 18-19'!E49+'Columbia Pgs 20-21'!E49+'Cowlitz Pgs 22-23'!E49+'Garfield Pgs 24-25'!E49+'Grant Pgs 26-27'!E49+'Grays Harbor Pgs 28-29'!E49+'Island Pgs 30-31'!E49+'Jefferson Pgs 32-33'!E49+'Kitsap Pgs 34-35'!E49+'Kittitas Pgs 36-37'!E49+'Klickitat Pgs 38-39'!E49+'Lewis Pgs 40-41'!E49+'Lincoln Pgs 42-43'!E49+'Mason Pgs 44-45'!E49+'Northeast Tri Pgs 46-47'!E49+'Okanogan Pgs 48-49'!E49+'Pacific Pgs 50-51'!E49+'San Juan Pgs 52-53'!E49+'[1]seattle king'!E49+'Skagit Pgs 56-57'!E49+'Skamania Pgs 58-59'!E49+'Snohomish Pgs 60-61'!E49+'Spokane Pgs 62-63'!E49+'Tacoma-Pierce Pgs 64-65'!E49+'Thurston Pgs 66-67'!E49+'Wahkiakum Pgs 68-69'!E49+'Walla Walla Pgs 70-71'!E49+'Whatcom Pgs 72-73'!E49+'Whitman Pgs 74-75'!E49+'Yakima Pgs 76-77'!E49</f>
        <v>358917</v>
      </c>
      <c r="F49" s="108">
        <f>'Adams Pgs 8-9'!F49+'Asotin Pgs 10-11'!F49+'Benton-Franklin Pgs 12-13'!F49+'Chelan-Douglas Pgs 14-15'!F49+'Clallam Pgs 16-17'!F49+'Clark Pgs 18-19'!F49+'Columbia Pgs 20-21'!F49+'Cowlitz Pgs 22-23'!F49+'Garfield Pgs 24-25'!F49+'Grant Pgs 26-27'!F49+'Grays Harbor Pgs 28-29'!F49+'Island Pgs 30-31'!F49+'Jefferson Pgs 32-33'!F49+'Kitsap Pgs 34-35'!F49+'Kittitas Pgs 36-37'!F49+'Klickitat Pgs 38-39'!F49+'Lewis Pgs 40-41'!F49+'Lincoln Pgs 42-43'!F49+'Mason Pgs 44-45'!F49+'Northeast Tri Pgs 46-47'!F49+'Okanogan Pgs 48-49'!F49+'Pacific Pgs 50-51'!F49+'San Juan Pgs 52-53'!F49+'[1]seattle king'!F49+'Skagit Pgs 56-57'!F49+'Skamania Pgs 58-59'!F49+'Snohomish Pgs 60-61'!F49+'Spokane Pgs 62-63'!F49+'Tacoma-Pierce Pgs 64-65'!F49+'Thurston Pgs 66-67'!F49+'Wahkiakum Pgs 68-69'!F49+'Walla Walla Pgs 70-71'!F49+'Whatcom Pgs 72-73'!F49+'Whitman Pgs 74-75'!F49+'Yakima Pgs 76-77'!F49</f>
        <v>0</v>
      </c>
      <c r="G49" s="110">
        <f>'Adams Pgs 8-9'!G49+'Asotin Pgs 10-11'!G49+'Benton-Franklin Pgs 12-13'!G49+'Chelan-Douglas Pgs 14-15'!G49+'Clallam Pgs 16-17'!G49+'Clark Pgs 18-19'!G49+'Columbia Pgs 20-21'!G49+'Cowlitz Pgs 22-23'!G49+'Garfield Pgs 24-25'!G49+'Grant Pgs 26-27'!G49+'Grays Harbor Pgs 28-29'!G49+'Island Pgs 30-31'!G49+'Jefferson Pgs 32-33'!G49+'Kitsap Pgs 34-35'!G49+'Kittitas Pgs 36-37'!G49+'Klickitat Pgs 38-39'!G49+'Lewis Pgs 40-41'!G49+'Lincoln Pgs 42-43'!G49+'Mason Pgs 44-45'!G49+'Northeast Tri Pgs 46-47'!G49+'Okanogan Pgs 48-49'!G49+'Pacific Pgs 50-51'!G49+'San Juan Pgs 52-53'!G49+'[1]seattle king'!G49+'Skagit Pgs 56-57'!G49+'Skamania Pgs 58-59'!G49+'Snohomish Pgs 60-61'!G49+'Spokane Pgs 62-63'!G49+'Tacoma-Pierce Pgs 64-65'!G49+'Thurston Pgs 66-67'!G49+'Wahkiakum Pgs 68-69'!G49+'Walla Walla Pgs 70-71'!G49+'Whatcom Pgs 72-73'!G49+'Whitman Pgs 74-75'!G49+'Yakima Pgs 76-77'!G49</f>
        <v>115925</v>
      </c>
      <c r="H49" s="111">
        <f>'Adams Pgs 8-9'!H49+'Asotin Pgs 10-11'!H49+'Benton-Franklin Pgs 12-13'!H49+'Chelan-Douglas Pgs 14-15'!H49+'Clallam Pgs 16-17'!H49+'Clark Pgs 18-19'!H49+'Columbia Pgs 20-21'!H49+'Cowlitz Pgs 22-23'!H49+'Garfield Pgs 24-25'!H49+'Grant Pgs 26-27'!H49+'Grays Harbor Pgs 28-29'!H49+'Island Pgs 30-31'!H49+'Jefferson Pgs 32-33'!H49+'Kitsap Pgs 34-35'!H49+'Kittitas Pgs 36-37'!H49+'Klickitat Pgs 38-39'!H49+'Lewis Pgs 40-41'!H49+'Lincoln Pgs 42-43'!H49+'Mason Pgs 44-45'!H49+'Northeast Tri Pgs 46-47'!H49+'Okanogan Pgs 48-49'!H49+'Pacific Pgs 50-51'!H49+'San Juan Pgs 52-53'!H49+'[1]seattle king'!H49+'Skagit Pgs 56-57'!H49+'Skamania Pgs 58-59'!H49+'Snohomish Pgs 60-61'!H49+'Spokane Pgs 62-63'!H49+'Tacoma-Pierce Pgs 64-65'!H49+'Thurston Pgs 66-67'!H49+'Wahkiakum Pgs 68-69'!H49+'Walla Walla Pgs 70-71'!H49+'Whatcom Pgs 72-73'!H49+'Whitman Pgs 74-75'!H49+'Yakima Pgs 76-77'!H49</f>
        <v>10027</v>
      </c>
      <c r="I49" s="110">
        <f>'Adams Pgs 8-9'!I49+'Asotin Pgs 10-11'!I49+'Benton-Franklin Pgs 12-13'!I49+'Chelan-Douglas Pgs 14-15'!I49+'Clallam Pgs 16-17'!I49+'Clark Pgs 18-19'!I49+'Columbia Pgs 20-21'!I49+'Cowlitz Pgs 22-23'!I49+'Garfield Pgs 24-25'!I49+'Grant Pgs 26-27'!I49+'Grays Harbor Pgs 28-29'!I49+'Island Pgs 30-31'!I49+'Jefferson Pgs 32-33'!I49+'Kitsap Pgs 34-35'!I49+'Kittitas Pgs 36-37'!I49+'Klickitat Pgs 38-39'!I49+'Lewis Pgs 40-41'!I49+'Lincoln Pgs 42-43'!I49+'Mason Pgs 44-45'!I49+'Northeast Tri Pgs 46-47'!I49+'Okanogan Pgs 48-49'!I49+'Pacific Pgs 50-51'!I49+'San Juan Pgs 52-53'!I49+'[1]seattle king'!I49+'Skagit Pgs 56-57'!I49+'Skamania Pgs 58-59'!I49+'Snohomish Pgs 60-61'!I49+'Spokane Pgs 62-63'!I49+'Tacoma-Pierce Pgs 64-65'!I49+'Thurston Pgs 66-67'!I49+'Wahkiakum Pgs 68-69'!I49+'Walla Walla Pgs 70-71'!I49+'Whatcom Pgs 72-73'!I49+'Whitman Pgs 74-75'!I49+'Yakima Pgs 76-77'!I49</f>
        <v>325</v>
      </c>
      <c r="J49" s="112">
        <f>'Adams Pgs 8-9'!J49+'Asotin Pgs 10-11'!J49+'Benton-Franklin Pgs 12-13'!J49+'Chelan-Douglas Pgs 14-15'!J49+'Clallam Pgs 16-17'!J49+'Clark Pgs 18-19'!J49+'Columbia Pgs 20-21'!J49+'Cowlitz Pgs 22-23'!J49+'Garfield Pgs 24-25'!J49+'Grant Pgs 26-27'!J49+'Grays Harbor Pgs 28-29'!J49+'Island Pgs 30-31'!J49+'Jefferson Pgs 32-33'!J49+'Kitsap Pgs 34-35'!J49+'Kittitas Pgs 36-37'!J49+'Klickitat Pgs 38-39'!J49+'Lewis Pgs 40-41'!J49+'Lincoln Pgs 42-43'!J49+'Mason Pgs 44-45'!J49+'Northeast Tri Pgs 46-47'!J49+'Okanogan Pgs 48-49'!J49+'Pacific Pgs 50-51'!J49+'San Juan Pgs 52-53'!J49+'[1]seattle king'!J49+'Skagit Pgs 56-57'!J49+'Skamania Pgs 58-59'!J49+'Snohomish Pgs 60-61'!J49+'Spokane Pgs 62-63'!J49+'Tacoma-Pierce Pgs 64-65'!J49+'Thurston Pgs 66-67'!J49+'Wahkiakum Pgs 68-69'!J49+'Walla Walla Pgs 70-71'!J49+'Whatcom Pgs 72-73'!J49+'Whitman Pgs 74-75'!J49+'Yakima Pgs 76-77'!J49</f>
        <v>3833</v>
      </c>
      <c r="K49" s="142">
        <f t="shared" si="0"/>
        <v>512984</v>
      </c>
      <c r="L49"/>
    </row>
    <row r="50" spans="1:12" x14ac:dyDescent="0.35">
      <c r="A50" s="93">
        <v>555</v>
      </c>
      <c r="B50" s="16" t="s">
        <v>35</v>
      </c>
      <c r="C50" s="108">
        <f>'Adams Pgs 8-9'!C50+'Asotin Pgs 10-11'!C50+'Benton-Franklin Pgs 12-13'!C50+'Chelan-Douglas Pgs 14-15'!C50+'Clallam Pgs 16-17'!C50+'Clark Pgs 18-19'!C50+'Columbia Pgs 20-21'!C50+'Cowlitz Pgs 22-23'!C50+'Garfield Pgs 24-25'!C50+'Grant Pgs 26-27'!C50+'Grays Harbor Pgs 28-29'!C50+'Island Pgs 30-31'!C50+'Jefferson Pgs 32-33'!C50+'Kitsap Pgs 34-35'!C50+'Kittitas Pgs 36-37'!C50+'Klickitat Pgs 38-39'!C50+'Lewis Pgs 40-41'!C50+'Lincoln Pgs 42-43'!C50+'Mason Pgs 44-45'!C50+'Northeast Tri Pgs 46-47'!C50+'Okanogan Pgs 48-49'!C50+'Pacific Pgs 50-51'!C50+'San Juan Pgs 52-53'!C50+'[1]seattle king'!C50+'Skagit Pgs 56-57'!C50+'Skamania Pgs 58-59'!C50+'Snohomish Pgs 60-61'!C50+'Spokane Pgs 62-63'!C50+'Tacoma-Pierce Pgs 64-65'!C50+'Thurston Pgs 66-67'!C50+'Wahkiakum Pgs 68-69'!C50+'Walla Walla Pgs 70-71'!C50+'Whatcom Pgs 72-73'!C50+'Whitman Pgs 74-75'!C50+'Yakima Pgs 76-77'!C50</f>
        <v>0</v>
      </c>
      <c r="D50" s="109">
        <f>'Adams Pgs 8-9'!D50+'Asotin Pgs 10-11'!D50+'Benton-Franklin Pgs 12-13'!D50+'Chelan-Douglas Pgs 14-15'!D50+'Clallam Pgs 16-17'!D50+'Clark Pgs 18-19'!D50+'Columbia Pgs 20-21'!D50+'Cowlitz Pgs 22-23'!D50+'Garfield Pgs 24-25'!D50+'Grant Pgs 26-27'!D50+'Grays Harbor Pgs 28-29'!D50+'Island Pgs 30-31'!D50+'Jefferson Pgs 32-33'!D50+'Kitsap Pgs 34-35'!D50+'Kittitas Pgs 36-37'!D50+'Klickitat Pgs 38-39'!D50+'Lewis Pgs 40-41'!D50+'Lincoln Pgs 42-43'!D50+'Mason Pgs 44-45'!D50+'Northeast Tri Pgs 46-47'!D50+'Okanogan Pgs 48-49'!D50+'Pacific Pgs 50-51'!D50+'San Juan Pgs 52-53'!D50+'[1]seattle king'!D50+'Skagit Pgs 56-57'!D50+'Skamania Pgs 58-59'!D50+'Snohomish Pgs 60-61'!D50+'Spokane Pgs 62-63'!D50+'Tacoma-Pierce Pgs 64-65'!D50+'Thurston Pgs 66-67'!D50+'Wahkiakum Pgs 68-69'!D50+'Walla Walla Pgs 70-71'!D50+'Whatcom Pgs 72-73'!D50+'Whitman Pgs 74-75'!D50+'Yakima Pgs 76-77'!D50</f>
        <v>0</v>
      </c>
      <c r="E50" s="110">
        <f>'Adams Pgs 8-9'!E50+'Asotin Pgs 10-11'!E50+'Benton-Franklin Pgs 12-13'!E50+'Chelan-Douglas Pgs 14-15'!E50+'Clallam Pgs 16-17'!E50+'Clark Pgs 18-19'!E50+'Columbia Pgs 20-21'!E50+'Cowlitz Pgs 22-23'!E50+'Garfield Pgs 24-25'!E50+'Grant Pgs 26-27'!E50+'Grays Harbor Pgs 28-29'!E50+'Island Pgs 30-31'!E50+'Jefferson Pgs 32-33'!E50+'Kitsap Pgs 34-35'!E50+'Kittitas Pgs 36-37'!E50+'Klickitat Pgs 38-39'!E50+'Lewis Pgs 40-41'!E50+'Lincoln Pgs 42-43'!E50+'Mason Pgs 44-45'!E50+'Northeast Tri Pgs 46-47'!E50+'Okanogan Pgs 48-49'!E50+'Pacific Pgs 50-51'!E50+'San Juan Pgs 52-53'!E50+'[1]seattle king'!E50+'Skagit Pgs 56-57'!E50+'Skamania Pgs 58-59'!E50+'Snohomish Pgs 60-61'!E50+'Spokane Pgs 62-63'!E50+'Tacoma-Pierce Pgs 64-65'!E50+'Thurston Pgs 66-67'!E50+'Wahkiakum Pgs 68-69'!E50+'Walla Walla Pgs 70-71'!E50+'Whatcom Pgs 72-73'!E50+'Whitman Pgs 74-75'!E50+'Yakima Pgs 76-77'!E50</f>
        <v>175997</v>
      </c>
      <c r="F50" s="108">
        <f>'Adams Pgs 8-9'!F50+'Asotin Pgs 10-11'!F50+'Benton-Franklin Pgs 12-13'!F50+'Chelan-Douglas Pgs 14-15'!F50+'Clallam Pgs 16-17'!F50+'Clark Pgs 18-19'!F50+'Columbia Pgs 20-21'!F50+'Cowlitz Pgs 22-23'!F50+'Garfield Pgs 24-25'!F50+'Grant Pgs 26-27'!F50+'Grays Harbor Pgs 28-29'!F50+'Island Pgs 30-31'!F50+'Jefferson Pgs 32-33'!F50+'Kitsap Pgs 34-35'!F50+'Kittitas Pgs 36-37'!F50+'Klickitat Pgs 38-39'!F50+'Lewis Pgs 40-41'!F50+'Lincoln Pgs 42-43'!F50+'Mason Pgs 44-45'!F50+'Northeast Tri Pgs 46-47'!F50+'Okanogan Pgs 48-49'!F50+'Pacific Pgs 50-51'!F50+'San Juan Pgs 52-53'!F50+'[1]seattle king'!F50+'Skagit Pgs 56-57'!F50+'Skamania Pgs 58-59'!F50+'Snohomish Pgs 60-61'!F50+'Spokane Pgs 62-63'!F50+'Tacoma-Pierce Pgs 64-65'!F50+'Thurston Pgs 66-67'!F50+'Wahkiakum Pgs 68-69'!F50+'Walla Walla Pgs 70-71'!F50+'Whatcom Pgs 72-73'!F50+'Whitman Pgs 74-75'!F50+'Yakima Pgs 76-77'!F50</f>
        <v>0</v>
      </c>
      <c r="G50" s="110">
        <f>'Adams Pgs 8-9'!G50+'Asotin Pgs 10-11'!G50+'Benton-Franklin Pgs 12-13'!G50+'Chelan-Douglas Pgs 14-15'!G50+'Clallam Pgs 16-17'!G50+'Clark Pgs 18-19'!G50+'Columbia Pgs 20-21'!G50+'Cowlitz Pgs 22-23'!G50+'Garfield Pgs 24-25'!G50+'Grant Pgs 26-27'!G50+'Grays Harbor Pgs 28-29'!G50+'Island Pgs 30-31'!G50+'Jefferson Pgs 32-33'!G50+'Kitsap Pgs 34-35'!G50+'Kittitas Pgs 36-37'!G50+'Klickitat Pgs 38-39'!G50+'Lewis Pgs 40-41'!G50+'Lincoln Pgs 42-43'!G50+'Mason Pgs 44-45'!G50+'Northeast Tri Pgs 46-47'!G50+'Okanogan Pgs 48-49'!G50+'Pacific Pgs 50-51'!G50+'San Juan Pgs 52-53'!G50+'[1]seattle king'!G50+'Skagit Pgs 56-57'!G50+'Skamania Pgs 58-59'!G50+'Snohomish Pgs 60-61'!G50+'Spokane Pgs 62-63'!G50+'Tacoma-Pierce Pgs 64-65'!G50+'Thurston Pgs 66-67'!G50+'Wahkiakum Pgs 68-69'!G50+'Walla Walla Pgs 70-71'!G50+'Whatcom Pgs 72-73'!G50+'Whitman Pgs 74-75'!G50+'Yakima Pgs 76-77'!G50</f>
        <v>80975</v>
      </c>
      <c r="H50" s="111">
        <f>'Adams Pgs 8-9'!H50+'Asotin Pgs 10-11'!H50+'Benton-Franklin Pgs 12-13'!H50+'Chelan-Douglas Pgs 14-15'!H50+'Clallam Pgs 16-17'!H50+'Clark Pgs 18-19'!H50+'Columbia Pgs 20-21'!H50+'Cowlitz Pgs 22-23'!H50+'Garfield Pgs 24-25'!H50+'Grant Pgs 26-27'!H50+'Grays Harbor Pgs 28-29'!H50+'Island Pgs 30-31'!H50+'Jefferson Pgs 32-33'!H50+'Kitsap Pgs 34-35'!H50+'Kittitas Pgs 36-37'!H50+'Klickitat Pgs 38-39'!H50+'Lewis Pgs 40-41'!H50+'Lincoln Pgs 42-43'!H50+'Mason Pgs 44-45'!H50+'Northeast Tri Pgs 46-47'!H50+'Okanogan Pgs 48-49'!H50+'Pacific Pgs 50-51'!H50+'San Juan Pgs 52-53'!H50+'[1]seattle king'!H50+'Skagit Pgs 56-57'!H50+'Skamania Pgs 58-59'!H50+'Snohomish Pgs 60-61'!H50+'Spokane Pgs 62-63'!H50+'Tacoma-Pierce Pgs 64-65'!H50+'Thurston Pgs 66-67'!H50+'Wahkiakum Pgs 68-69'!H50+'Walla Walla Pgs 70-71'!H50+'Whatcom Pgs 72-73'!H50+'Whitman Pgs 74-75'!H50+'Yakima Pgs 76-77'!H50</f>
        <v>244042</v>
      </c>
      <c r="I50" s="110">
        <f>'Adams Pgs 8-9'!I50+'Asotin Pgs 10-11'!I50+'Benton-Franklin Pgs 12-13'!I50+'Chelan-Douglas Pgs 14-15'!I50+'Clallam Pgs 16-17'!I50+'Clark Pgs 18-19'!I50+'Columbia Pgs 20-21'!I50+'Cowlitz Pgs 22-23'!I50+'Garfield Pgs 24-25'!I50+'Grant Pgs 26-27'!I50+'Grays Harbor Pgs 28-29'!I50+'Island Pgs 30-31'!I50+'Jefferson Pgs 32-33'!I50+'Kitsap Pgs 34-35'!I50+'Kittitas Pgs 36-37'!I50+'Klickitat Pgs 38-39'!I50+'Lewis Pgs 40-41'!I50+'Lincoln Pgs 42-43'!I50+'Mason Pgs 44-45'!I50+'Northeast Tri Pgs 46-47'!I50+'Okanogan Pgs 48-49'!I50+'Pacific Pgs 50-51'!I50+'San Juan Pgs 52-53'!I50+'[1]seattle king'!I50+'Skagit Pgs 56-57'!I50+'Skamania Pgs 58-59'!I50+'Snohomish Pgs 60-61'!I50+'Spokane Pgs 62-63'!I50+'Tacoma-Pierce Pgs 64-65'!I50+'Thurston Pgs 66-67'!I50+'Wahkiakum Pgs 68-69'!I50+'Walla Walla Pgs 70-71'!I50+'Whatcom Pgs 72-73'!I50+'Whitman Pgs 74-75'!I50+'Yakima Pgs 76-77'!I50</f>
        <v>0</v>
      </c>
      <c r="J50" s="112">
        <f>'Adams Pgs 8-9'!J50+'Asotin Pgs 10-11'!J50+'Benton-Franklin Pgs 12-13'!J50+'Chelan-Douglas Pgs 14-15'!J50+'Clallam Pgs 16-17'!J50+'Clark Pgs 18-19'!J50+'Columbia Pgs 20-21'!J50+'Cowlitz Pgs 22-23'!J50+'Garfield Pgs 24-25'!J50+'Grant Pgs 26-27'!J50+'Grays Harbor Pgs 28-29'!J50+'Island Pgs 30-31'!J50+'Jefferson Pgs 32-33'!J50+'Kitsap Pgs 34-35'!J50+'Kittitas Pgs 36-37'!J50+'Klickitat Pgs 38-39'!J50+'Lewis Pgs 40-41'!J50+'Lincoln Pgs 42-43'!J50+'Mason Pgs 44-45'!J50+'Northeast Tri Pgs 46-47'!J50+'Okanogan Pgs 48-49'!J50+'Pacific Pgs 50-51'!J50+'San Juan Pgs 52-53'!J50+'[1]seattle king'!J50+'Skagit Pgs 56-57'!J50+'Skamania Pgs 58-59'!J50+'Snohomish Pgs 60-61'!J50+'Spokane Pgs 62-63'!J50+'Tacoma-Pierce Pgs 64-65'!J50+'Thurston Pgs 66-67'!J50+'Wahkiakum Pgs 68-69'!J50+'Walla Walla Pgs 70-71'!J50+'Whatcom Pgs 72-73'!J50+'Whitman Pgs 74-75'!J50+'Yakima Pgs 76-77'!J50</f>
        <v>0</v>
      </c>
      <c r="K50" s="142">
        <f t="shared" si="0"/>
        <v>501014</v>
      </c>
      <c r="L50"/>
    </row>
    <row r="51" spans="1:12" x14ac:dyDescent="0.35">
      <c r="A51" s="93">
        <v>563</v>
      </c>
      <c r="B51" s="16" t="s">
        <v>36</v>
      </c>
      <c r="C51" s="108">
        <f>'Adams Pgs 8-9'!C51+'Asotin Pgs 10-11'!C51+'Benton-Franklin Pgs 12-13'!C51+'Chelan-Douglas Pgs 14-15'!C51+'Clallam Pgs 16-17'!C51+'Clark Pgs 18-19'!C51+'Columbia Pgs 20-21'!C51+'Cowlitz Pgs 22-23'!C51+'Garfield Pgs 24-25'!C51+'Grant Pgs 26-27'!C51+'Grays Harbor Pgs 28-29'!C51+'Island Pgs 30-31'!C51+'Jefferson Pgs 32-33'!C51+'Kitsap Pgs 34-35'!C51+'Kittitas Pgs 36-37'!C51+'Klickitat Pgs 38-39'!C51+'Lewis Pgs 40-41'!C51+'Lincoln Pgs 42-43'!C51+'Mason Pgs 44-45'!C51+'Northeast Tri Pgs 46-47'!C51+'Okanogan Pgs 48-49'!C51+'Pacific Pgs 50-51'!C51+'San Juan Pgs 52-53'!C51+'[1]seattle king'!C51+'Skagit Pgs 56-57'!C51+'Skamania Pgs 58-59'!C51+'Snohomish Pgs 60-61'!C51+'Spokane Pgs 62-63'!C51+'Tacoma-Pierce Pgs 64-65'!C51+'Thurston Pgs 66-67'!C51+'Wahkiakum Pgs 68-69'!C51+'Walla Walla Pgs 70-71'!C51+'Whatcom Pgs 72-73'!C51+'Whitman Pgs 74-75'!C51+'Yakima Pgs 76-77'!C51</f>
        <v>0</v>
      </c>
      <c r="D51" s="109">
        <f>'Adams Pgs 8-9'!D51+'Asotin Pgs 10-11'!D51+'Benton-Franklin Pgs 12-13'!D51+'Chelan-Douglas Pgs 14-15'!D51+'Clallam Pgs 16-17'!D51+'Clark Pgs 18-19'!D51+'Columbia Pgs 20-21'!D51+'Cowlitz Pgs 22-23'!D51+'Garfield Pgs 24-25'!D51+'Grant Pgs 26-27'!D51+'Grays Harbor Pgs 28-29'!D51+'Island Pgs 30-31'!D51+'Jefferson Pgs 32-33'!D51+'Kitsap Pgs 34-35'!D51+'Kittitas Pgs 36-37'!D51+'Klickitat Pgs 38-39'!D51+'Lewis Pgs 40-41'!D51+'Lincoln Pgs 42-43'!D51+'Mason Pgs 44-45'!D51+'Northeast Tri Pgs 46-47'!D51+'Okanogan Pgs 48-49'!D51+'Pacific Pgs 50-51'!D51+'San Juan Pgs 52-53'!D51+'[1]seattle king'!D51+'Skagit Pgs 56-57'!D51+'Skamania Pgs 58-59'!D51+'Snohomish Pgs 60-61'!D51+'Spokane Pgs 62-63'!D51+'Tacoma-Pierce Pgs 64-65'!D51+'Thurston Pgs 66-67'!D51+'Wahkiakum Pgs 68-69'!D51+'Walla Walla Pgs 70-71'!D51+'Whatcom Pgs 72-73'!D51+'Whitman Pgs 74-75'!D51+'Yakima Pgs 76-77'!D51</f>
        <v>0</v>
      </c>
      <c r="E51" s="110">
        <f>'Adams Pgs 8-9'!E51+'Asotin Pgs 10-11'!E51+'Benton-Franklin Pgs 12-13'!E51+'Chelan-Douglas Pgs 14-15'!E51+'Clallam Pgs 16-17'!E51+'Clark Pgs 18-19'!E51+'Columbia Pgs 20-21'!E51+'Cowlitz Pgs 22-23'!E51+'Garfield Pgs 24-25'!E51+'Grant Pgs 26-27'!E51+'Grays Harbor Pgs 28-29'!E51+'Island Pgs 30-31'!E51+'Jefferson Pgs 32-33'!E51+'Kitsap Pgs 34-35'!E51+'Kittitas Pgs 36-37'!E51+'Klickitat Pgs 38-39'!E51+'Lewis Pgs 40-41'!E51+'Lincoln Pgs 42-43'!E51+'Mason Pgs 44-45'!E51+'Northeast Tri Pgs 46-47'!E51+'Okanogan Pgs 48-49'!E51+'Pacific Pgs 50-51'!E51+'San Juan Pgs 52-53'!E51+'[1]seattle king'!E51+'Skagit Pgs 56-57'!E51+'Skamania Pgs 58-59'!E51+'Snohomish Pgs 60-61'!E51+'Spokane Pgs 62-63'!E51+'Tacoma-Pierce Pgs 64-65'!E51+'Thurston Pgs 66-67'!E51+'Wahkiakum Pgs 68-69'!E51+'Walla Walla Pgs 70-71'!E51+'Whatcom Pgs 72-73'!E51+'Whitman Pgs 74-75'!E51+'Yakima Pgs 76-77'!E51</f>
        <v>310683</v>
      </c>
      <c r="F51" s="108">
        <f>'Adams Pgs 8-9'!F51+'Asotin Pgs 10-11'!F51+'Benton-Franklin Pgs 12-13'!F51+'Chelan-Douglas Pgs 14-15'!F51+'Clallam Pgs 16-17'!F51+'Clark Pgs 18-19'!F51+'Columbia Pgs 20-21'!F51+'Cowlitz Pgs 22-23'!F51+'Garfield Pgs 24-25'!F51+'Grant Pgs 26-27'!F51+'Grays Harbor Pgs 28-29'!F51+'Island Pgs 30-31'!F51+'Jefferson Pgs 32-33'!F51+'Kitsap Pgs 34-35'!F51+'Kittitas Pgs 36-37'!F51+'Klickitat Pgs 38-39'!F51+'Lewis Pgs 40-41'!F51+'Lincoln Pgs 42-43'!F51+'Mason Pgs 44-45'!F51+'Northeast Tri Pgs 46-47'!F51+'Okanogan Pgs 48-49'!F51+'Pacific Pgs 50-51'!F51+'San Juan Pgs 52-53'!F51+'[1]seattle king'!F51+'Skagit Pgs 56-57'!F51+'Skamania Pgs 58-59'!F51+'Snohomish Pgs 60-61'!F51+'Spokane Pgs 62-63'!F51+'Tacoma-Pierce Pgs 64-65'!F51+'Thurston Pgs 66-67'!F51+'Wahkiakum Pgs 68-69'!F51+'Walla Walla Pgs 70-71'!F51+'Whatcom Pgs 72-73'!F51+'Whitman Pgs 74-75'!F51+'Yakima Pgs 76-77'!F51</f>
        <v>0</v>
      </c>
      <c r="G51" s="110">
        <f>'Adams Pgs 8-9'!G51+'Asotin Pgs 10-11'!G51+'Benton-Franklin Pgs 12-13'!G51+'Chelan-Douglas Pgs 14-15'!G51+'Clallam Pgs 16-17'!G51+'Clark Pgs 18-19'!G51+'Columbia Pgs 20-21'!G51+'Cowlitz Pgs 22-23'!G51+'Garfield Pgs 24-25'!G51+'Grant Pgs 26-27'!G51+'Grays Harbor Pgs 28-29'!G51+'Island Pgs 30-31'!G51+'Jefferson Pgs 32-33'!G51+'Kitsap Pgs 34-35'!G51+'Kittitas Pgs 36-37'!G51+'Klickitat Pgs 38-39'!G51+'Lewis Pgs 40-41'!G51+'Lincoln Pgs 42-43'!G51+'Mason Pgs 44-45'!G51+'Northeast Tri Pgs 46-47'!G51+'Okanogan Pgs 48-49'!G51+'Pacific Pgs 50-51'!G51+'San Juan Pgs 52-53'!G51+'[1]seattle king'!G51+'Skagit Pgs 56-57'!G51+'Skamania Pgs 58-59'!G51+'Snohomish Pgs 60-61'!G51+'Spokane Pgs 62-63'!G51+'Tacoma-Pierce Pgs 64-65'!G51+'Thurston Pgs 66-67'!G51+'Wahkiakum Pgs 68-69'!G51+'Walla Walla Pgs 70-71'!G51+'Whatcom Pgs 72-73'!G51+'Whitman Pgs 74-75'!G51+'Yakima Pgs 76-77'!G51</f>
        <v>0</v>
      </c>
      <c r="H51" s="111">
        <f>'Adams Pgs 8-9'!H51+'Asotin Pgs 10-11'!H51+'Benton-Franklin Pgs 12-13'!H51+'Chelan-Douglas Pgs 14-15'!H51+'Clallam Pgs 16-17'!H51+'Clark Pgs 18-19'!H51+'Columbia Pgs 20-21'!H51+'Cowlitz Pgs 22-23'!H51+'Garfield Pgs 24-25'!H51+'Grant Pgs 26-27'!H51+'Grays Harbor Pgs 28-29'!H51+'Island Pgs 30-31'!H51+'Jefferson Pgs 32-33'!H51+'Kitsap Pgs 34-35'!H51+'Kittitas Pgs 36-37'!H51+'Klickitat Pgs 38-39'!H51+'Lewis Pgs 40-41'!H51+'Lincoln Pgs 42-43'!H51+'Mason Pgs 44-45'!H51+'Northeast Tri Pgs 46-47'!H51+'Okanogan Pgs 48-49'!H51+'Pacific Pgs 50-51'!H51+'San Juan Pgs 52-53'!H51+'[1]seattle king'!H51+'Skagit Pgs 56-57'!H51+'Skamania Pgs 58-59'!H51+'Snohomish Pgs 60-61'!H51+'Spokane Pgs 62-63'!H51+'Tacoma-Pierce Pgs 64-65'!H51+'Thurston Pgs 66-67'!H51+'Wahkiakum Pgs 68-69'!H51+'Walla Walla Pgs 70-71'!H51+'Whatcom Pgs 72-73'!H51+'Whitman Pgs 74-75'!H51+'Yakima Pgs 76-77'!H51</f>
        <v>4115411</v>
      </c>
      <c r="I51" s="110">
        <f>'Adams Pgs 8-9'!I51+'Asotin Pgs 10-11'!I51+'Benton-Franklin Pgs 12-13'!I51+'Chelan-Douglas Pgs 14-15'!I51+'Clallam Pgs 16-17'!I51+'Clark Pgs 18-19'!I51+'Columbia Pgs 20-21'!I51+'Cowlitz Pgs 22-23'!I51+'Garfield Pgs 24-25'!I51+'Grant Pgs 26-27'!I51+'Grays Harbor Pgs 28-29'!I51+'Island Pgs 30-31'!I51+'Jefferson Pgs 32-33'!I51+'Kitsap Pgs 34-35'!I51+'Kittitas Pgs 36-37'!I51+'Klickitat Pgs 38-39'!I51+'Lewis Pgs 40-41'!I51+'Lincoln Pgs 42-43'!I51+'Mason Pgs 44-45'!I51+'Northeast Tri Pgs 46-47'!I51+'Okanogan Pgs 48-49'!I51+'Pacific Pgs 50-51'!I51+'San Juan Pgs 52-53'!I51+'[1]seattle king'!I51+'Skagit Pgs 56-57'!I51+'Skamania Pgs 58-59'!I51+'Snohomish Pgs 60-61'!I51+'Spokane Pgs 62-63'!I51+'Tacoma-Pierce Pgs 64-65'!I51+'Thurston Pgs 66-67'!I51+'Wahkiakum Pgs 68-69'!I51+'Walla Walla Pgs 70-71'!I51+'Whatcom Pgs 72-73'!I51+'Whitman Pgs 74-75'!I51+'Yakima Pgs 76-77'!I51</f>
        <v>923379</v>
      </c>
      <c r="J51" s="112">
        <f>'Adams Pgs 8-9'!J51+'Asotin Pgs 10-11'!J51+'Benton-Franklin Pgs 12-13'!J51+'Chelan-Douglas Pgs 14-15'!J51+'Clallam Pgs 16-17'!J51+'Clark Pgs 18-19'!J51+'Columbia Pgs 20-21'!J51+'Cowlitz Pgs 22-23'!J51+'Garfield Pgs 24-25'!J51+'Grant Pgs 26-27'!J51+'Grays Harbor Pgs 28-29'!J51+'Island Pgs 30-31'!J51+'Jefferson Pgs 32-33'!J51+'Kitsap Pgs 34-35'!J51+'Kittitas Pgs 36-37'!J51+'Klickitat Pgs 38-39'!J51+'Lewis Pgs 40-41'!J51+'Lincoln Pgs 42-43'!J51+'Mason Pgs 44-45'!J51+'Northeast Tri Pgs 46-47'!J51+'Okanogan Pgs 48-49'!J51+'Pacific Pgs 50-51'!J51+'San Juan Pgs 52-53'!J51+'[1]seattle king'!J51+'Skagit Pgs 56-57'!J51+'Skamania Pgs 58-59'!J51+'Snohomish Pgs 60-61'!J51+'Spokane Pgs 62-63'!J51+'Tacoma-Pierce Pgs 64-65'!J51+'Thurston Pgs 66-67'!J51+'Wahkiakum Pgs 68-69'!J51+'Walla Walla Pgs 70-71'!J51+'Whatcom Pgs 72-73'!J51+'Whitman Pgs 74-75'!J51+'Yakima Pgs 76-77'!J51</f>
        <v>-10</v>
      </c>
      <c r="K51" s="142">
        <f t="shared" si="0"/>
        <v>5349463</v>
      </c>
      <c r="L51"/>
    </row>
    <row r="52" spans="1:12" x14ac:dyDescent="0.35">
      <c r="A52" s="93">
        <v>564</v>
      </c>
      <c r="B52" s="16" t="s">
        <v>37</v>
      </c>
      <c r="C52" s="108">
        <f>'Adams Pgs 8-9'!C52+'Asotin Pgs 10-11'!C52+'Benton-Franklin Pgs 12-13'!C52+'Chelan-Douglas Pgs 14-15'!C52+'Clallam Pgs 16-17'!C52+'Clark Pgs 18-19'!C52+'Columbia Pgs 20-21'!C52+'Cowlitz Pgs 22-23'!C52+'Garfield Pgs 24-25'!C52+'Grant Pgs 26-27'!C52+'Grays Harbor Pgs 28-29'!C52+'Island Pgs 30-31'!C52+'Jefferson Pgs 32-33'!C52+'Kitsap Pgs 34-35'!C52+'Kittitas Pgs 36-37'!C52+'Klickitat Pgs 38-39'!C52+'Lewis Pgs 40-41'!C52+'Lincoln Pgs 42-43'!C52+'Mason Pgs 44-45'!C52+'Northeast Tri Pgs 46-47'!C52+'Okanogan Pgs 48-49'!C52+'Pacific Pgs 50-51'!C52+'San Juan Pgs 52-53'!C52+'[1]seattle king'!C52+'Skagit Pgs 56-57'!C52+'Skamania Pgs 58-59'!C52+'Snohomish Pgs 60-61'!C52+'Spokane Pgs 62-63'!C52+'Tacoma-Pierce Pgs 64-65'!C52+'Thurston Pgs 66-67'!C52+'Wahkiakum Pgs 68-69'!C52+'Walla Walla Pgs 70-71'!C52+'Whatcom Pgs 72-73'!C52+'Whitman Pgs 74-75'!C52+'Yakima Pgs 76-77'!C52</f>
        <v>0</v>
      </c>
      <c r="D52" s="109">
        <f>'Adams Pgs 8-9'!D52+'Asotin Pgs 10-11'!D52+'Benton-Franklin Pgs 12-13'!D52+'Chelan-Douglas Pgs 14-15'!D52+'Clallam Pgs 16-17'!D52+'Clark Pgs 18-19'!D52+'Columbia Pgs 20-21'!D52+'Cowlitz Pgs 22-23'!D52+'Garfield Pgs 24-25'!D52+'Grant Pgs 26-27'!D52+'Grays Harbor Pgs 28-29'!D52+'Island Pgs 30-31'!D52+'Jefferson Pgs 32-33'!D52+'Kitsap Pgs 34-35'!D52+'Kittitas Pgs 36-37'!D52+'Klickitat Pgs 38-39'!D52+'Lewis Pgs 40-41'!D52+'Lincoln Pgs 42-43'!D52+'Mason Pgs 44-45'!D52+'Northeast Tri Pgs 46-47'!D52+'Okanogan Pgs 48-49'!D52+'Pacific Pgs 50-51'!D52+'San Juan Pgs 52-53'!D52+'[1]seattle king'!D52+'Skagit Pgs 56-57'!D52+'Skamania Pgs 58-59'!D52+'Snohomish Pgs 60-61'!D52+'Spokane Pgs 62-63'!D52+'Tacoma-Pierce Pgs 64-65'!D52+'Thurston Pgs 66-67'!D52+'Wahkiakum Pgs 68-69'!D52+'Walla Walla Pgs 70-71'!D52+'Whatcom Pgs 72-73'!D52+'Whitman Pgs 74-75'!D52+'Yakima Pgs 76-77'!D52</f>
        <v>0</v>
      </c>
      <c r="E52" s="110">
        <f>'Adams Pgs 8-9'!E52+'Asotin Pgs 10-11'!E52+'Benton-Franklin Pgs 12-13'!E52+'Chelan-Douglas Pgs 14-15'!E52+'Clallam Pgs 16-17'!E52+'Clark Pgs 18-19'!E52+'Columbia Pgs 20-21'!E52+'Cowlitz Pgs 22-23'!E52+'Garfield Pgs 24-25'!E52+'Grant Pgs 26-27'!E52+'Grays Harbor Pgs 28-29'!E52+'Island Pgs 30-31'!E52+'Jefferson Pgs 32-33'!E52+'Kitsap Pgs 34-35'!E52+'Kittitas Pgs 36-37'!E52+'Klickitat Pgs 38-39'!E52+'Lewis Pgs 40-41'!E52+'Lincoln Pgs 42-43'!E52+'Mason Pgs 44-45'!E52+'Northeast Tri Pgs 46-47'!E52+'Okanogan Pgs 48-49'!E52+'Pacific Pgs 50-51'!E52+'San Juan Pgs 52-53'!E52+'[1]seattle king'!E52+'Skagit Pgs 56-57'!E52+'Skamania Pgs 58-59'!E52+'Snohomish Pgs 60-61'!E52+'Spokane Pgs 62-63'!E52+'Tacoma-Pierce Pgs 64-65'!E52+'Thurston Pgs 66-67'!E52+'Wahkiakum Pgs 68-69'!E52+'Walla Walla Pgs 70-71'!E52+'Whatcom Pgs 72-73'!E52+'Whitman Pgs 74-75'!E52+'Yakima Pgs 76-77'!E52</f>
        <v>100469</v>
      </c>
      <c r="F52" s="108">
        <f>'Adams Pgs 8-9'!F52+'Asotin Pgs 10-11'!F52+'Benton-Franklin Pgs 12-13'!F52+'Chelan-Douglas Pgs 14-15'!F52+'Clallam Pgs 16-17'!F52+'Clark Pgs 18-19'!F52+'Columbia Pgs 20-21'!F52+'Cowlitz Pgs 22-23'!F52+'Garfield Pgs 24-25'!F52+'Grant Pgs 26-27'!F52+'Grays Harbor Pgs 28-29'!F52+'Island Pgs 30-31'!F52+'Jefferson Pgs 32-33'!F52+'Kitsap Pgs 34-35'!F52+'Kittitas Pgs 36-37'!F52+'Klickitat Pgs 38-39'!F52+'Lewis Pgs 40-41'!F52+'Lincoln Pgs 42-43'!F52+'Mason Pgs 44-45'!F52+'Northeast Tri Pgs 46-47'!F52+'Okanogan Pgs 48-49'!F52+'Pacific Pgs 50-51'!F52+'San Juan Pgs 52-53'!F52+'[1]seattle king'!F52+'Skagit Pgs 56-57'!F52+'Skamania Pgs 58-59'!F52+'Snohomish Pgs 60-61'!F52+'Spokane Pgs 62-63'!F52+'Tacoma-Pierce Pgs 64-65'!F52+'Thurston Pgs 66-67'!F52+'Wahkiakum Pgs 68-69'!F52+'Walla Walla Pgs 70-71'!F52+'Whatcom Pgs 72-73'!F52+'Whitman Pgs 74-75'!F52+'Yakima Pgs 76-77'!F52</f>
        <v>0</v>
      </c>
      <c r="G52" s="110">
        <f>'Adams Pgs 8-9'!G52+'Asotin Pgs 10-11'!G52+'Benton-Franklin Pgs 12-13'!G52+'Chelan-Douglas Pgs 14-15'!G52+'Clallam Pgs 16-17'!G52+'Clark Pgs 18-19'!G52+'Columbia Pgs 20-21'!G52+'Cowlitz Pgs 22-23'!G52+'Garfield Pgs 24-25'!G52+'Grant Pgs 26-27'!G52+'Grays Harbor Pgs 28-29'!G52+'Island Pgs 30-31'!G52+'Jefferson Pgs 32-33'!G52+'Kitsap Pgs 34-35'!G52+'Kittitas Pgs 36-37'!G52+'Klickitat Pgs 38-39'!G52+'Lewis Pgs 40-41'!G52+'Lincoln Pgs 42-43'!G52+'Mason Pgs 44-45'!G52+'Northeast Tri Pgs 46-47'!G52+'Okanogan Pgs 48-49'!G52+'Pacific Pgs 50-51'!G52+'San Juan Pgs 52-53'!G52+'[1]seattle king'!G52+'Skagit Pgs 56-57'!G52+'Skamania Pgs 58-59'!G52+'Snohomish Pgs 60-61'!G52+'Spokane Pgs 62-63'!G52+'Tacoma-Pierce Pgs 64-65'!G52+'Thurston Pgs 66-67'!G52+'Wahkiakum Pgs 68-69'!G52+'Walla Walla Pgs 70-71'!G52+'Whatcom Pgs 72-73'!G52+'Whitman Pgs 74-75'!G52+'Yakima Pgs 76-77'!G52</f>
        <v>805</v>
      </c>
      <c r="H52" s="111">
        <f>'Adams Pgs 8-9'!H52+'Asotin Pgs 10-11'!H52+'Benton-Franklin Pgs 12-13'!H52+'Chelan-Douglas Pgs 14-15'!H52+'Clallam Pgs 16-17'!H52+'Clark Pgs 18-19'!H52+'Columbia Pgs 20-21'!H52+'Cowlitz Pgs 22-23'!H52+'Garfield Pgs 24-25'!H52+'Grant Pgs 26-27'!H52+'Grays Harbor Pgs 28-29'!H52+'Island Pgs 30-31'!H52+'Jefferson Pgs 32-33'!H52+'Kitsap Pgs 34-35'!H52+'Kittitas Pgs 36-37'!H52+'Klickitat Pgs 38-39'!H52+'Lewis Pgs 40-41'!H52+'Lincoln Pgs 42-43'!H52+'Mason Pgs 44-45'!H52+'Northeast Tri Pgs 46-47'!H52+'Okanogan Pgs 48-49'!H52+'Pacific Pgs 50-51'!H52+'San Juan Pgs 52-53'!H52+'[1]seattle king'!H52+'Skagit Pgs 56-57'!H52+'Skamania Pgs 58-59'!H52+'Snohomish Pgs 60-61'!H52+'Spokane Pgs 62-63'!H52+'Tacoma-Pierce Pgs 64-65'!H52+'Thurston Pgs 66-67'!H52+'Wahkiakum Pgs 68-69'!H52+'Walla Walla Pgs 70-71'!H52+'Whatcom Pgs 72-73'!H52+'Whitman Pgs 74-75'!H52+'Yakima Pgs 76-77'!H52</f>
        <v>3433284</v>
      </c>
      <c r="I52" s="110">
        <f>'Adams Pgs 8-9'!I52+'Asotin Pgs 10-11'!I52+'Benton-Franklin Pgs 12-13'!I52+'Chelan-Douglas Pgs 14-15'!I52+'Clallam Pgs 16-17'!I52+'Clark Pgs 18-19'!I52+'Columbia Pgs 20-21'!I52+'Cowlitz Pgs 22-23'!I52+'Garfield Pgs 24-25'!I52+'Grant Pgs 26-27'!I52+'Grays Harbor Pgs 28-29'!I52+'Island Pgs 30-31'!I52+'Jefferson Pgs 32-33'!I52+'Kitsap Pgs 34-35'!I52+'Kittitas Pgs 36-37'!I52+'Klickitat Pgs 38-39'!I52+'Lewis Pgs 40-41'!I52+'Lincoln Pgs 42-43'!I52+'Mason Pgs 44-45'!I52+'Northeast Tri Pgs 46-47'!I52+'Okanogan Pgs 48-49'!I52+'Pacific Pgs 50-51'!I52+'San Juan Pgs 52-53'!I52+'[1]seattle king'!I52+'Skagit Pgs 56-57'!I52+'Skamania Pgs 58-59'!I52+'Snohomish Pgs 60-61'!I52+'Spokane Pgs 62-63'!I52+'Tacoma-Pierce Pgs 64-65'!I52+'Thurston Pgs 66-67'!I52+'Wahkiakum Pgs 68-69'!I52+'Walla Walla Pgs 70-71'!I52+'Whatcom Pgs 72-73'!I52+'Whitman Pgs 74-75'!I52+'Yakima Pgs 76-77'!I52</f>
        <v>1316155</v>
      </c>
      <c r="J52" s="112">
        <f>'Adams Pgs 8-9'!J52+'Asotin Pgs 10-11'!J52+'Benton-Franklin Pgs 12-13'!J52+'Chelan-Douglas Pgs 14-15'!J52+'Clallam Pgs 16-17'!J52+'Clark Pgs 18-19'!J52+'Columbia Pgs 20-21'!J52+'Cowlitz Pgs 22-23'!J52+'Garfield Pgs 24-25'!J52+'Grant Pgs 26-27'!J52+'Grays Harbor Pgs 28-29'!J52+'Island Pgs 30-31'!J52+'Jefferson Pgs 32-33'!J52+'Kitsap Pgs 34-35'!J52+'Kittitas Pgs 36-37'!J52+'Klickitat Pgs 38-39'!J52+'Lewis Pgs 40-41'!J52+'Lincoln Pgs 42-43'!J52+'Mason Pgs 44-45'!J52+'Northeast Tri Pgs 46-47'!J52+'Okanogan Pgs 48-49'!J52+'Pacific Pgs 50-51'!J52+'San Juan Pgs 52-53'!J52+'[1]seattle king'!J52+'Skagit Pgs 56-57'!J52+'Skamania Pgs 58-59'!J52+'Snohomish Pgs 60-61'!J52+'Spokane Pgs 62-63'!J52+'Tacoma-Pierce Pgs 64-65'!J52+'Thurston Pgs 66-67'!J52+'Wahkiakum Pgs 68-69'!J52+'Walla Walla Pgs 70-71'!J52+'Whatcom Pgs 72-73'!J52+'Whitman Pgs 74-75'!J52+'Yakima Pgs 76-77'!J52</f>
        <v>126310</v>
      </c>
      <c r="K52" s="142">
        <f t="shared" si="0"/>
        <v>4977023</v>
      </c>
      <c r="L52"/>
    </row>
    <row r="53" spans="1:12" x14ac:dyDescent="0.35">
      <c r="A53" s="93">
        <v>566</v>
      </c>
      <c r="B53" s="16" t="s">
        <v>38</v>
      </c>
      <c r="C53" s="108">
        <f>'Adams Pgs 8-9'!C53+'Asotin Pgs 10-11'!C53+'Benton-Franklin Pgs 12-13'!C53+'Chelan-Douglas Pgs 14-15'!C53+'Clallam Pgs 16-17'!C53+'Clark Pgs 18-19'!C53+'Columbia Pgs 20-21'!C53+'Cowlitz Pgs 22-23'!C53+'Garfield Pgs 24-25'!C53+'Grant Pgs 26-27'!C53+'Grays Harbor Pgs 28-29'!C53+'Island Pgs 30-31'!C53+'Jefferson Pgs 32-33'!C53+'Kitsap Pgs 34-35'!C53+'Kittitas Pgs 36-37'!C53+'Klickitat Pgs 38-39'!C53+'Lewis Pgs 40-41'!C53+'Lincoln Pgs 42-43'!C53+'Mason Pgs 44-45'!C53+'Northeast Tri Pgs 46-47'!C53+'Okanogan Pgs 48-49'!C53+'Pacific Pgs 50-51'!C53+'San Juan Pgs 52-53'!C53+'[1]seattle king'!C53+'Skagit Pgs 56-57'!C53+'Skamania Pgs 58-59'!C53+'Snohomish Pgs 60-61'!C53+'Spokane Pgs 62-63'!C53+'Tacoma-Pierce Pgs 64-65'!C53+'Thurston Pgs 66-67'!C53+'Wahkiakum Pgs 68-69'!C53+'Walla Walla Pgs 70-71'!C53+'Whatcom Pgs 72-73'!C53+'Whitman Pgs 74-75'!C53+'Yakima Pgs 76-77'!C53</f>
        <v>0</v>
      </c>
      <c r="D53" s="109">
        <f>'Adams Pgs 8-9'!D53+'Asotin Pgs 10-11'!D53+'Benton-Franklin Pgs 12-13'!D53+'Chelan-Douglas Pgs 14-15'!D53+'Clallam Pgs 16-17'!D53+'Clark Pgs 18-19'!D53+'Columbia Pgs 20-21'!D53+'Cowlitz Pgs 22-23'!D53+'Garfield Pgs 24-25'!D53+'Grant Pgs 26-27'!D53+'Grays Harbor Pgs 28-29'!D53+'Island Pgs 30-31'!D53+'Jefferson Pgs 32-33'!D53+'Kitsap Pgs 34-35'!D53+'Kittitas Pgs 36-37'!D53+'Klickitat Pgs 38-39'!D53+'Lewis Pgs 40-41'!D53+'Lincoln Pgs 42-43'!D53+'Mason Pgs 44-45'!D53+'Northeast Tri Pgs 46-47'!D53+'Okanogan Pgs 48-49'!D53+'Pacific Pgs 50-51'!D53+'San Juan Pgs 52-53'!D53+'[1]seattle king'!D53+'Skagit Pgs 56-57'!D53+'Skamania Pgs 58-59'!D53+'Snohomish Pgs 60-61'!D53+'Spokane Pgs 62-63'!D53+'Tacoma-Pierce Pgs 64-65'!D53+'Thurston Pgs 66-67'!D53+'Wahkiakum Pgs 68-69'!D53+'Walla Walla Pgs 70-71'!D53+'Whatcom Pgs 72-73'!D53+'Whitman Pgs 74-75'!D53+'Yakima Pgs 76-77'!D53</f>
        <v>105168</v>
      </c>
      <c r="E53" s="110">
        <f>'Adams Pgs 8-9'!E53+'Asotin Pgs 10-11'!E53+'Benton-Franklin Pgs 12-13'!E53+'Chelan-Douglas Pgs 14-15'!E53+'Clallam Pgs 16-17'!E53+'Clark Pgs 18-19'!E53+'Columbia Pgs 20-21'!E53+'Cowlitz Pgs 22-23'!E53+'Garfield Pgs 24-25'!E53+'Grant Pgs 26-27'!E53+'Grays Harbor Pgs 28-29'!E53+'Island Pgs 30-31'!E53+'Jefferson Pgs 32-33'!E53+'Kitsap Pgs 34-35'!E53+'Kittitas Pgs 36-37'!E53+'Klickitat Pgs 38-39'!E53+'Lewis Pgs 40-41'!E53+'Lincoln Pgs 42-43'!E53+'Mason Pgs 44-45'!E53+'Northeast Tri Pgs 46-47'!E53+'Okanogan Pgs 48-49'!E53+'Pacific Pgs 50-51'!E53+'San Juan Pgs 52-53'!E53+'[1]seattle king'!E53+'Skagit Pgs 56-57'!E53+'Skamania Pgs 58-59'!E53+'Snohomish Pgs 60-61'!E53+'Spokane Pgs 62-63'!E53+'Tacoma-Pierce Pgs 64-65'!E53+'Thurston Pgs 66-67'!E53+'Wahkiakum Pgs 68-69'!E53+'Walla Walla Pgs 70-71'!E53+'Whatcom Pgs 72-73'!E53+'Whitman Pgs 74-75'!E53+'Yakima Pgs 76-77'!E53</f>
        <v>1279344</v>
      </c>
      <c r="F53" s="108">
        <f>'Adams Pgs 8-9'!F53+'Asotin Pgs 10-11'!F53+'Benton-Franklin Pgs 12-13'!F53+'Chelan-Douglas Pgs 14-15'!F53+'Clallam Pgs 16-17'!F53+'Clark Pgs 18-19'!F53+'Columbia Pgs 20-21'!F53+'Cowlitz Pgs 22-23'!F53+'Garfield Pgs 24-25'!F53+'Grant Pgs 26-27'!F53+'Grays Harbor Pgs 28-29'!F53+'Island Pgs 30-31'!F53+'Jefferson Pgs 32-33'!F53+'Kitsap Pgs 34-35'!F53+'Kittitas Pgs 36-37'!F53+'Klickitat Pgs 38-39'!F53+'Lewis Pgs 40-41'!F53+'Lincoln Pgs 42-43'!F53+'Mason Pgs 44-45'!F53+'Northeast Tri Pgs 46-47'!F53+'Okanogan Pgs 48-49'!F53+'Pacific Pgs 50-51'!F53+'San Juan Pgs 52-53'!F53+'[1]seattle king'!F53+'Skagit Pgs 56-57'!F53+'Skamania Pgs 58-59'!F53+'Snohomish Pgs 60-61'!F53+'Spokane Pgs 62-63'!F53+'Tacoma-Pierce Pgs 64-65'!F53+'Thurston Pgs 66-67'!F53+'Wahkiakum Pgs 68-69'!F53+'Walla Walla Pgs 70-71'!F53+'Whatcom Pgs 72-73'!F53+'Whitman Pgs 74-75'!F53+'Yakima Pgs 76-77'!F53</f>
        <v>0</v>
      </c>
      <c r="G53" s="110">
        <f>'Adams Pgs 8-9'!G53+'Asotin Pgs 10-11'!G53+'Benton-Franklin Pgs 12-13'!G53+'Chelan-Douglas Pgs 14-15'!G53+'Clallam Pgs 16-17'!G53+'Clark Pgs 18-19'!G53+'Columbia Pgs 20-21'!G53+'Cowlitz Pgs 22-23'!G53+'Garfield Pgs 24-25'!G53+'Grant Pgs 26-27'!G53+'Grays Harbor Pgs 28-29'!G53+'Island Pgs 30-31'!G53+'Jefferson Pgs 32-33'!G53+'Kitsap Pgs 34-35'!G53+'Kittitas Pgs 36-37'!G53+'Klickitat Pgs 38-39'!G53+'Lewis Pgs 40-41'!G53+'Lincoln Pgs 42-43'!G53+'Mason Pgs 44-45'!G53+'Northeast Tri Pgs 46-47'!G53+'Okanogan Pgs 48-49'!G53+'Pacific Pgs 50-51'!G53+'San Juan Pgs 52-53'!G53+'[1]seattle king'!G53+'Skagit Pgs 56-57'!G53+'Skamania Pgs 58-59'!G53+'Snohomish Pgs 60-61'!G53+'Spokane Pgs 62-63'!G53+'Tacoma-Pierce Pgs 64-65'!G53+'Thurston Pgs 66-67'!G53+'Wahkiakum Pgs 68-69'!G53+'Walla Walla Pgs 70-71'!G53+'Whatcom Pgs 72-73'!G53+'Whitman Pgs 74-75'!G53+'Yakima Pgs 76-77'!G53</f>
        <v>930103</v>
      </c>
      <c r="H53" s="111">
        <f>'Adams Pgs 8-9'!H53+'Asotin Pgs 10-11'!H53+'Benton-Franklin Pgs 12-13'!H53+'Chelan-Douglas Pgs 14-15'!H53+'Clallam Pgs 16-17'!H53+'Clark Pgs 18-19'!H53+'Columbia Pgs 20-21'!H53+'Cowlitz Pgs 22-23'!H53+'Garfield Pgs 24-25'!H53+'Grant Pgs 26-27'!H53+'Grays Harbor Pgs 28-29'!H53+'Island Pgs 30-31'!H53+'Jefferson Pgs 32-33'!H53+'Kitsap Pgs 34-35'!H53+'Kittitas Pgs 36-37'!H53+'Klickitat Pgs 38-39'!H53+'Lewis Pgs 40-41'!H53+'Lincoln Pgs 42-43'!H53+'Mason Pgs 44-45'!H53+'Northeast Tri Pgs 46-47'!H53+'Okanogan Pgs 48-49'!H53+'Pacific Pgs 50-51'!H53+'San Juan Pgs 52-53'!H53+'[1]seattle king'!H53+'Skagit Pgs 56-57'!H53+'Skamania Pgs 58-59'!H53+'Snohomish Pgs 60-61'!H53+'Spokane Pgs 62-63'!H53+'Tacoma-Pierce Pgs 64-65'!H53+'Thurston Pgs 66-67'!H53+'Wahkiakum Pgs 68-69'!H53+'Walla Walla Pgs 70-71'!H53+'Whatcom Pgs 72-73'!H53+'Whitman Pgs 74-75'!H53+'Yakima Pgs 76-77'!H53</f>
        <v>884476</v>
      </c>
      <c r="I53" s="110">
        <f>'Adams Pgs 8-9'!I53+'Asotin Pgs 10-11'!I53+'Benton-Franklin Pgs 12-13'!I53+'Chelan-Douglas Pgs 14-15'!I53+'Clallam Pgs 16-17'!I53+'Clark Pgs 18-19'!I53+'Columbia Pgs 20-21'!I53+'Cowlitz Pgs 22-23'!I53+'Garfield Pgs 24-25'!I53+'Grant Pgs 26-27'!I53+'Grays Harbor Pgs 28-29'!I53+'Island Pgs 30-31'!I53+'Jefferson Pgs 32-33'!I53+'Kitsap Pgs 34-35'!I53+'Kittitas Pgs 36-37'!I53+'Klickitat Pgs 38-39'!I53+'Lewis Pgs 40-41'!I53+'Lincoln Pgs 42-43'!I53+'Mason Pgs 44-45'!I53+'Northeast Tri Pgs 46-47'!I53+'Okanogan Pgs 48-49'!I53+'Pacific Pgs 50-51'!I53+'San Juan Pgs 52-53'!I53+'[1]seattle king'!I53+'Skagit Pgs 56-57'!I53+'Skamania Pgs 58-59'!I53+'Snohomish Pgs 60-61'!I53+'Spokane Pgs 62-63'!I53+'Tacoma-Pierce Pgs 64-65'!I53+'Thurston Pgs 66-67'!I53+'Wahkiakum Pgs 68-69'!I53+'Walla Walla Pgs 70-71'!I53+'Whatcom Pgs 72-73'!I53+'Whitman Pgs 74-75'!I53+'Yakima Pgs 76-77'!I53</f>
        <v>6915365</v>
      </c>
      <c r="J53" s="112">
        <f>'Adams Pgs 8-9'!J53+'Asotin Pgs 10-11'!J53+'Benton-Franklin Pgs 12-13'!J53+'Chelan-Douglas Pgs 14-15'!J53+'Clallam Pgs 16-17'!J53+'Clark Pgs 18-19'!J53+'Columbia Pgs 20-21'!J53+'Cowlitz Pgs 22-23'!J53+'Garfield Pgs 24-25'!J53+'Grant Pgs 26-27'!J53+'Grays Harbor Pgs 28-29'!J53+'Island Pgs 30-31'!J53+'Jefferson Pgs 32-33'!J53+'Kitsap Pgs 34-35'!J53+'Kittitas Pgs 36-37'!J53+'Klickitat Pgs 38-39'!J53+'Lewis Pgs 40-41'!J53+'Lincoln Pgs 42-43'!J53+'Mason Pgs 44-45'!J53+'Northeast Tri Pgs 46-47'!J53+'Okanogan Pgs 48-49'!J53+'Pacific Pgs 50-51'!J53+'San Juan Pgs 52-53'!J53+'[1]seattle king'!J53+'Skagit Pgs 56-57'!J53+'Skamania Pgs 58-59'!J53+'Snohomish Pgs 60-61'!J53+'Spokane Pgs 62-63'!J53+'Tacoma-Pierce Pgs 64-65'!J53+'Thurston Pgs 66-67'!J53+'Wahkiakum Pgs 68-69'!J53+'Walla Walla Pgs 70-71'!J53+'Whatcom Pgs 72-73'!J53+'Whitman Pgs 74-75'!J53+'Yakima Pgs 76-77'!J53</f>
        <v>19107</v>
      </c>
      <c r="K53" s="142">
        <f t="shared" si="0"/>
        <v>10133563</v>
      </c>
      <c r="L53"/>
    </row>
    <row r="54" spans="1:12" x14ac:dyDescent="0.35">
      <c r="A54" s="93">
        <v>568</v>
      </c>
      <c r="B54" s="16" t="s">
        <v>39</v>
      </c>
      <c r="C54" s="108">
        <f>'Adams Pgs 8-9'!C54+'Asotin Pgs 10-11'!C54+'Benton-Franklin Pgs 12-13'!C54+'Chelan-Douglas Pgs 14-15'!C54+'Clallam Pgs 16-17'!C54+'Clark Pgs 18-19'!C54+'Columbia Pgs 20-21'!C54+'Cowlitz Pgs 22-23'!C54+'Garfield Pgs 24-25'!C54+'Grant Pgs 26-27'!C54+'Grays Harbor Pgs 28-29'!C54+'Island Pgs 30-31'!C54+'Jefferson Pgs 32-33'!C54+'Kitsap Pgs 34-35'!C54+'Kittitas Pgs 36-37'!C54+'Klickitat Pgs 38-39'!C54+'Lewis Pgs 40-41'!C54+'Lincoln Pgs 42-43'!C54+'Mason Pgs 44-45'!C54+'Northeast Tri Pgs 46-47'!C54+'Okanogan Pgs 48-49'!C54+'Pacific Pgs 50-51'!C54+'San Juan Pgs 52-53'!C54+'[1]seattle king'!C54+'Skagit Pgs 56-57'!C54+'Skamania Pgs 58-59'!C54+'Snohomish Pgs 60-61'!C54+'Spokane Pgs 62-63'!C54+'Tacoma-Pierce Pgs 64-65'!C54+'Thurston Pgs 66-67'!C54+'Wahkiakum Pgs 68-69'!C54+'Walla Walla Pgs 70-71'!C54+'Whatcom Pgs 72-73'!C54+'Whitman Pgs 74-75'!C54+'Yakima Pgs 76-77'!C54</f>
        <v>0</v>
      </c>
      <c r="D54" s="109">
        <f>'Adams Pgs 8-9'!D54+'Asotin Pgs 10-11'!D54+'Benton-Franklin Pgs 12-13'!D54+'Chelan-Douglas Pgs 14-15'!D54+'Clallam Pgs 16-17'!D54+'Clark Pgs 18-19'!D54+'Columbia Pgs 20-21'!D54+'Cowlitz Pgs 22-23'!D54+'Garfield Pgs 24-25'!D54+'Grant Pgs 26-27'!D54+'Grays Harbor Pgs 28-29'!D54+'Island Pgs 30-31'!D54+'Jefferson Pgs 32-33'!D54+'Kitsap Pgs 34-35'!D54+'Kittitas Pgs 36-37'!D54+'Klickitat Pgs 38-39'!D54+'Lewis Pgs 40-41'!D54+'Lincoln Pgs 42-43'!D54+'Mason Pgs 44-45'!D54+'Northeast Tri Pgs 46-47'!D54+'Okanogan Pgs 48-49'!D54+'Pacific Pgs 50-51'!D54+'San Juan Pgs 52-53'!D54+'[1]seattle king'!D54+'Skagit Pgs 56-57'!D54+'Skamania Pgs 58-59'!D54+'Snohomish Pgs 60-61'!D54+'Spokane Pgs 62-63'!D54+'Tacoma-Pierce Pgs 64-65'!D54+'Thurston Pgs 66-67'!D54+'Wahkiakum Pgs 68-69'!D54+'Walla Walla Pgs 70-71'!D54+'Whatcom Pgs 72-73'!D54+'Whitman Pgs 74-75'!D54+'Yakima Pgs 76-77'!D54</f>
        <v>0</v>
      </c>
      <c r="E54" s="110">
        <f>'Adams Pgs 8-9'!E54+'Asotin Pgs 10-11'!E54+'Benton-Franklin Pgs 12-13'!E54+'Chelan-Douglas Pgs 14-15'!E54+'Clallam Pgs 16-17'!E54+'Clark Pgs 18-19'!E54+'Columbia Pgs 20-21'!E54+'Cowlitz Pgs 22-23'!E54+'Garfield Pgs 24-25'!E54+'Grant Pgs 26-27'!E54+'Grays Harbor Pgs 28-29'!E54+'Island Pgs 30-31'!E54+'Jefferson Pgs 32-33'!E54+'Kitsap Pgs 34-35'!E54+'Kittitas Pgs 36-37'!E54+'Klickitat Pgs 38-39'!E54+'Lewis Pgs 40-41'!E54+'Lincoln Pgs 42-43'!E54+'Mason Pgs 44-45'!E54+'Northeast Tri Pgs 46-47'!E54+'Okanogan Pgs 48-49'!E54+'Pacific Pgs 50-51'!E54+'San Juan Pgs 52-53'!E54+'[1]seattle king'!E54+'Skagit Pgs 56-57'!E54+'Skamania Pgs 58-59'!E54+'Snohomish Pgs 60-61'!E54+'Spokane Pgs 62-63'!E54+'Tacoma-Pierce Pgs 64-65'!E54+'Thurston Pgs 66-67'!E54+'Wahkiakum Pgs 68-69'!E54+'Walla Walla Pgs 70-71'!E54+'Whatcom Pgs 72-73'!E54+'Whitman Pgs 74-75'!E54+'Yakima Pgs 76-77'!E54</f>
        <v>2910850</v>
      </c>
      <c r="F54" s="108">
        <f>'Adams Pgs 8-9'!F54+'Asotin Pgs 10-11'!F54+'Benton-Franklin Pgs 12-13'!F54+'Chelan-Douglas Pgs 14-15'!F54+'Clallam Pgs 16-17'!F54+'Clark Pgs 18-19'!F54+'Columbia Pgs 20-21'!F54+'Cowlitz Pgs 22-23'!F54+'Garfield Pgs 24-25'!F54+'Grant Pgs 26-27'!F54+'Grays Harbor Pgs 28-29'!F54+'Island Pgs 30-31'!F54+'Jefferson Pgs 32-33'!F54+'Kitsap Pgs 34-35'!F54+'Kittitas Pgs 36-37'!F54+'Klickitat Pgs 38-39'!F54+'Lewis Pgs 40-41'!F54+'Lincoln Pgs 42-43'!F54+'Mason Pgs 44-45'!F54+'Northeast Tri Pgs 46-47'!F54+'Okanogan Pgs 48-49'!F54+'Pacific Pgs 50-51'!F54+'San Juan Pgs 52-53'!F54+'[1]seattle king'!F54+'Skagit Pgs 56-57'!F54+'Skamania Pgs 58-59'!F54+'Snohomish Pgs 60-61'!F54+'Spokane Pgs 62-63'!F54+'Tacoma-Pierce Pgs 64-65'!F54+'Thurston Pgs 66-67'!F54+'Wahkiakum Pgs 68-69'!F54+'Walla Walla Pgs 70-71'!F54+'Whatcom Pgs 72-73'!F54+'Whitman Pgs 74-75'!F54+'Yakima Pgs 76-77'!F54</f>
        <v>0</v>
      </c>
      <c r="G54" s="110">
        <f>'Adams Pgs 8-9'!G54+'Asotin Pgs 10-11'!G54+'Benton-Franklin Pgs 12-13'!G54+'Chelan-Douglas Pgs 14-15'!G54+'Clallam Pgs 16-17'!G54+'Clark Pgs 18-19'!G54+'Columbia Pgs 20-21'!G54+'Cowlitz Pgs 22-23'!G54+'Garfield Pgs 24-25'!G54+'Grant Pgs 26-27'!G54+'Grays Harbor Pgs 28-29'!G54+'Island Pgs 30-31'!G54+'Jefferson Pgs 32-33'!G54+'Kitsap Pgs 34-35'!G54+'Kittitas Pgs 36-37'!G54+'Klickitat Pgs 38-39'!G54+'Lewis Pgs 40-41'!G54+'Lincoln Pgs 42-43'!G54+'Mason Pgs 44-45'!G54+'Northeast Tri Pgs 46-47'!G54+'Okanogan Pgs 48-49'!G54+'Pacific Pgs 50-51'!G54+'San Juan Pgs 52-53'!G54+'[1]seattle king'!G54+'Skagit Pgs 56-57'!G54+'Skamania Pgs 58-59'!G54+'Snohomish Pgs 60-61'!G54+'Spokane Pgs 62-63'!G54+'Tacoma-Pierce Pgs 64-65'!G54+'Thurston Pgs 66-67'!G54+'Wahkiakum Pgs 68-69'!G54+'Walla Walla Pgs 70-71'!G54+'Whatcom Pgs 72-73'!G54+'Whitman Pgs 74-75'!G54+'Yakima Pgs 76-77'!G54</f>
        <v>10055</v>
      </c>
      <c r="H54" s="111">
        <f>'Adams Pgs 8-9'!H54+'Asotin Pgs 10-11'!H54+'Benton-Franklin Pgs 12-13'!H54+'Chelan-Douglas Pgs 14-15'!H54+'Clallam Pgs 16-17'!H54+'Clark Pgs 18-19'!H54+'Columbia Pgs 20-21'!H54+'Cowlitz Pgs 22-23'!H54+'Garfield Pgs 24-25'!H54+'Grant Pgs 26-27'!H54+'Grays Harbor Pgs 28-29'!H54+'Island Pgs 30-31'!H54+'Jefferson Pgs 32-33'!H54+'Kitsap Pgs 34-35'!H54+'Kittitas Pgs 36-37'!H54+'Klickitat Pgs 38-39'!H54+'Lewis Pgs 40-41'!H54+'Lincoln Pgs 42-43'!H54+'Mason Pgs 44-45'!H54+'Northeast Tri Pgs 46-47'!H54+'Okanogan Pgs 48-49'!H54+'Pacific Pgs 50-51'!H54+'San Juan Pgs 52-53'!H54+'[1]seattle king'!H54+'Skagit Pgs 56-57'!H54+'Skamania Pgs 58-59'!H54+'Snohomish Pgs 60-61'!H54+'Spokane Pgs 62-63'!H54+'Tacoma-Pierce Pgs 64-65'!H54+'Thurston Pgs 66-67'!H54+'Wahkiakum Pgs 68-69'!H54+'Walla Walla Pgs 70-71'!H54+'Whatcom Pgs 72-73'!H54+'Whitman Pgs 74-75'!H54+'Yakima Pgs 76-77'!H54</f>
        <v>99071</v>
      </c>
      <c r="I54" s="110">
        <f>'Adams Pgs 8-9'!I54+'Asotin Pgs 10-11'!I54+'Benton-Franklin Pgs 12-13'!I54+'Chelan-Douglas Pgs 14-15'!I54+'Clallam Pgs 16-17'!I54+'Clark Pgs 18-19'!I54+'Columbia Pgs 20-21'!I54+'Cowlitz Pgs 22-23'!I54+'Garfield Pgs 24-25'!I54+'Grant Pgs 26-27'!I54+'Grays Harbor Pgs 28-29'!I54+'Island Pgs 30-31'!I54+'Jefferson Pgs 32-33'!I54+'Kitsap Pgs 34-35'!I54+'Kittitas Pgs 36-37'!I54+'Klickitat Pgs 38-39'!I54+'Lewis Pgs 40-41'!I54+'Lincoln Pgs 42-43'!I54+'Mason Pgs 44-45'!I54+'Northeast Tri Pgs 46-47'!I54+'Okanogan Pgs 48-49'!I54+'Pacific Pgs 50-51'!I54+'San Juan Pgs 52-53'!I54+'[1]seattle king'!I54+'Skagit Pgs 56-57'!I54+'Skamania Pgs 58-59'!I54+'Snohomish Pgs 60-61'!I54+'Spokane Pgs 62-63'!I54+'Tacoma-Pierce Pgs 64-65'!I54+'Thurston Pgs 66-67'!I54+'Wahkiakum Pgs 68-69'!I54+'Walla Walla Pgs 70-71'!I54+'Whatcom Pgs 72-73'!I54+'Whitman Pgs 74-75'!I54+'Yakima Pgs 76-77'!I54</f>
        <v>2321552</v>
      </c>
      <c r="J54" s="112">
        <f>'Adams Pgs 8-9'!J54+'Asotin Pgs 10-11'!J54+'Benton-Franklin Pgs 12-13'!J54+'Chelan-Douglas Pgs 14-15'!J54+'Clallam Pgs 16-17'!J54+'Clark Pgs 18-19'!J54+'Columbia Pgs 20-21'!J54+'Cowlitz Pgs 22-23'!J54+'Garfield Pgs 24-25'!J54+'Grant Pgs 26-27'!J54+'Grays Harbor Pgs 28-29'!J54+'Island Pgs 30-31'!J54+'Jefferson Pgs 32-33'!J54+'Kitsap Pgs 34-35'!J54+'Kittitas Pgs 36-37'!J54+'Klickitat Pgs 38-39'!J54+'Lewis Pgs 40-41'!J54+'Lincoln Pgs 42-43'!J54+'Mason Pgs 44-45'!J54+'Northeast Tri Pgs 46-47'!J54+'Okanogan Pgs 48-49'!J54+'Pacific Pgs 50-51'!J54+'San Juan Pgs 52-53'!J54+'[1]seattle king'!J54+'Skagit Pgs 56-57'!J54+'Skamania Pgs 58-59'!J54+'Snohomish Pgs 60-61'!J54+'Spokane Pgs 62-63'!J54+'Tacoma-Pierce Pgs 64-65'!J54+'Thurston Pgs 66-67'!J54+'Wahkiakum Pgs 68-69'!J54+'Walla Walla Pgs 70-71'!J54+'Whatcom Pgs 72-73'!J54+'Whitman Pgs 74-75'!J54+'Yakima Pgs 76-77'!J54</f>
        <v>9743</v>
      </c>
      <c r="K54" s="142">
        <f t="shared" si="0"/>
        <v>5351271</v>
      </c>
      <c r="L54"/>
    </row>
    <row r="55" spans="1:12" x14ac:dyDescent="0.35">
      <c r="A55" s="95">
        <v>500</v>
      </c>
      <c r="B55" s="14" t="s">
        <v>68</v>
      </c>
      <c r="C55" s="116">
        <f>'Adams Pgs 8-9'!C55+'Asotin Pgs 10-11'!C55+'Benton-Franklin Pgs 12-13'!C55+'Chelan-Douglas Pgs 14-15'!C55+'Clallam Pgs 16-17'!C55+'Clark Pgs 18-19'!C55+'Columbia Pgs 20-21'!C55+'Cowlitz Pgs 22-23'!C55+'Garfield Pgs 24-25'!C55+'Grant Pgs 26-27'!C55+'Grays Harbor Pgs 28-29'!C55+'Island Pgs 30-31'!C55+'Jefferson Pgs 32-33'!C55+'Kitsap Pgs 34-35'!C55+'Kittitas Pgs 36-37'!C55+'Klickitat Pgs 38-39'!C55+'Lewis Pgs 40-41'!C55+'Lincoln Pgs 42-43'!C55+'Mason Pgs 44-45'!C55+'Northeast Tri Pgs 46-47'!C55+'Okanogan Pgs 48-49'!C55+'Pacific Pgs 50-51'!C55+'San Juan Pgs 52-53'!C55+'[1]seattle king'!C55+'Skagit Pgs 56-57'!C55+'Skamania Pgs 58-59'!C55+'Snohomish Pgs 60-61'!C55+'Spokane Pgs 62-63'!C55+'Tacoma-Pierce Pgs 64-65'!C55+'Thurston Pgs 66-67'!C55+'Wahkiakum Pgs 68-69'!C55+'Walla Walla Pgs 70-71'!C55+'Whatcom Pgs 72-73'!C55+'Whitman Pgs 74-75'!C55+'Yakima Pgs 76-77'!C55</f>
        <v>6079</v>
      </c>
      <c r="D55" s="117">
        <f>'Adams Pgs 8-9'!D55+'Asotin Pgs 10-11'!D55+'Benton-Franklin Pgs 12-13'!D55+'Chelan-Douglas Pgs 14-15'!D55+'Clallam Pgs 16-17'!D55+'Clark Pgs 18-19'!D55+'Columbia Pgs 20-21'!D55+'Cowlitz Pgs 22-23'!D55+'Garfield Pgs 24-25'!D55+'Grant Pgs 26-27'!D55+'Grays Harbor Pgs 28-29'!D55+'Island Pgs 30-31'!D55+'Jefferson Pgs 32-33'!D55+'Kitsap Pgs 34-35'!D55+'Kittitas Pgs 36-37'!D55+'Klickitat Pgs 38-39'!D55+'Lewis Pgs 40-41'!D55+'Lincoln Pgs 42-43'!D55+'Mason Pgs 44-45'!D55+'Northeast Tri Pgs 46-47'!D55+'Okanogan Pgs 48-49'!D55+'Pacific Pgs 50-51'!D55+'San Juan Pgs 52-53'!D55+'[1]seattle king'!D55+'Skagit Pgs 56-57'!D55+'Skamania Pgs 58-59'!D55+'Snohomish Pgs 60-61'!D55+'Spokane Pgs 62-63'!D55+'Tacoma-Pierce Pgs 64-65'!D55+'Thurston Pgs 66-67'!D55+'Wahkiakum Pgs 68-69'!D55+'Walla Walla Pgs 70-71'!D55+'Whatcom Pgs 72-73'!D55+'Whitman Pgs 74-75'!D55+'Yakima Pgs 76-77'!D55</f>
        <v>42173</v>
      </c>
      <c r="E55" s="118">
        <f>'Adams Pgs 8-9'!E55+'Asotin Pgs 10-11'!E55+'Benton-Franklin Pgs 12-13'!E55+'Chelan-Douglas Pgs 14-15'!E55+'Clallam Pgs 16-17'!E55+'Clark Pgs 18-19'!E55+'Columbia Pgs 20-21'!E55+'Cowlitz Pgs 22-23'!E55+'Garfield Pgs 24-25'!E55+'Grant Pgs 26-27'!E55+'Grays Harbor Pgs 28-29'!E55+'Island Pgs 30-31'!E55+'Jefferson Pgs 32-33'!E55+'Kitsap Pgs 34-35'!E55+'Kittitas Pgs 36-37'!E55+'Klickitat Pgs 38-39'!E55+'Lewis Pgs 40-41'!E55+'Lincoln Pgs 42-43'!E55+'Mason Pgs 44-45'!E55+'Northeast Tri Pgs 46-47'!E55+'Okanogan Pgs 48-49'!E55+'Pacific Pgs 50-51'!E55+'San Juan Pgs 52-53'!E55+'[1]seattle king'!E55+'Skagit Pgs 56-57'!E55+'Skamania Pgs 58-59'!E55+'Snohomish Pgs 60-61'!E55+'Spokane Pgs 62-63'!E55+'Tacoma-Pierce Pgs 64-65'!E55+'Thurston Pgs 66-67'!E55+'Wahkiakum Pgs 68-69'!E55+'Walla Walla Pgs 70-71'!E55+'Whatcom Pgs 72-73'!E55+'Whitman Pgs 74-75'!E55+'Yakima Pgs 76-77'!E55</f>
        <v>2363549</v>
      </c>
      <c r="F55" s="116">
        <f>'Adams Pgs 8-9'!F55+'Asotin Pgs 10-11'!F55+'Benton-Franklin Pgs 12-13'!F55+'Chelan-Douglas Pgs 14-15'!F55+'Clallam Pgs 16-17'!F55+'Clark Pgs 18-19'!F55+'Columbia Pgs 20-21'!F55+'Cowlitz Pgs 22-23'!F55+'Garfield Pgs 24-25'!F55+'Grant Pgs 26-27'!F55+'Grays Harbor Pgs 28-29'!F55+'Island Pgs 30-31'!F55+'Jefferson Pgs 32-33'!F55+'Kitsap Pgs 34-35'!F55+'Kittitas Pgs 36-37'!F55+'Klickitat Pgs 38-39'!F55+'Lewis Pgs 40-41'!F55+'Lincoln Pgs 42-43'!F55+'Mason Pgs 44-45'!F55+'Northeast Tri Pgs 46-47'!F55+'Okanogan Pgs 48-49'!F55+'Pacific Pgs 50-51'!F55+'San Juan Pgs 52-53'!F55+'[1]seattle king'!F55+'Skagit Pgs 56-57'!F55+'Skamania Pgs 58-59'!F55+'Snohomish Pgs 60-61'!F55+'Spokane Pgs 62-63'!F55+'Tacoma-Pierce Pgs 64-65'!F55+'Thurston Pgs 66-67'!F55+'Wahkiakum Pgs 68-69'!F55+'Walla Walla Pgs 70-71'!F55+'Whatcom Pgs 72-73'!F55+'Whitman Pgs 74-75'!F55+'Yakima Pgs 76-77'!F55</f>
        <v>53685</v>
      </c>
      <c r="G55" s="118">
        <f>'Adams Pgs 8-9'!G55+'Asotin Pgs 10-11'!G55+'Benton-Franklin Pgs 12-13'!G55+'Chelan-Douglas Pgs 14-15'!G55+'Clallam Pgs 16-17'!G55+'Clark Pgs 18-19'!G55+'Columbia Pgs 20-21'!G55+'Cowlitz Pgs 22-23'!G55+'Garfield Pgs 24-25'!G55+'Grant Pgs 26-27'!G55+'Grays Harbor Pgs 28-29'!G55+'Island Pgs 30-31'!G55+'Jefferson Pgs 32-33'!G55+'Kitsap Pgs 34-35'!G55+'Kittitas Pgs 36-37'!G55+'Klickitat Pgs 38-39'!G55+'Lewis Pgs 40-41'!G55+'Lincoln Pgs 42-43'!G55+'Mason Pgs 44-45'!G55+'Northeast Tri Pgs 46-47'!G55+'Okanogan Pgs 48-49'!G55+'Pacific Pgs 50-51'!G55+'San Juan Pgs 52-53'!G55+'[1]seattle king'!G55+'Skagit Pgs 56-57'!G55+'Skamania Pgs 58-59'!G55+'Snohomish Pgs 60-61'!G55+'Spokane Pgs 62-63'!G55+'Tacoma-Pierce Pgs 64-65'!G55+'Thurston Pgs 66-67'!G55+'Wahkiakum Pgs 68-69'!G55+'Walla Walla Pgs 70-71'!G55+'Whatcom Pgs 72-73'!G55+'Whitman Pgs 74-75'!G55+'Yakima Pgs 76-77'!G55</f>
        <v>591201</v>
      </c>
      <c r="H55" s="131">
        <f>'Adams Pgs 8-9'!H55+'Asotin Pgs 10-11'!H55+'Benton-Franklin Pgs 12-13'!H55+'Chelan-Douglas Pgs 14-15'!H55+'Clallam Pgs 16-17'!H55+'Clark Pgs 18-19'!H55+'Columbia Pgs 20-21'!H55+'Cowlitz Pgs 22-23'!H55+'Garfield Pgs 24-25'!H55+'Grant Pgs 26-27'!H55+'Grays Harbor Pgs 28-29'!H55+'Island Pgs 30-31'!H55+'Jefferson Pgs 32-33'!H55+'Kitsap Pgs 34-35'!H55+'Kittitas Pgs 36-37'!H55+'Klickitat Pgs 38-39'!H55+'Lewis Pgs 40-41'!H55+'Lincoln Pgs 42-43'!H55+'Mason Pgs 44-45'!H55+'Northeast Tri Pgs 46-47'!H55+'Okanogan Pgs 48-49'!H55+'Pacific Pgs 50-51'!H55+'San Juan Pgs 52-53'!H55+'[1]seattle king'!H55+'Skagit Pgs 56-57'!H55+'Skamania Pgs 58-59'!H55+'Snohomish Pgs 60-61'!H55+'Spokane Pgs 62-63'!H55+'Tacoma-Pierce Pgs 64-65'!H55+'Thurston Pgs 66-67'!H55+'Wahkiakum Pgs 68-69'!H55+'Walla Walla Pgs 70-71'!H55+'Whatcom Pgs 72-73'!H55+'Whitman Pgs 74-75'!H55+'Yakima Pgs 76-77'!H55</f>
        <v>286979</v>
      </c>
      <c r="I55" s="118">
        <f>'Adams Pgs 8-9'!I55+'Asotin Pgs 10-11'!I55+'Benton-Franklin Pgs 12-13'!I55+'Chelan-Douglas Pgs 14-15'!I55+'Clallam Pgs 16-17'!I55+'Clark Pgs 18-19'!I55+'Columbia Pgs 20-21'!I55+'Cowlitz Pgs 22-23'!I55+'Garfield Pgs 24-25'!I55+'Grant Pgs 26-27'!I55+'Grays Harbor Pgs 28-29'!I55+'Island Pgs 30-31'!I55+'Jefferson Pgs 32-33'!I55+'Kitsap Pgs 34-35'!I55+'Kittitas Pgs 36-37'!I55+'Klickitat Pgs 38-39'!I55+'Lewis Pgs 40-41'!I55+'Lincoln Pgs 42-43'!I55+'Mason Pgs 44-45'!I55+'Northeast Tri Pgs 46-47'!I55+'Okanogan Pgs 48-49'!I55+'Pacific Pgs 50-51'!I55+'San Juan Pgs 52-53'!I55+'[1]seattle king'!I55+'Skagit Pgs 56-57'!I55+'Skamania Pgs 58-59'!I55+'Snohomish Pgs 60-61'!I55+'Spokane Pgs 62-63'!I55+'Tacoma-Pierce Pgs 64-65'!I55+'Thurston Pgs 66-67'!I55+'Wahkiakum Pgs 68-69'!I55+'Walla Walla Pgs 70-71'!I55+'Whatcom Pgs 72-73'!I55+'Whitman Pgs 74-75'!I55+'Yakima Pgs 76-77'!I55</f>
        <v>1823837</v>
      </c>
      <c r="J55" s="119">
        <f>'Adams Pgs 8-9'!J55+'Asotin Pgs 10-11'!J55+'Benton-Franklin Pgs 12-13'!J55+'Chelan-Douglas Pgs 14-15'!J55+'Clallam Pgs 16-17'!J55+'Clark Pgs 18-19'!J55+'Columbia Pgs 20-21'!J55+'Cowlitz Pgs 22-23'!J55+'Garfield Pgs 24-25'!J55+'Grant Pgs 26-27'!J55+'Grays Harbor Pgs 28-29'!J55+'Island Pgs 30-31'!J55+'Jefferson Pgs 32-33'!J55+'Kitsap Pgs 34-35'!J55+'Kittitas Pgs 36-37'!J55+'Klickitat Pgs 38-39'!J55+'Lewis Pgs 40-41'!J55+'Lincoln Pgs 42-43'!J55+'Mason Pgs 44-45'!J55+'Northeast Tri Pgs 46-47'!J55+'Okanogan Pgs 48-49'!J55+'Pacific Pgs 50-51'!J55+'San Juan Pgs 52-53'!J55+'[1]seattle king'!J55+'Skagit Pgs 56-57'!J55+'Skamania Pgs 58-59'!J55+'Snohomish Pgs 60-61'!J55+'Spokane Pgs 62-63'!J55+'Tacoma-Pierce Pgs 64-65'!J55+'Thurston Pgs 66-67'!J55+'Wahkiakum Pgs 68-69'!J55+'Walla Walla Pgs 70-71'!J55+'Whatcom Pgs 72-73'!J55+'Whitman Pgs 74-75'!J55+'Yakima Pgs 76-77'!J55</f>
        <v>195470</v>
      </c>
      <c r="K55" s="144">
        <f t="shared" si="0"/>
        <v>5362973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9261386</v>
      </c>
      <c r="D56" s="134">
        <f t="shared" si="2"/>
        <v>35965457.870000005</v>
      </c>
      <c r="E56" s="135">
        <f t="shared" si="2"/>
        <v>20196195</v>
      </c>
      <c r="F56" s="133">
        <f t="shared" si="2"/>
        <v>46727758</v>
      </c>
      <c r="G56" s="136">
        <f t="shared" si="2"/>
        <v>24881621</v>
      </c>
      <c r="H56" s="137">
        <f t="shared" si="2"/>
        <v>87220189.980000004</v>
      </c>
      <c r="I56" s="138">
        <f t="shared" si="2"/>
        <v>131876822</v>
      </c>
      <c r="J56" s="139">
        <f t="shared" si="2"/>
        <v>10813352.030000001</v>
      </c>
      <c r="K56" s="145">
        <f>SUM(C56:J56)</f>
        <v>366942781.88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9261386</v>
      </c>
      <c r="D62" s="20">
        <f>C56/$K56</f>
        <v>2.5239319199985566E-2</v>
      </c>
    </row>
    <row r="63" spans="1:12" x14ac:dyDescent="0.35">
      <c r="B63" s="8" t="s">
        <v>2</v>
      </c>
      <c r="C63" s="21">
        <f>D56</f>
        <v>35965457.870000005</v>
      </c>
      <c r="D63" s="20">
        <f>D56/$K56</f>
        <v>9.8013803911699948E-2</v>
      </c>
    </row>
    <row r="64" spans="1:12" x14ac:dyDescent="0.35">
      <c r="B64" s="27" t="s">
        <v>41</v>
      </c>
      <c r="C64" s="22">
        <f>E56</f>
        <v>20196195</v>
      </c>
      <c r="D64" s="57">
        <f>E56/$K56</f>
        <v>5.5039085103477221E-2</v>
      </c>
    </row>
    <row r="65" spans="2:4" ht="15" thickBot="1" x14ac:dyDescent="0.4">
      <c r="B65" s="155" t="s">
        <v>75</v>
      </c>
      <c r="C65" s="157">
        <f>SUM(C62:C64)</f>
        <v>65423038.870000005</v>
      </c>
      <c r="D65" s="158">
        <f>SUM(D62:D64)</f>
        <v>0.17829220821516273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46727758</v>
      </c>
      <c r="D67" s="7">
        <f>F56/K56</f>
        <v>0.12734344510224271</v>
      </c>
    </row>
    <row r="68" spans="2:4" x14ac:dyDescent="0.35">
      <c r="B68" s="28" t="s">
        <v>5</v>
      </c>
      <c r="C68" s="9">
        <f>G56</f>
        <v>24881621</v>
      </c>
      <c r="D68" s="10">
        <f>G56/K56</f>
        <v>6.7807904198363411E-2</v>
      </c>
    </row>
    <row r="69" spans="2:4" ht="15" thickBot="1" x14ac:dyDescent="0.4">
      <c r="B69" s="155" t="s">
        <v>76</v>
      </c>
      <c r="C69" s="157">
        <f>SUM(C67:C68)</f>
        <v>71609379</v>
      </c>
      <c r="D69" s="158">
        <f>SUM(D67:D68)</f>
        <v>0.19515134930060613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87220189.980000004</v>
      </c>
      <c r="D71" s="7">
        <f>H56/K56</f>
        <v>0.23769425176626943</v>
      </c>
    </row>
    <row r="72" spans="2:4" x14ac:dyDescent="0.35">
      <c r="B72" s="28" t="s">
        <v>6</v>
      </c>
      <c r="C72" s="9">
        <f>I56</f>
        <v>131876822</v>
      </c>
      <c r="D72" s="10">
        <f>I56/K56</f>
        <v>0.35939342184179335</v>
      </c>
    </row>
    <row r="73" spans="2:4" ht="15" thickBot="1" x14ac:dyDescent="0.4">
      <c r="B73" s="155" t="s">
        <v>77</v>
      </c>
      <c r="C73" s="159">
        <f>SUM(C71:C72)</f>
        <v>219097011.98000002</v>
      </c>
      <c r="D73" s="158">
        <f>SUM(D71:D72)</f>
        <v>0.59708767360806281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56" t="s">
        <v>79</v>
      </c>
      <c r="C75" s="157">
        <f>J56</f>
        <v>10813352.030000001</v>
      </c>
      <c r="D75" s="158">
        <f>J56/K56</f>
        <v>2.9468768876168422E-2</v>
      </c>
    </row>
    <row r="76" spans="2:4" ht="15" thickBot="1" x14ac:dyDescent="0.4">
      <c r="B76" s="36" t="s">
        <v>42</v>
      </c>
      <c r="C76" s="37">
        <f>C65+C69+C73+C75</f>
        <v>366942781.88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07" priority="3">
      <formula>ROW()=EVEN(ROW())</formula>
    </cfRule>
  </conditionalFormatting>
  <conditionalFormatting sqref="K45:K55">
    <cfRule type="expression" dxfId="106" priority="1">
      <formula>ROW()=EVEN(ROW())</formula>
    </cfRule>
  </conditionalFormatting>
  <conditionalFormatting sqref="K5:K44">
    <cfRule type="expression" dxfId="105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&amp;C&amp;"-,Bold"&amp;20Expenditures by Expenditure Code and Revenue Source
2015
All Local Health Jurisdictions
</oddHeader>
  </headerFooter>
  <rowBreaks count="1" manualBreakCount="1">
    <brk id="4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tabSelected="1" view="pageLayout" zoomScaleNormal="100" workbookViewId="0">
      <selection activeCell="L2" sqref="L2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19410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8.75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98"/>
      <c r="D5" s="199">
        <v>72357</v>
      </c>
      <c r="E5" s="200"/>
      <c r="F5" s="198"/>
      <c r="G5" s="200">
        <v>25421</v>
      </c>
      <c r="H5" s="201">
        <f>123+239</f>
        <v>362</v>
      </c>
      <c r="I5" s="200">
        <v>24639</v>
      </c>
      <c r="J5" s="202"/>
      <c r="K5" s="203">
        <f>SUM(C5:J5)</f>
        <v>122779</v>
      </c>
      <c r="L5"/>
    </row>
    <row r="6" spans="1:12" x14ac:dyDescent="0.35">
      <c r="A6" s="93">
        <v>562.21</v>
      </c>
      <c r="B6" s="16" t="s">
        <v>10</v>
      </c>
      <c r="C6" s="198"/>
      <c r="D6" s="199"/>
      <c r="E6" s="200"/>
      <c r="F6" s="198"/>
      <c r="G6" s="200"/>
      <c r="H6" s="201"/>
      <c r="I6" s="200"/>
      <c r="J6" s="202"/>
      <c r="K6" s="225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98"/>
      <c r="D7" s="199"/>
      <c r="E7" s="200"/>
      <c r="F7" s="198">
        <v>22976</v>
      </c>
      <c r="G7" s="200"/>
      <c r="H7" s="201"/>
      <c r="I7" s="200"/>
      <c r="J7" s="202"/>
      <c r="K7" s="203">
        <f t="shared" si="0"/>
        <v>22976</v>
      </c>
      <c r="L7"/>
    </row>
    <row r="8" spans="1:12" x14ac:dyDescent="0.35">
      <c r="A8" s="93">
        <v>562.24</v>
      </c>
      <c r="B8" s="16" t="s">
        <v>11</v>
      </c>
      <c r="C8" s="198"/>
      <c r="D8" s="199"/>
      <c r="E8" s="200">
        <v>10428</v>
      </c>
      <c r="F8" s="204"/>
      <c r="G8" s="205">
        <v>10428</v>
      </c>
      <c r="H8" s="201"/>
      <c r="I8" s="200"/>
      <c r="J8" s="202"/>
      <c r="K8" s="203">
        <f t="shared" si="0"/>
        <v>20856</v>
      </c>
      <c r="L8"/>
    </row>
    <row r="9" spans="1:12" x14ac:dyDescent="0.35">
      <c r="A9" s="93">
        <v>562.25</v>
      </c>
      <c r="B9" s="29" t="s">
        <v>53</v>
      </c>
      <c r="C9" s="198"/>
      <c r="D9" s="199"/>
      <c r="E9" s="200"/>
      <c r="F9" s="198">
        <v>22765</v>
      </c>
      <c r="G9" s="200"/>
      <c r="H9" s="201">
        <v>40150</v>
      </c>
      <c r="I9" s="200"/>
      <c r="J9" s="202"/>
      <c r="K9" s="203">
        <f t="shared" si="0"/>
        <v>62915</v>
      </c>
      <c r="L9"/>
    </row>
    <row r="10" spans="1:12" x14ac:dyDescent="0.35">
      <c r="A10" s="93">
        <v>562.26</v>
      </c>
      <c r="B10" s="29" t="s">
        <v>44</v>
      </c>
      <c r="C10" s="198"/>
      <c r="D10" s="199"/>
      <c r="E10" s="200"/>
      <c r="F10" s="198"/>
      <c r="G10" s="200"/>
      <c r="H10" s="201"/>
      <c r="I10" s="200"/>
      <c r="J10" s="202"/>
      <c r="K10" s="20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98"/>
      <c r="D11" s="199"/>
      <c r="E11" s="200"/>
      <c r="F11" s="198"/>
      <c r="G11" s="200"/>
      <c r="H11" s="201"/>
      <c r="I11" s="200"/>
      <c r="J11" s="202"/>
      <c r="K11" s="20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98"/>
      <c r="D12" s="199"/>
      <c r="E12" s="200"/>
      <c r="F12" s="198">
        <f>80654+135</f>
        <v>80789</v>
      </c>
      <c r="G12" s="200"/>
      <c r="H12" s="201"/>
      <c r="I12" s="200"/>
      <c r="J12" s="202"/>
      <c r="K12" s="203">
        <f t="shared" si="0"/>
        <v>80789</v>
      </c>
      <c r="L12"/>
    </row>
    <row r="13" spans="1:12" x14ac:dyDescent="0.35">
      <c r="A13" s="93">
        <v>562.29</v>
      </c>
      <c r="B13" s="29" t="s">
        <v>46</v>
      </c>
      <c r="C13" s="198"/>
      <c r="D13" s="199"/>
      <c r="E13" s="200"/>
      <c r="F13" s="198"/>
      <c r="G13" s="200"/>
      <c r="H13" s="201"/>
      <c r="I13" s="200"/>
      <c r="J13" s="202"/>
      <c r="K13" s="20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98"/>
      <c r="D14" s="199">
        <v>2553</v>
      </c>
      <c r="E14" s="200"/>
      <c r="F14" s="198">
        <v>8556</v>
      </c>
      <c r="G14" s="200">
        <f>10339+6644</f>
        <v>16983</v>
      </c>
      <c r="H14" s="201">
        <v>61955</v>
      </c>
      <c r="I14" s="200">
        <f>5483+2270</f>
        <v>7753</v>
      </c>
      <c r="J14" s="202"/>
      <c r="K14" s="203">
        <f t="shared" si="0"/>
        <v>97800</v>
      </c>
      <c r="L14"/>
    </row>
    <row r="15" spans="1:12" x14ac:dyDescent="0.35">
      <c r="A15" s="93">
        <v>562.33000000000004</v>
      </c>
      <c r="B15" s="29" t="s">
        <v>55</v>
      </c>
      <c r="C15" s="198"/>
      <c r="D15" s="199"/>
      <c r="E15" s="200"/>
      <c r="F15" s="198"/>
      <c r="G15" s="200"/>
      <c r="H15" s="201"/>
      <c r="I15" s="200"/>
      <c r="J15" s="202"/>
      <c r="K15" s="203">
        <f t="shared" si="0"/>
        <v>0</v>
      </c>
      <c r="L15"/>
    </row>
    <row r="16" spans="1:12" x14ac:dyDescent="0.35">
      <c r="A16" s="93">
        <v>562.34</v>
      </c>
      <c r="B16" s="16" t="s">
        <v>13</v>
      </c>
      <c r="C16" s="198"/>
      <c r="D16" s="199"/>
      <c r="E16" s="200"/>
      <c r="F16" s="198"/>
      <c r="G16" s="200"/>
      <c r="H16" s="201"/>
      <c r="I16" s="200">
        <v>1248</v>
      </c>
      <c r="J16" s="202">
        <v>8</v>
      </c>
      <c r="K16" s="203">
        <f t="shared" si="0"/>
        <v>1256</v>
      </c>
      <c r="L16"/>
    </row>
    <row r="17" spans="1:12" x14ac:dyDescent="0.35">
      <c r="A17" s="93">
        <v>562.35</v>
      </c>
      <c r="B17" s="16" t="s">
        <v>14</v>
      </c>
      <c r="C17" s="198"/>
      <c r="D17" s="199"/>
      <c r="E17" s="200"/>
      <c r="F17" s="198"/>
      <c r="G17" s="200"/>
      <c r="H17" s="201"/>
      <c r="I17" s="200"/>
      <c r="J17" s="202"/>
      <c r="K17" s="203">
        <f t="shared" si="0"/>
        <v>0</v>
      </c>
      <c r="L17"/>
    </row>
    <row r="18" spans="1:12" x14ac:dyDescent="0.35">
      <c r="A18" s="93">
        <v>562.39</v>
      </c>
      <c r="B18" s="16" t="s">
        <v>15</v>
      </c>
      <c r="C18" s="198"/>
      <c r="D18" s="199">
        <v>46303</v>
      </c>
      <c r="E18" s="200"/>
      <c r="F18" s="198"/>
      <c r="G18" s="200"/>
      <c r="H18" s="201"/>
      <c r="I18" s="200"/>
      <c r="J18" s="202"/>
      <c r="K18" s="203">
        <f t="shared" si="0"/>
        <v>46303</v>
      </c>
      <c r="L18"/>
    </row>
    <row r="19" spans="1:12" x14ac:dyDescent="0.35">
      <c r="A19" s="93">
        <v>562.41</v>
      </c>
      <c r="B19" s="16" t="s">
        <v>16</v>
      </c>
      <c r="C19" s="198"/>
      <c r="D19" s="199"/>
      <c r="E19" s="200"/>
      <c r="F19" s="198"/>
      <c r="G19" s="200"/>
      <c r="H19" s="201"/>
      <c r="I19" s="200"/>
      <c r="J19" s="202"/>
      <c r="K19" s="20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98"/>
      <c r="D20" s="199">
        <v>2693</v>
      </c>
      <c r="E20" s="200"/>
      <c r="F20" s="198"/>
      <c r="G20" s="200"/>
      <c r="H20" s="201"/>
      <c r="I20" s="200"/>
      <c r="J20" s="202"/>
      <c r="K20" s="203">
        <f t="shared" si="0"/>
        <v>2693</v>
      </c>
      <c r="L20"/>
    </row>
    <row r="21" spans="1:12" x14ac:dyDescent="0.35">
      <c r="A21" s="93">
        <v>562.42999999999995</v>
      </c>
      <c r="B21" s="29" t="s">
        <v>56</v>
      </c>
      <c r="C21" s="198"/>
      <c r="D21" s="199"/>
      <c r="E21" s="200"/>
      <c r="F21" s="198"/>
      <c r="G21" s="200"/>
      <c r="H21" s="201"/>
      <c r="I21" s="200"/>
      <c r="J21" s="202"/>
      <c r="K21" s="20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98">
        <v>0</v>
      </c>
      <c r="D22" s="199"/>
      <c r="E22" s="200"/>
      <c r="F22" s="198"/>
      <c r="G22" s="200"/>
      <c r="H22" s="201"/>
      <c r="I22" s="200"/>
      <c r="J22" s="202"/>
      <c r="K22" s="20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98"/>
      <c r="D23" s="199"/>
      <c r="E23" s="200"/>
      <c r="F23" s="198"/>
      <c r="G23" s="200"/>
      <c r="H23" s="201"/>
      <c r="I23" s="200"/>
      <c r="J23" s="202"/>
      <c r="K23" s="20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98"/>
      <c r="D24" s="199"/>
      <c r="E24" s="200"/>
      <c r="F24" s="198"/>
      <c r="G24" s="200"/>
      <c r="H24" s="201"/>
      <c r="I24" s="200"/>
      <c r="J24" s="202"/>
      <c r="K24" s="20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98"/>
      <c r="D25" s="199"/>
      <c r="E25" s="200"/>
      <c r="F25" s="198"/>
      <c r="G25" s="200"/>
      <c r="H25" s="201"/>
      <c r="I25" s="200">
        <f>150+750</f>
        <v>900</v>
      </c>
      <c r="J25" s="202"/>
      <c r="K25" s="203">
        <f t="shared" si="0"/>
        <v>900</v>
      </c>
      <c r="L25"/>
    </row>
    <row r="26" spans="1:12" x14ac:dyDescent="0.35">
      <c r="A26" s="93">
        <v>562.53</v>
      </c>
      <c r="B26" s="29" t="s">
        <v>59</v>
      </c>
      <c r="C26" s="198"/>
      <c r="D26" s="199"/>
      <c r="E26" s="200">
        <v>27689</v>
      </c>
      <c r="F26" s="198"/>
      <c r="G26" s="200"/>
      <c r="H26" s="201"/>
      <c r="I26" s="200">
        <v>5785</v>
      </c>
      <c r="J26" s="202"/>
      <c r="K26" s="203">
        <f t="shared" si="0"/>
        <v>33474</v>
      </c>
      <c r="L26"/>
    </row>
    <row r="27" spans="1:12" x14ac:dyDescent="0.35">
      <c r="A27" s="93">
        <v>562.54</v>
      </c>
      <c r="B27" s="29" t="s">
        <v>60</v>
      </c>
      <c r="C27" s="198"/>
      <c r="D27" s="199"/>
      <c r="E27" s="200"/>
      <c r="F27" s="198"/>
      <c r="G27" s="200"/>
      <c r="H27" s="201">
        <v>3499</v>
      </c>
      <c r="I27" s="200">
        <f>4636+22600+6150</f>
        <v>33386</v>
      </c>
      <c r="J27" s="202"/>
      <c r="K27" s="203">
        <f t="shared" si="0"/>
        <v>36885</v>
      </c>
      <c r="L27"/>
    </row>
    <row r="28" spans="1:12" x14ac:dyDescent="0.35">
      <c r="A28" s="93">
        <v>562.54999999999995</v>
      </c>
      <c r="B28" s="16" t="s">
        <v>19</v>
      </c>
      <c r="C28" s="198"/>
      <c r="D28" s="199"/>
      <c r="E28" s="200"/>
      <c r="F28" s="198"/>
      <c r="G28" s="200"/>
      <c r="H28" s="201"/>
      <c r="I28" s="200"/>
      <c r="J28" s="202"/>
      <c r="K28" s="203">
        <f t="shared" si="0"/>
        <v>0</v>
      </c>
      <c r="L28"/>
    </row>
    <row r="29" spans="1:12" x14ac:dyDescent="0.35">
      <c r="A29" s="93">
        <v>562.55999999999995</v>
      </c>
      <c r="B29" s="16" t="s">
        <v>20</v>
      </c>
      <c r="C29" s="198"/>
      <c r="D29" s="199"/>
      <c r="E29" s="200"/>
      <c r="F29" s="198"/>
      <c r="G29" s="200"/>
      <c r="H29" s="201"/>
      <c r="I29" s="200">
        <v>54373</v>
      </c>
      <c r="J29" s="202"/>
      <c r="K29" s="203">
        <f t="shared" si="0"/>
        <v>54373</v>
      </c>
      <c r="L29"/>
    </row>
    <row r="30" spans="1:12" x14ac:dyDescent="0.35">
      <c r="A30" s="93">
        <v>562.57000000000005</v>
      </c>
      <c r="B30" s="29" t="s">
        <v>61</v>
      </c>
      <c r="C30" s="198"/>
      <c r="D30" s="199"/>
      <c r="E30" s="200"/>
      <c r="F30" s="198"/>
      <c r="G30" s="200"/>
      <c r="H30" s="201"/>
      <c r="I30" s="200"/>
      <c r="J30" s="202"/>
      <c r="K30" s="20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98"/>
      <c r="D31" s="199"/>
      <c r="E31" s="200"/>
      <c r="F31" s="198"/>
      <c r="G31" s="200"/>
      <c r="H31" s="201">
        <v>869</v>
      </c>
      <c r="I31" s="200">
        <v>1500</v>
      </c>
      <c r="J31" s="202"/>
      <c r="K31" s="203">
        <f t="shared" si="0"/>
        <v>2369</v>
      </c>
      <c r="L31"/>
    </row>
    <row r="32" spans="1:12" x14ac:dyDescent="0.35">
      <c r="A32" s="93">
        <v>562.59</v>
      </c>
      <c r="B32" s="29" t="s">
        <v>49</v>
      </c>
      <c r="C32" s="198"/>
      <c r="D32" s="199"/>
      <c r="E32" s="200"/>
      <c r="F32" s="198"/>
      <c r="G32" s="200"/>
      <c r="H32" s="201"/>
      <c r="I32" s="200"/>
      <c r="J32" s="202"/>
      <c r="K32" s="20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98"/>
      <c r="D33" s="199"/>
      <c r="E33" s="200"/>
      <c r="F33" s="198"/>
      <c r="G33" s="200"/>
      <c r="H33" s="201"/>
      <c r="I33" s="200"/>
      <c r="J33" s="202"/>
      <c r="K33" s="20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98"/>
      <c r="D34" s="199"/>
      <c r="E34" s="200"/>
      <c r="F34" s="198"/>
      <c r="G34" s="200"/>
      <c r="H34" s="201"/>
      <c r="I34" s="200">
        <v>12902</v>
      </c>
      <c r="J34" s="202"/>
      <c r="K34" s="203">
        <f t="shared" si="0"/>
        <v>12902</v>
      </c>
      <c r="L34"/>
    </row>
    <row r="35" spans="1:12" x14ac:dyDescent="0.35">
      <c r="A35" s="93">
        <v>562.72</v>
      </c>
      <c r="B35" s="16" t="s">
        <v>23</v>
      </c>
      <c r="C35" s="198"/>
      <c r="D35" s="199"/>
      <c r="E35" s="200"/>
      <c r="F35" s="198"/>
      <c r="G35" s="200"/>
      <c r="H35" s="201"/>
      <c r="I35" s="200"/>
      <c r="J35" s="202"/>
      <c r="K35" s="20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98"/>
      <c r="D36" s="199"/>
      <c r="E36" s="200"/>
      <c r="F36" s="198"/>
      <c r="G36" s="200"/>
      <c r="H36" s="201"/>
      <c r="I36" s="200"/>
      <c r="J36" s="202"/>
      <c r="K36" s="20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98"/>
      <c r="D37" s="199"/>
      <c r="E37" s="200"/>
      <c r="F37" s="198"/>
      <c r="G37" s="200"/>
      <c r="H37" s="201"/>
      <c r="I37" s="200"/>
      <c r="J37" s="202"/>
      <c r="K37" s="20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98"/>
      <c r="D38" s="199"/>
      <c r="E38" s="200"/>
      <c r="F38" s="198"/>
      <c r="G38" s="200"/>
      <c r="H38" s="201"/>
      <c r="I38" s="200"/>
      <c r="J38" s="202"/>
      <c r="K38" s="20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98"/>
      <c r="D39" s="199"/>
      <c r="E39" s="200"/>
      <c r="F39" s="198"/>
      <c r="G39" s="200"/>
      <c r="H39" s="201"/>
      <c r="I39" s="200"/>
      <c r="J39" s="202"/>
      <c r="K39" s="20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98"/>
      <c r="D40" s="199"/>
      <c r="E40" s="200"/>
      <c r="F40" s="198"/>
      <c r="G40" s="200"/>
      <c r="H40" s="201"/>
      <c r="I40" s="200"/>
      <c r="J40" s="202"/>
      <c r="K40" s="20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98"/>
      <c r="D41" s="199"/>
      <c r="E41" s="200"/>
      <c r="F41" s="198">
        <v>22466</v>
      </c>
      <c r="G41" s="200"/>
      <c r="H41" s="201">
        <v>8982</v>
      </c>
      <c r="I41" s="200">
        <v>4800</v>
      </c>
      <c r="J41" s="202"/>
      <c r="K41" s="203">
        <f t="shared" si="0"/>
        <v>36248</v>
      </c>
      <c r="L41"/>
    </row>
    <row r="42" spans="1:12" x14ac:dyDescent="0.35">
      <c r="A42" s="93">
        <v>562.9</v>
      </c>
      <c r="B42" s="16" t="s">
        <v>28</v>
      </c>
      <c r="C42" s="198"/>
      <c r="D42" s="199"/>
      <c r="E42" s="200"/>
      <c r="F42" s="198"/>
      <c r="G42" s="200"/>
      <c r="H42" s="201"/>
      <c r="I42" s="200"/>
      <c r="J42" s="202"/>
      <c r="K42" s="20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206"/>
      <c r="D43" s="207"/>
      <c r="E43" s="208"/>
      <c r="F43" s="206"/>
      <c r="G43" s="208"/>
      <c r="H43" s="201"/>
      <c r="I43" s="200"/>
      <c r="J43" s="209"/>
      <c r="K43" s="20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210">
        <f t="shared" ref="C44:J44" si="1">SUM(C5:C43)</f>
        <v>0</v>
      </c>
      <c r="D44" s="211">
        <f t="shared" si="1"/>
        <v>123906</v>
      </c>
      <c r="E44" s="212">
        <f t="shared" si="1"/>
        <v>38117</v>
      </c>
      <c r="F44" s="210">
        <f t="shared" si="1"/>
        <v>157552</v>
      </c>
      <c r="G44" s="213">
        <f t="shared" si="1"/>
        <v>52832</v>
      </c>
      <c r="H44" s="214">
        <f t="shared" si="1"/>
        <v>115817</v>
      </c>
      <c r="I44" s="212">
        <f t="shared" si="1"/>
        <v>147286</v>
      </c>
      <c r="J44" s="215">
        <f t="shared" si="1"/>
        <v>8</v>
      </c>
      <c r="K44" s="216">
        <f>SUM(C44:J44)</f>
        <v>635518</v>
      </c>
      <c r="L44"/>
    </row>
    <row r="45" spans="1:12" x14ac:dyDescent="0.35">
      <c r="A45" s="93">
        <v>523</v>
      </c>
      <c r="B45" s="16" t="s">
        <v>31</v>
      </c>
      <c r="C45" s="217"/>
      <c r="D45" s="218"/>
      <c r="E45" s="219"/>
      <c r="F45" s="217"/>
      <c r="G45" s="219"/>
      <c r="H45" s="201">
        <v>0</v>
      </c>
      <c r="I45" s="200">
        <v>0</v>
      </c>
      <c r="J45" s="220"/>
      <c r="K45" s="20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98"/>
      <c r="D46" s="199"/>
      <c r="E46" s="200"/>
      <c r="F46" s="198"/>
      <c r="G46" s="200"/>
      <c r="H46" s="201"/>
      <c r="I46" s="200"/>
      <c r="J46" s="202"/>
      <c r="K46" s="20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98"/>
      <c r="D47" s="199"/>
      <c r="E47" s="200"/>
      <c r="F47" s="198"/>
      <c r="G47" s="200"/>
      <c r="H47" s="201">
        <v>0</v>
      </c>
      <c r="I47" s="200">
        <v>0</v>
      </c>
      <c r="J47" s="202"/>
      <c r="K47" s="20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98"/>
      <c r="D48" s="199"/>
      <c r="E48" s="200"/>
      <c r="F48" s="198"/>
      <c r="G48" s="200"/>
      <c r="H48" s="201">
        <v>0</v>
      </c>
      <c r="I48" s="200">
        <v>0</v>
      </c>
      <c r="J48" s="202"/>
      <c r="K48" s="20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98"/>
      <c r="D49" s="199"/>
      <c r="E49" s="200"/>
      <c r="F49" s="198"/>
      <c r="G49" s="200"/>
      <c r="H49" s="201">
        <v>0</v>
      </c>
      <c r="I49" s="200">
        <v>0</v>
      </c>
      <c r="J49" s="202"/>
      <c r="K49" s="20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98"/>
      <c r="D50" s="199"/>
      <c r="E50" s="200"/>
      <c r="F50" s="198"/>
      <c r="G50" s="200"/>
      <c r="H50" s="201">
        <v>0</v>
      </c>
      <c r="I50" s="200">
        <v>0</v>
      </c>
      <c r="J50" s="202"/>
      <c r="K50" s="20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98"/>
      <c r="D51" s="199"/>
      <c r="E51" s="200"/>
      <c r="F51" s="198"/>
      <c r="G51" s="200"/>
      <c r="H51" s="201">
        <v>0</v>
      </c>
      <c r="I51" s="200">
        <v>0</v>
      </c>
      <c r="J51" s="202"/>
      <c r="K51" s="20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98"/>
      <c r="D52" s="199"/>
      <c r="E52" s="200"/>
      <c r="F52" s="198"/>
      <c r="G52" s="200"/>
      <c r="H52" s="201">
        <v>0</v>
      </c>
      <c r="I52" s="200">
        <v>0</v>
      </c>
      <c r="J52" s="202"/>
      <c r="K52" s="20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98"/>
      <c r="D53" s="199"/>
      <c r="E53" s="200"/>
      <c r="F53" s="198"/>
      <c r="G53" s="200"/>
      <c r="H53" s="201">
        <v>0</v>
      </c>
      <c r="I53" s="200">
        <v>0</v>
      </c>
      <c r="J53" s="202"/>
      <c r="K53" s="20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98"/>
      <c r="D54" s="199"/>
      <c r="E54" s="200"/>
      <c r="F54" s="198"/>
      <c r="G54" s="200"/>
      <c r="H54" s="201">
        <v>0</v>
      </c>
      <c r="I54" s="200">
        <v>0</v>
      </c>
      <c r="J54" s="202"/>
      <c r="K54" s="20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206"/>
      <c r="D55" s="207"/>
      <c r="E55" s="208"/>
      <c r="F55" s="206"/>
      <c r="G55" s="208"/>
      <c r="H55" s="221">
        <v>0</v>
      </c>
      <c r="I55" s="208">
        <v>0</v>
      </c>
      <c r="J55" s="209"/>
      <c r="K55" s="222">
        <f t="shared" si="0"/>
        <v>0</v>
      </c>
      <c r="L55"/>
    </row>
    <row r="56" spans="1:12" ht="15" thickBot="1" x14ac:dyDescent="0.4">
      <c r="A56" s="97"/>
      <c r="B56" s="30" t="s">
        <v>42</v>
      </c>
      <c r="C56" s="100">
        <f t="shared" ref="C56:J56" si="2">SUM(C44:C55)</f>
        <v>0</v>
      </c>
      <c r="D56" s="101">
        <f t="shared" si="2"/>
        <v>123906</v>
      </c>
      <c r="E56" s="102">
        <f t="shared" si="2"/>
        <v>38117</v>
      </c>
      <c r="F56" s="100">
        <f t="shared" si="2"/>
        <v>157552</v>
      </c>
      <c r="G56" s="103">
        <f t="shared" si="2"/>
        <v>52832</v>
      </c>
      <c r="H56" s="104">
        <f t="shared" si="2"/>
        <v>115817</v>
      </c>
      <c r="I56" s="105">
        <f t="shared" si="2"/>
        <v>147286</v>
      </c>
      <c r="J56" s="106">
        <f t="shared" si="2"/>
        <v>8</v>
      </c>
      <c r="K56" s="107">
        <f>SUM(C56:J56)</f>
        <v>635518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123906</v>
      </c>
      <c r="D63" s="20">
        <f>D56/$K56</f>
        <v>0.19496851387372191</v>
      </c>
    </row>
    <row r="64" spans="1:12" x14ac:dyDescent="0.35">
      <c r="B64" s="27" t="s">
        <v>41</v>
      </c>
      <c r="C64" s="22">
        <f>E56</f>
        <v>38117</v>
      </c>
      <c r="D64" s="57">
        <f>E56/$K56</f>
        <v>5.9977844844677886E-2</v>
      </c>
    </row>
    <row r="65" spans="2:4" ht="15" thickBot="1" x14ac:dyDescent="0.4">
      <c r="B65" s="192" t="s">
        <v>75</v>
      </c>
      <c r="C65" s="23">
        <f>SUM(C62:C64)</f>
        <v>162023</v>
      </c>
      <c r="D65" s="24">
        <f>SUM(D62:D64)</f>
        <v>0.25494635871839977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157552</v>
      </c>
      <c r="D67" s="7">
        <f>F56/K56</f>
        <v>0.24791115279189574</v>
      </c>
    </row>
    <row r="68" spans="2:4" x14ac:dyDescent="0.35">
      <c r="B68" s="28" t="s">
        <v>5</v>
      </c>
      <c r="C68" s="9">
        <f>G56</f>
        <v>52832</v>
      </c>
      <c r="D68" s="10">
        <f>G56/K56</f>
        <v>8.3132185083664031E-2</v>
      </c>
    </row>
    <row r="69" spans="2:4" ht="15" thickBot="1" x14ac:dyDescent="0.4">
      <c r="B69" s="192" t="s">
        <v>76</v>
      </c>
      <c r="C69" s="23">
        <f>SUM(C67:C68)</f>
        <v>210384</v>
      </c>
      <c r="D69" s="24">
        <f>SUM(D67:D68)</f>
        <v>0.33104333787555978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115817</v>
      </c>
      <c r="D71" s="7">
        <f>H56/K56</f>
        <v>0.18224031420038456</v>
      </c>
    </row>
    <row r="72" spans="2:4" x14ac:dyDescent="0.35">
      <c r="B72" s="28" t="s">
        <v>6</v>
      </c>
      <c r="C72" s="9">
        <f>I56</f>
        <v>147286</v>
      </c>
      <c r="D72" s="10">
        <f>I56/K56</f>
        <v>0.23175740104922285</v>
      </c>
    </row>
    <row r="73" spans="2:4" ht="15" thickBot="1" x14ac:dyDescent="0.4">
      <c r="B73" s="192" t="s">
        <v>77</v>
      </c>
      <c r="C73" s="54">
        <f>SUM(C71:C72)</f>
        <v>263103</v>
      </c>
      <c r="D73" s="24">
        <f>SUM(D71:D72)</f>
        <v>0.41399771524960738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8</v>
      </c>
      <c r="D75" s="24">
        <f>J56/K56</f>
        <v>1.2588156433019992E-5</v>
      </c>
    </row>
    <row r="76" spans="2:4" ht="15" thickBot="1" x14ac:dyDescent="0.4">
      <c r="B76" s="36" t="s">
        <v>42</v>
      </c>
      <c r="C76" s="37">
        <f>C65+C69+C73+C75</f>
        <v>635518</v>
      </c>
      <c r="D76" s="38">
        <f>D65+D69+D73+D75</f>
        <v>0.99999999999999989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04" priority="3">
      <formula>ROW()=EVEN(ROW())</formula>
    </cfRule>
  </conditionalFormatting>
  <conditionalFormatting sqref="K45:K55">
    <cfRule type="expression" dxfId="103" priority="1">
      <formula>ROW()=EVEN(ROW())</formula>
    </cfRule>
  </conditionalFormatting>
  <conditionalFormatting sqref="K5:K44">
    <cfRule type="expression" dxfId="102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 xml:space="preserve">&amp;C&amp;"-,Bold"&amp;16Expenditures by Expenditure Code and Revenue Source
2015
ADAMS
</oddHeader>
  </headerFooter>
  <rowBreaks count="1" manualBreakCount="1">
    <brk id="44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H79" sqref="H79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22010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58">
        <v>5.5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>
        <v>123312</v>
      </c>
      <c r="E5" s="110"/>
      <c r="F5" s="108"/>
      <c r="G5" s="110">
        <v>0</v>
      </c>
      <c r="H5" s="111">
        <v>40060</v>
      </c>
      <c r="I5" s="110">
        <v>1751</v>
      </c>
      <c r="J5" s="112">
        <v>2626</v>
      </c>
      <c r="K5" s="113">
        <f>SUM(C5:J5)</f>
        <v>167749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>
        <v>0</v>
      </c>
      <c r="I6" s="110">
        <v>0</v>
      </c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276</v>
      </c>
      <c r="E7" s="110"/>
      <c r="F7" s="108">
        <v>31131</v>
      </c>
      <c r="G7" s="110">
        <v>283</v>
      </c>
      <c r="H7" s="111">
        <v>0</v>
      </c>
      <c r="I7" s="110">
        <v>0</v>
      </c>
      <c r="J7" s="112">
        <v>296</v>
      </c>
      <c r="K7" s="113">
        <f t="shared" si="0"/>
        <v>31986</v>
      </c>
      <c r="L7"/>
    </row>
    <row r="8" spans="1:12" x14ac:dyDescent="0.35">
      <c r="A8" s="93">
        <v>562.24</v>
      </c>
      <c r="B8" s="16" t="s">
        <v>11</v>
      </c>
      <c r="C8" s="108">
        <v>0</v>
      </c>
      <c r="D8" s="109"/>
      <c r="E8" s="110">
        <v>0</v>
      </c>
      <c r="F8" s="114"/>
      <c r="G8" s="115">
        <v>8900</v>
      </c>
      <c r="H8" s="111">
        <v>0</v>
      </c>
      <c r="I8" s="110">
        <v>0</v>
      </c>
      <c r="J8" s="112">
        <v>7138</v>
      </c>
      <c r="K8" s="113">
        <f t="shared" si="0"/>
        <v>16038</v>
      </c>
      <c r="L8"/>
    </row>
    <row r="9" spans="1:12" x14ac:dyDescent="0.35">
      <c r="A9" s="93">
        <v>562.25</v>
      </c>
      <c r="B9" s="29" t="s">
        <v>53</v>
      </c>
      <c r="C9" s="108"/>
      <c r="D9" s="109">
        <v>243</v>
      </c>
      <c r="E9" s="110"/>
      <c r="F9" s="108">
        <v>15333</v>
      </c>
      <c r="G9" s="110">
        <v>248</v>
      </c>
      <c r="H9" s="111">
        <v>0</v>
      </c>
      <c r="I9" s="110">
        <v>0</v>
      </c>
      <c r="J9" s="112">
        <v>260</v>
      </c>
      <c r="K9" s="113">
        <f t="shared" si="0"/>
        <v>16084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>
        <v>0</v>
      </c>
      <c r="I10" s="110">
        <v>0</v>
      </c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227"/>
      <c r="H11" s="111">
        <v>0</v>
      </c>
      <c r="I11" s="110">
        <v>0</v>
      </c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37</v>
      </c>
      <c r="E12" s="110"/>
      <c r="F12" s="108">
        <v>95733</v>
      </c>
      <c r="G12" s="110">
        <v>38</v>
      </c>
      <c r="H12" s="111">
        <v>0</v>
      </c>
      <c r="I12" s="110">
        <v>0</v>
      </c>
      <c r="J12" s="112">
        <v>40</v>
      </c>
      <c r="K12" s="113">
        <f t="shared" si="0"/>
        <v>95848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/>
      <c r="H13" s="111">
        <v>0</v>
      </c>
      <c r="I13" s="110">
        <v>0</v>
      </c>
      <c r="J13" s="112"/>
      <c r="K13" s="113">
        <f t="shared" si="0"/>
        <v>0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15693</v>
      </c>
      <c r="E14" s="110"/>
      <c r="F14" s="108">
        <v>9006</v>
      </c>
      <c r="G14" s="110">
        <v>16059</v>
      </c>
      <c r="H14" s="111">
        <v>0</v>
      </c>
      <c r="I14" s="110">
        <v>16736</v>
      </c>
      <c r="J14" s="112">
        <v>16803</v>
      </c>
      <c r="K14" s="113">
        <f t="shared" si="0"/>
        <v>74297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2408</v>
      </c>
      <c r="E15" s="110"/>
      <c r="F15" s="108"/>
      <c r="G15" s="110">
        <v>2464</v>
      </c>
      <c r="H15" s="111">
        <v>0</v>
      </c>
      <c r="I15" s="110">
        <v>50</v>
      </c>
      <c r="J15" s="112">
        <v>2578</v>
      </c>
      <c r="K15" s="113">
        <f t="shared" si="0"/>
        <v>7500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483</v>
      </c>
      <c r="E16" s="110"/>
      <c r="F16" s="108"/>
      <c r="G16" s="110">
        <v>494</v>
      </c>
      <c r="H16" s="111">
        <v>0</v>
      </c>
      <c r="I16" s="110">
        <v>1648</v>
      </c>
      <c r="J16" s="112">
        <v>517</v>
      </c>
      <c r="K16" s="113">
        <f t="shared" si="0"/>
        <v>3142</v>
      </c>
      <c r="L16"/>
    </row>
    <row r="17" spans="1:12" x14ac:dyDescent="0.35">
      <c r="A17" s="93">
        <v>562.35</v>
      </c>
      <c r="B17" s="16" t="s">
        <v>14</v>
      </c>
      <c r="C17" s="108"/>
      <c r="D17" s="109">
        <v>5200</v>
      </c>
      <c r="E17" s="110"/>
      <c r="F17" s="108"/>
      <c r="G17" s="110">
        <v>5320</v>
      </c>
      <c r="H17" s="111">
        <v>0</v>
      </c>
      <c r="I17" s="110">
        <v>0</v>
      </c>
      <c r="J17" s="112">
        <v>5568</v>
      </c>
      <c r="K17" s="113">
        <f t="shared" si="0"/>
        <v>16088</v>
      </c>
      <c r="L17"/>
    </row>
    <row r="18" spans="1:12" x14ac:dyDescent="0.35">
      <c r="A18" s="93">
        <v>562.39</v>
      </c>
      <c r="B18" s="16" t="s">
        <v>15</v>
      </c>
      <c r="C18" s="108"/>
      <c r="D18" s="109"/>
      <c r="E18" s="110"/>
      <c r="F18" s="108"/>
      <c r="G18" s="110"/>
      <c r="H18" s="111">
        <v>0</v>
      </c>
      <c r="I18" s="110">
        <v>0</v>
      </c>
      <c r="J18" s="112"/>
      <c r="K18" s="113">
        <f t="shared" si="0"/>
        <v>0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>
        <v>0</v>
      </c>
      <c r="I19" s="110">
        <v>0</v>
      </c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>
        <v>0</v>
      </c>
      <c r="H20" s="111">
        <v>0</v>
      </c>
      <c r="I20" s="110">
        <v>0</v>
      </c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>
        <v>0</v>
      </c>
      <c r="I21" s="110">
        <v>0</v>
      </c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>
        <v>0</v>
      </c>
      <c r="D22" s="109"/>
      <c r="E22" s="110"/>
      <c r="F22" s="108"/>
      <c r="G22" s="110"/>
      <c r="H22" s="111">
        <v>0</v>
      </c>
      <c r="I22" s="110">
        <v>0</v>
      </c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/>
      <c r="E23" s="110"/>
      <c r="F23" s="108"/>
      <c r="G23" s="110"/>
      <c r="H23" s="111">
        <v>0</v>
      </c>
      <c r="I23" s="110">
        <v>0</v>
      </c>
      <c r="J23" s="112"/>
      <c r="K23" s="113">
        <f t="shared" si="0"/>
        <v>0</v>
      </c>
      <c r="L23"/>
    </row>
    <row r="24" spans="1:12" x14ac:dyDescent="0.35">
      <c r="A24" s="93">
        <v>562.49</v>
      </c>
      <c r="B24" s="29" t="s">
        <v>47</v>
      </c>
      <c r="C24" s="108"/>
      <c r="D24" s="109"/>
      <c r="E24" s="110"/>
      <c r="F24" s="108"/>
      <c r="G24" s="110"/>
      <c r="H24" s="111">
        <v>0</v>
      </c>
      <c r="I24" s="110">
        <v>0</v>
      </c>
      <c r="J24" s="112"/>
      <c r="K24" s="113">
        <f t="shared" si="0"/>
        <v>0</v>
      </c>
      <c r="L24"/>
    </row>
    <row r="25" spans="1:12" x14ac:dyDescent="0.35">
      <c r="A25" s="93">
        <v>562.52</v>
      </c>
      <c r="B25" s="16" t="s">
        <v>18</v>
      </c>
      <c r="C25" s="108"/>
      <c r="D25" s="109"/>
      <c r="E25" s="110"/>
      <c r="F25" s="108"/>
      <c r="G25" s="110"/>
      <c r="H25" s="111">
        <v>0</v>
      </c>
      <c r="I25" s="110">
        <v>0</v>
      </c>
      <c r="J25" s="112"/>
      <c r="K25" s="113">
        <f t="shared" si="0"/>
        <v>0</v>
      </c>
      <c r="L25"/>
    </row>
    <row r="26" spans="1:12" x14ac:dyDescent="0.35">
      <c r="A26" s="93">
        <v>562.53</v>
      </c>
      <c r="B26" s="29" t="s">
        <v>59</v>
      </c>
      <c r="C26" s="108"/>
      <c r="D26" s="109"/>
      <c r="E26" s="110">
        <v>6211</v>
      </c>
      <c r="F26" s="108"/>
      <c r="G26" s="110"/>
      <c r="H26" s="111">
        <v>0</v>
      </c>
      <c r="I26" s="110">
        <v>5083</v>
      </c>
      <c r="J26" s="112"/>
      <c r="K26" s="113">
        <f t="shared" si="0"/>
        <v>11294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66</v>
      </c>
      <c r="E27" s="110"/>
      <c r="F27" s="108"/>
      <c r="G27" s="110"/>
      <c r="H27" s="111">
        <v>0</v>
      </c>
      <c r="I27" s="110">
        <f>36575+50</f>
        <v>36625</v>
      </c>
      <c r="J27" s="112">
        <v>70</v>
      </c>
      <c r="K27" s="113">
        <f t="shared" si="0"/>
        <v>36761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653</v>
      </c>
      <c r="E28" s="110"/>
      <c r="F28" s="108"/>
      <c r="G28" s="110"/>
      <c r="H28" s="111">
        <v>0</v>
      </c>
      <c r="I28" s="110"/>
      <c r="J28" s="112">
        <v>699</v>
      </c>
      <c r="K28" s="113">
        <f t="shared" si="0"/>
        <v>1352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/>
      <c r="E29" s="110"/>
      <c r="F29" s="108"/>
      <c r="G29" s="110"/>
      <c r="H29" s="111">
        <v>0</v>
      </c>
      <c r="I29" s="110">
        <v>6114</v>
      </c>
      <c r="J29" s="112"/>
      <c r="K29" s="113">
        <f t="shared" si="0"/>
        <v>6114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/>
      <c r="E30" s="110"/>
      <c r="F30" s="108"/>
      <c r="G30" s="110"/>
      <c r="H30" s="111">
        <v>0</v>
      </c>
      <c r="I30" s="110">
        <v>0</v>
      </c>
      <c r="J30" s="112"/>
      <c r="K30" s="113">
        <f t="shared" si="0"/>
        <v>0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>
        <v>0</v>
      </c>
      <c r="I31" s="110">
        <v>154</v>
      </c>
      <c r="J31" s="112"/>
      <c r="K31" s="113">
        <f t="shared" si="0"/>
        <v>154</v>
      </c>
      <c r="L31"/>
    </row>
    <row r="32" spans="1:12" x14ac:dyDescent="0.35">
      <c r="A32" s="93">
        <v>562.59</v>
      </c>
      <c r="B32" s="29" t="s">
        <v>49</v>
      </c>
      <c r="C32" s="108"/>
      <c r="D32" s="109">
        <v>246</v>
      </c>
      <c r="E32" s="110"/>
      <c r="F32" s="108"/>
      <c r="G32" s="110"/>
      <c r="H32" s="111">
        <v>0</v>
      </c>
      <c r="I32" s="110">
        <v>0</v>
      </c>
      <c r="J32" s="112">
        <v>263</v>
      </c>
      <c r="K32" s="113">
        <f t="shared" si="0"/>
        <v>509</v>
      </c>
      <c r="L32"/>
    </row>
    <row r="33" spans="1:12" x14ac:dyDescent="0.35">
      <c r="A33" s="93">
        <v>562.6</v>
      </c>
      <c r="B33" s="16" t="s">
        <v>21</v>
      </c>
      <c r="C33" s="108"/>
      <c r="D33" s="109">
        <v>378</v>
      </c>
      <c r="E33" s="110"/>
      <c r="F33" s="108"/>
      <c r="G33" s="110"/>
      <c r="H33" s="111">
        <v>0</v>
      </c>
      <c r="I33" s="110">
        <v>0</v>
      </c>
      <c r="J33" s="112">
        <v>406</v>
      </c>
      <c r="K33" s="113">
        <f t="shared" si="0"/>
        <v>784</v>
      </c>
      <c r="L33"/>
    </row>
    <row r="34" spans="1:12" x14ac:dyDescent="0.35">
      <c r="A34" s="93">
        <v>562.71</v>
      </c>
      <c r="B34" s="16" t="s">
        <v>22</v>
      </c>
      <c r="C34" s="108"/>
      <c r="D34" s="109">
        <v>2718</v>
      </c>
      <c r="E34" s="110"/>
      <c r="F34" s="108"/>
      <c r="G34" s="110"/>
      <c r="H34" s="111">
        <v>0</v>
      </c>
      <c r="I34" s="110">
        <v>5636</v>
      </c>
      <c r="J34" s="112">
        <v>2911</v>
      </c>
      <c r="K34" s="113">
        <f t="shared" si="0"/>
        <v>11265</v>
      </c>
      <c r="L34"/>
    </row>
    <row r="35" spans="1:12" x14ac:dyDescent="0.35">
      <c r="A35" s="93">
        <v>562.72</v>
      </c>
      <c r="B35" s="16" t="s">
        <v>23</v>
      </c>
      <c r="C35" s="108"/>
      <c r="D35" s="109"/>
      <c r="E35" s="110"/>
      <c r="F35" s="108"/>
      <c r="G35" s="110"/>
      <c r="H35" s="111">
        <v>0</v>
      </c>
      <c r="I35" s="110">
        <v>0</v>
      </c>
      <c r="J35" s="112"/>
      <c r="K35" s="113">
        <f t="shared" si="0"/>
        <v>0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>
        <v>0</v>
      </c>
      <c r="I36" s="110">
        <v>0</v>
      </c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>
        <v>0</v>
      </c>
      <c r="I37" s="110">
        <v>0</v>
      </c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>
        <v>0</v>
      </c>
      <c r="I38" s="110">
        <v>0</v>
      </c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>
        <v>0</v>
      </c>
      <c r="I39" s="110">
        <v>0</v>
      </c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/>
      <c r="E40" s="110"/>
      <c r="F40" s="108"/>
      <c r="G40" s="110"/>
      <c r="H40" s="111">
        <v>0</v>
      </c>
      <c r="I40" s="110">
        <v>0</v>
      </c>
      <c r="J40" s="112"/>
      <c r="K40" s="113">
        <f t="shared" si="0"/>
        <v>0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3607</v>
      </c>
      <c r="E41" s="110"/>
      <c r="F41" s="108">
        <v>31111</v>
      </c>
      <c r="G41" s="110"/>
      <c r="H41" s="111">
        <v>0</v>
      </c>
      <c r="I41" s="110">
        <v>0</v>
      </c>
      <c r="J41" s="112">
        <v>3862</v>
      </c>
      <c r="K41" s="113">
        <f t="shared" si="0"/>
        <v>38580</v>
      </c>
      <c r="L41"/>
    </row>
    <row r="42" spans="1:12" x14ac:dyDescent="0.35">
      <c r="A42" s="93">
        <v>562.9</v>
      </c>
      <c r="B42" s="16" t="s">
        <v>28</v>
      </c>
      <c r="C42" s="108"/>
      <c r="D42" s="109">
        <v>4570</v>
      </c>
      <c r="E42" s="110"/>
      <c r="F42" s="108"/>
      <c r="G42" s="110">
        <v>9464</v>
      </c>
      <c r="H42" s="111">
        <v>0</v>
      </c>
      <c r="I42" s="110">
        <v>0</v>
      </c>
      <c r="J42" s="112">
        <v>4894</v>
      </c>
      <c r="K42" s="113">
        <f t="shared" si="0"/>
        <v>18928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0</v>
      </c>
      <c r="D44" s="121">
        <f t="shared" si="1"/>
        <v>159890</v>
      </c>
      <c r="E44" s="122">
        <f t="shared" si="1"/>
        <v>6211</v>
      </c>
      <c r="F44" s="120">
        <f t="shared" si="1"/>
        <v>182314</v>
      </c>
      <c r="G44" s="123">
        <f t="shared" si="1"/>
        <v>43270</v>
      </c>
      <c r="H44" s="124">
        <f t="shared" si="1"/>
        <v>40060</v>
      </c>
      <c r="I44" s="122">
        <f t="shared" si="1"/>
        <v>73797</v>
      </c>
      <c r="J44" s="125">
        <f t="shared" si="1"/>
        <v>48931</v>
      </c>
      <c r="K44" s="126">
        <f>SUM(C44:J44)</f>
        <v>554473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0</v>
      </c>
      <c r="D56" s="134">
        <f t="shared" si="2"/>
        <v>159890</v>
      </c>
      <c r="E56" s="135">
        <f t="shared" si="2"/>
        <v>6211</v>
      </c>
      <c r="F56" s="133">
        <f t="shared" si="2"/>
        <v>182314</v>
      </c>
      <c r="G56" s="136">
        <f t="shared" si="2"/>
        <v>43270</v>
      </c>
      <c r="H56" s="137">
        <f t="shared" si="2"/>
        <v>40060</v>
      </c>
      <c r="I56" s="138">
        <f t="shared" si="2"/>
        <v>73797</v>
      </c>
      <c r="J56" s="139">
        <f t="shared" si="2"/>
        <v>48931</v>
      </c>
      <c r="K56" s="140">
        <f>SUM(C56:J56)</f>
        <v>554473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0</v>
      </c>
      <c r="D62" s="20">
        <f>C56/$K56</f>
        <v>0</v>
      </c>
    </row>
    <row r="63" spans="1:12" x14ac:dyDescent="0.35">
      <c r="B63" s="8" t="s">
        <v>2</v>
      </c>
      <c r="C63" s="21">
        <f>D56</f>
        <v>159890</v>
      </c>
      <c r="D63" s="20">
        <f>D56/$K56</f>
        <v>0.28836390590705047</v>
      </c>
    </row>
    <row r="64" spans="1:12" x14ac:dyDescent="0.35">
      <c r="B64" s="27" t="s">
        <v>41</v>
      </c>
      <c r="C64" s="22">
        <f>E56</f>
        <v>6211</v>
      </c>
      <c r="D64" s="57">
        <f>E56/$K56</f>
        <v>1.1201627491329604E-2</v>
      </c>
    </row>
    <row r="65" spans="2:4" ht="15" thickBot="1" x14ac:dyDescent="0.4">
      <c r="B65" s="192" t="s">
        <v>75</v>
      </c>
      <c r="C65" s="23">
        <f>SUM(C62:C64)</f>
        <v>166101</v>
      </c>
      <c r="D65" s="24">
        <f>SUM(D62:D64)</f>
        <v>0.29956553339838005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182314</v>
      </c>
      <c r="D67" s="7">
        <f>F56/K56</f>
        <v>0.32880591119856151</v>
      </c>
    </row>
    <row r="68" spans="2:4" x14ac:dyDescent="0.35">
      <c r="B68" s="28" t="s">
        <v>5</v>
      </c>
      <c r="C68" s="9">
        <f>G56</f>
        <v>43270</v>
      </c>
      <c r="D68" s="10">
        <f>G56/K56</f>
        <v>7.8038064973407179E-2</v>
      </c>
    </row>
    <row r="69" spans="2:4" ht="15" thickBot="1" x14ac:dyDescent="0.4">
      <c r="B69" s="192" t="s">
        <v>76</v>
      </c>
      <c r="C69" s="23">
        <f>SUM(C67:C68)</f>
        <v>225584</v>
      </c>
      <c r="D69" s="24">
        <f>SUM(D67:D68)</f>
        <v>0.40684397617196866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40060</v>
      </c>
      <c r="D71" s="7">
        <f>H56/K56</f>
        <v>7.2248783980464332E-2</v>
      </c>
    </row>
    <row r="72" spans="2:4" x14ac:dyDescent="0.35">
      <c r="B72" s="28" t="s">
        <v>6</v>
      </c>
      <c r="C72" s="9">
        <f>I56</f>
        <v>73797</v>
      </c>
      <c r="D72" s="10">
        <f>I56/K56</f>
        <v>0.13309394686486087</v>
      </c>
    </row>
    <row r="73" spans="2:4" ht="15" thickBot="1" x14ac:dyDescent="0.4">
      <c r="B73" s="192" t="s">
        <v>77</v>
      </c>
      <c r="C73" s="54">
        <f>SUM(C71:C72)</f>
        <v>113857</v>
      </c>
      <c r="D73" s="24">
        <f>SUM(D71:D72)</f>
        <v>0.2053427308453252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48931</v>
      </c>
      <c r="D75" s="24">
        <f>J56/K56</f>
        <v>8.8247759584326013E-2</v>
      </c>
    </row>
    <row r="76" spans="2:4" ht="15" thickBot="1" x14ac:dyDescent="0.4">
      <c r="B76" s="36" t="s">
        <v>42</v>
      </c>
      <c r="C76" s="37">
        <f>C65+C69+C73+C75</f>
        <v>554473</v>
      </c>
      <c r="D76" s="38">
        <f>D65+D69+D73+D75</f>
        <v>0.99999999999999978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101" priority="9">
      <formula>ROW()=EVEN(ROW())</formula>
    </cfRule>
  </conditionalFormatting>
  <conditionalFormatting sqref="K45:K55">
    <cfRule type="expression" dxfId="100" priority="1">
      <formula>ROW()=EVEN(ROW())</formula>
    </cfRule>
  </conditionalFormatting>
  <conditionalFormatting sqref="K5:K44">
    <cfRule type="expression" dxfId="99" priority="3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ASOTIN</oddHeader>
  </headerFooter>
  <rowBreaks count="1" manualBreakCount="1">
    <brk id="44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Zeros="0" view="pageLayout" zoomScaleNormal="100" workbookViewId="0">
      <selection activeCell="G11" sqref="G11"/>
    </sheetView>
  </sheetViews>
  <sheetFormatPr defaultRowHeight="14.5" x14ac:dyDescent="0.35"/>
  <cols>
    <col min="1" max="1" width="7.453125" customWidth="1"/>
    <col min="2" max="2" width="35.1796875" bestFit="1" customWidth="1"/>
    <col min="3" max="4" width="11.54296875" customWidth="1"/>
    <col min="5" max="9" width="11.54296875" style="43" customWidth="1"/>
    <col min="10" max="10" width="17.1796875" bestFit="1" customWidth="1"/>
    <col min="11" max="11" width="11.54296875" customWidth="1"/>
    <col min="12" max="12" width="11.54296875" style="43" customWidth="1"/>
  </cols>
  <sheetData>
    <row r="1" spans="1:12" x14ac:dyDescent="0.35">
      <c r="A1" s="4" t="s">
        <v>70</v>
      </c>
      <c r="B1" s="3"/>
      <c r="C1" s="13">
        <v>275740</v>
      </c>
      <c r="D1" s="2"/>
      <c r="E1" s="41"/>
      <c r="F1" s="41"/>
      <c r="G1" s="41"/>
      <c r="H1" s="41"/>
      <c r="I1" s="41"/>
      <c r="J1" s="1"/>
      <c r="K1" s="1"/>
      <c r="L1" s="41"/>
    </row>
    <row r="2" spans="1:12" ht="15" thickBot="1" x14ac:dyDescent="0.4">
      <c r="A2" s="85" t="s">
        <v>7</v>
      </c>
      <c r="B2" s="3"/>
      <c r="C2" s="60">
        <v>89.37</v>
      </c>
      <c r="D2" s="2"/>
      <c r="E2" s="41"/>
      <c r="F2" s="41"/>
      <c r="G2" s="41"/>
      <c r="H2" s="41"/>
      <c r="I2" s="59"/>
      <c r="J2" s="4"/>
      <c r="K2" s="89" t="s">
        <v>69</v>
      </c>
    </row>
    <row r="3" spans="1:12" ht="15.5" thickTop="1" thickBot="1" x14ac:dyDescent="0.4">
      <c r="A3" s="86"/>
      <c r="B3" s="87"/>
      <c r="C3" s="255" t="s">
        <v>71</v>
      </c>
      <c r="D3" s="256"/>
      <c r="E3" s="256"/>
      <c r="F3" s="255" t="s">
        <v>72</v>
      </c>
      <c r="G3" s="256"/>
      <c r="H3" s="257" t="s">
        <v>73</v>
      </c>
      <c r="I3" s="258"/>
      <c r="J3" s="83" t="s">
        <v>74</v>
      </c>
      <c r="K3" s="80"/>
      <c r="L3"/>
    </row>
    <row r="4" spans="1:12" ht="69" customHeight="1" thickTop="1" thickBot="1" x14ac:dyDescent="0.4">
      <c r="A4" s="98" t="s">
        <v>67</v>
      </c>
      <c r="B4" s="14" t="s">
        <v>66</v>
      </c>
      <c r="C4" s="47" t="s">
        <v>1</v>
      </c>
      <c r="D4" s="49" t="s">
        <v>2</v>
      </c>
      <c r="E4" s="42" t="s">
        <v>3</v>
      </c>
      <c r="F4" s="44" t="s">
        <v>4</v>
      </c>
      <c r="G4" s="46" t="s">
        <v>64</v>
      </c>
      <c r="H4" s="39" t="s">
        <v>63</v>
      </c>
      <c r="I4" s="50" t="s">
        <v>6</v>
      </c>
      <c r="J4" s="51" t="s">
        <v>8</v>
      </c>
      <c r="K4" s="81" t="s">
        <v>0</v>
      </c>
      <c r="L4"/>
    </row>
    <row r="5" spans="1:12" x14ac:dyDescent="0.35">
      <c r="A5" s="94">
        <v>562.1</v>
      </c>
      <c r="B5" s="15" t="s">
        <v>9</v>
      </c>
      <c r="C5" s="108"/>
      <c r="D5" s="109"/>
      <c r="E5" s="110"/>
      <c r="F5" s="108"/>
      <c r="G5" s="110"/>
      <c r="H5" s="111">
        <v>364525</v>
      </c>
      <c r="I5" s="110"/>
      <c r="J5" s="112"/>
      <c r="K5" s="113">
        <f>SUM(C5:J5)</f>
        <v>364525</v>
      </c>
      <c r="L5"/>
    </row>
    <row r="6" spans="1:12" x14ac:dyDescent="0.35">
      <c r="A6" s="93">
        <v>562.21</v>
      </c>
      <c r="B6" s="16" t="s">
        <v>10</v>
      </c>
      <c r="C6" s="108"/>
      <c r="D6" s="109"/>
      <c r="E6" s="110"/>
      <c r="F6" s="108"/>
      <c r="G6" s="110"/>
      <c r="H6" s="111"/>
      <c r="I6" s="110"/>
      <c r="J6" s="112"/>
      <c r="K6" s="224">
        <f t="shared" ref="K6:K55" si="0">SUM(C6:J6)</f>
        <v>0</v>
      </c>
      <c r="L6"/>
    </row>
    <row r="7" spans="1:12" x14ac:dyDescent="0.35">
      <c r="A7" s="93">
        <v>562.22</v>
      </c>
      <c r="B7" s="29" t="s">
        <v>52</v>
      </c>
      <c r="C7" s="108"/>
      <c r="D7" s="109">
        <v>285181</v>
      </c>
      <c r="E7" s="110"/>
      <c r="F7" s="108">
        <f>131888+128556</f>
        <v>260444</v>
      </c>
      <c r="G7" s="110">
        <v>656605</v>
      </c>
      <c r="H7" s="111">
        <v>62893</v>
      </c>
      <c r="I7" s="110">
        <v>206146</v>
      </c>
      <c r="J7" s="112"/>
      <c r="K7" s="113">
        <f t="shared" si="0"/>
        <v>1471269</v>
      </c>
      <c r="L7"/>
    </row>
    <row r="8" spans="1:12" x14ac:dyDescent="0.35">
      <c r="A8" s="93">
        <v>562.24</v>
      </c>
      <c r="B8" s="16" t="s">
        <v>11</v>
      </c>
      <c r="C8" s="108">
        <v>0</v>
      </c>
      <c r="D8" s="109">
        <v>47032</v>
      </c>
      <c r="E8" s="110"/>
      <c r="F8" s="114"/>
      <c r="G8" s="115">
        <v>45522</v>
      </c>
      <c r="H8" s="111">
        <v>6805</v>
      </c>
      <c r="I8" s="110">
        <v>68528</v>
      </c>
      <c r="J8" s="112"/>
      <c r="K8" s="113">
        <f t="shared" si="0"/>
        <v>167887</v>
      </c>
      <c r="L8"/>
    </row>
    <row r="9" spans="1:12" x14ac:dyDescent="0.35">
      <c r="A9" s="93">
        <v>562.25</v>
      </c>
      <c r="B9" s="29" t="s">
        <v>53</v>
      </c>
      <c r="C9" s="108"/>
      <c r="D9" s="109">
        <v>5240</v>
      </c>
      <c r="E9" s="110"/>
      <c r="F9" s="108">
        <v>121807</v>
      </c>
      <c r="G9" s="110"/>
      <c r="H9" s="111">
        <v>258</v>
      </c>
      <c r="I9" s="110"/>
      <c r="J9" s="112"/>
      <c r="K9" s="113">
        <f t="shared" si="0"/>
        <v>127305</v>
      </c>
      <c r="L9"/>
    </row>
    <row r="10" spans="1:12" x14ac:dyDescent="0.35">
      <c r="A10" s="93">
        <v>562.26</v>
      </c>
      <c r="B10" s="29" t="s">
        <v>44</v>
      </c>
      <c r="C10" s="108"/>
      <c r="D10" s="109"/>
      <c r="E10" s="110"/>
      <c r="F10" s="108"/>
      <c r="G10" s="110"/>
      <c r="H10" s="111"/>
      <c r="I10" s="110"/>
      <c r="J10" s="112"/>
      <c r="K10" s="113">
        <f t="shared" si="0"/>
        <v>0</v>
      </c>
      <c r="L10"/>
    </row>
    <row r="11" spans="1:12" x14ac:dyDescent="0.35">
      <c r="A11" s="93">
        <v>562.27</v>
      </c>
      <c r="B11" s="29" t="s">
        <v>45</v>
      </c>
      <c r="C11" s="108"/>
      <c r="D11" s="109"/>
      <c r="E11" s="110"/>
      <c r="F11" s="108"/>
      <c r="G11" s="110"/>
      <c r="H11" s="111"/>
      <c r="I11" s="110"/>
      <c r="J11" s="112"/>
      <c r="K11" s="113">
        <f t="shared" si="0"/>
        <v>0</v>
      </c>
      <c r="L11"/>
    </row>
    <row r="12" spans="1:12" x14ac:dyDescent="0.35">
      <c r="A12" s="93">
        <v>562.28</v>
      </c>
      <c r="B12" s="29" t="s">
        <v>54</v>
      </c>
      <c r="C12" s="108"/>
      <c r="D12" s="109">
        <v>90898</v>
      </c>
      <c r="E12" s="110"/>
      <c r="F12" s="108">
        <v>1349472</v>
      </c>
      <c r="G12" s="110"/>
      <c r="H12" s="111">
        <v>4467</v>
      </c>
      <c r="I12" s="110"/>
      <c r="J12" s="112"/>
      <c r="K12" s="113">
        <f t="shared" si="0"/>
        <v>1444837</v>
      </c>
      <c r="L12"/>
    </row>
    <row r="13" spans="1:12" x14ac:dyDescent="0.35">
      <c r="A13" s="93">
        <v>562.29</v>
      </c>
      <c r="B13" s="29" t="s">
        <v>46</v>
      </c>
      <c r="C13" s="108"/>
      <c r="D13" s="109"/>
      <c r="E13" s="110"/>
      <c r="F13" s="108"/>
      <c r="G13" s="110">
        <v>153638</v>
      </c>
      <c r="H13" s="111"/>
      <c r="I13" s="110"/>
      <c r="J13" s="112"/>
      <c r="K13" s="113">
        <f t="shared" si="0"/>
        <v>153638</v>
      </c>
      <c r="L13"/>
    </row>
    <row r="14" spans="1:12" x14ac:dyDescent="0.35">
      <c r="A14" s="93">
        <v>562.32000000000005</v>
      </c>
      <c r="B14" s="16" t="s">
        <v>12</v>
      </c>
      <c r="C14" s="108"/>
      <c r="D14" s="109">
        <v>257558</v>
      </c>
      <c r="E14" s="110"/>
      <c r="F14" s="108">
        <v>86585</v>
      </c>
      <c r="G14" s="110"/>
      <c r="H14" s="111">
        <v>6993</v>
      </c>
      <c r="I14" s="110">
        <v>744835</v>
      </c>
      <c r="J14" s="112"/>
      <c r="K14" s="113">
        <f t="shared" si="0"/>
        <v>1095971</v>
      </c>
      <c r="L14"/>
    </row>
    <row r="15" spans="1:12" x14ac:dyDescent="0.35">
      <c r="A15" s="93">
        <v>562.33000000000004</v>
      </c>
      <c r="B15" s="29" t="s">
        <v>55</v>
      </c>
      <c r="C15" s="108"/>
      <c r="D15" s="109">
        <v>26071</v>
      </c>
      <c r="E15" s="110"/>
      <c r="F15" s="108"/>
      <c r="G15" s="110"/>
      <c r="H15" s="111">
        <v>1028</v>
      </c>
      <c r="I15" s="110"/>
      <c r="J15" s="112"/>
      <c r="K15" s="113">
        <f t="shared" si="0"/>
        <v>27099</v>
      </c>
      <c r="L15"/>
    </row>
    <row r="16" spans="1:12" x14ac:dyDescent="0.35">
      <c r="A16" s="93">
        <v>562.34</v>
      </c>
      <c r="B16" s="16" t="s">
        <v>13</v>
      </c>
      <c r="C16" s="108"/>
      <c r="D16" s="109">
        <v>3428</v>
      </c>
      <c r="E16" s="110"/>
      <c r="F16" s="108"/>
      <c r="G16" s="110"/>
      <c r="H16" s="111">
        <v>64664</v>
      </c>
      <c r="I16" s="110">
        <v>55675</v>
      </c>
      <c r="J16" s="112"/>
      <c r="K16" s="113">
        <f t="shared" si="0"/>
        <v>123767</v>
      </c>
      <c r="L16"/>
    </row>
    <row r="17" spans="1:12" x14ac:dyDescent="0.35">
      <c r="A17" s="93">
        <v>562.35</v>
      </c>
      <c r="B17" s="16" t="s">
        <v>14</v>
      </c>
      <c r="C17" s="108">
        <f>35660+68083</f>
        <v>103743</v>
      </c>
      <c r="D17" s="109">
        <v>3425</v>
      </c>
      <c r="E17" s="110"/>
      <c r="F17" s="108">
        <v>24975</v>
      </c>
      <c r="G17" s="110"/>
      <c r="H17" s="111"/>
      <c r="I17" s="110">
        <v>16852</v>
      </c>
      <c r="J17" s="112"/>
      <c r="K17" s="113">
        <f t="shared" si="0"/>
        <v>148995</v>
      </c>
      <c r="L17"/>
    </row>
    <row r="18" spans="1:12" x14ac:dyDescent="0.35">
      <c r="A18" s="93">
        <v>562.39</v>
      </c>
      <c r="B18" s="16" t="s">
        <v>15</v>
      </c>
      <c r="C18" s="108"/>
      <c r="D18" s="109">
        <v>155491</v>
      </c>
      <c r="E18" s="110"/>
      <c r="F18" s="108"/>
      <c r="G18" s="110"/>
      <c r="H18" s="111">
        <v>2942</v>
      </c>
      <c r="I18" s="110"/>
      <c r="J18" s="112"/>
      <c r="K18" s="113">
        <f t="shared" si="0"/>
        <v>158433</v>
      </c>
      <c r="L18"/>
    </row>
    <row r="19" spans="1:12" x14ac:dyDescent="0.35">
      <c r="A19" s="93">
        <v>562.41</v>
      </c>
      <c r="B19" s="16" t="s">
        <v>16</v>
      </c>
      <c r="C19" s="108"/>
      <c r="D19" s="109"/>
      <c r="E19" s="110"/>
      <c r="F19" s="108"/>
      <c r="G19" s="110"/>
      <c r="H19" s="111"/>
      <c r="I19" s="110"/>
      <c r="J19" s="112"/>
      <c r="K19" s="113">
        <f t="shared" si="0"/>
        <v>0</v>
      </c>
      <c r="L19"/>
    </row>
    <row r="20" spans="1:12" x14ac:dyDescent="0.35">
      <c r="A20" s="93">
        <v>562.41999999999996</v>
      </c>
      <c r="B20" s="16" t="s">
        <v>17</v>
      </c>
      <c r="C20" s="108"/>
      <c r="D20" s="109"/>
      <c r="E20" s="110"/>
      <c r="F20" s="108"/>
      <c r="G20" s="110"/>
      <c r="H20" s="111"/>
      <c r="I20" s="110"/>
      <c r="J20" s="112"/>
      <c r="K20" s="113">
        <f t="shared" si="0"/>
        <v>0</v>
      </c>
      <c r="L20"/>
    </row>
    <row r="21" spans="1:12" x14ac:dyDescent="0.35">
      <c r="A21" s="93">
        <v>562.42999999999995</v>
      </c>
      <c r="B21" s="29" t="s">
        <v>56</v>
      </c>
      <c r="C21" s="108"/>
      <c r="D21" s="109"/>
      <c r="E21" s="110"/>
      <c r="F21" s="108"/>
      <c r="G21" s="110"/>
      <c r="H21" s="111"/>
      <c r="I21" s="110"/>
      <c r="J21" s="112"/>
      <c r="K21" s="113">
        <f t="shared" si="0"/>
        <v>0</v>
      </c>
      <c r="L21"/>
    </row>
    <row r="22" spans="1:12" x14ac:dyDescent="0.35">
      <c r="A22" s="93">
        <v>562.44000000000005</v>
      </c>
      <c r="B22" s="29" t="s">
        <v>57</v>
      </c>
      <c r="C22" s="108">
        <v>0</v>
      </c>
      <c r="D22" s="109"/>
      <c r="E22" s="110"/>
      <c r="F22" s="108"/>
      <c r="G22" s="110"/>
      <c r="H22" s="111"/>
      <c r="I22" s="110"/>
      <c r="J22" s="112"/>
      <c r="K22" s="113">
        <f t="shared" si="0"/>
        <v>0</v>
      </c>
      <c r="L22"/>
    </row>
    <row r="23" spans="1:12" x14ac:dyDescent="0.35">
      <c r="A23" s="93">
        <v>562.45000000000005</v>
      </c>
      <c r="B23" s="29" t="s">
        <v>58</v>
      </c>
      <c r="C23" s="108"/>
      <c r="D23" s="109">
        <v>61499</v>
      </c>
      <c r="E23" s="110">
        <v>8245</v>
      </c>
      <c r="F23" s="108"/>
      <c r="G23" s="110"/>
      <c r="H23" s="111">
        <v>773</v>
      </c>
      <c r="I23" s="110"/>
      <c r="J23" s="112"/>
      <c r="K23" s="113">
        <f t="shared" si="0"/>
        <v>70517</v>
      </c>
      <c r="L23"/>
    </row>
    <row r="24" spans="1:12" x14ac:dyDescent="0.35">
      <c r="A24" s="93">
        <v>562.49</v>
      </c>
      <c r="B24" s="29" t="s">
        <v>47</v>
      </c>
      <c r="C24" s="108"/>
      <c r="D24" s="109">
        <v>55366</v>
      </c>
      <c r="E24" s="110">
        <v>17487</v>
      </c>
      <c r="F24" s="108"/>
      <c r="G24" s="110">
        <v>416840</v>
      </c>
      <c r="H24" s="111">
        <v>460</v>
      </c>
      <c r="I24" s="110"/>
      <c r="J24" s="112">
        <v>86980</v>
      </c>
      <c r="K24" s="113">
        <f t="shared" si="0"/>
        <v>577133</v>
      </c>
      <c r="L24"/>
    </row>
    <row r="25" spans="1:12" x14ac:dyDescent="0.35">
      <c r="A25" s="93">
        <v>562.52</v>
      </c>
      <c r="B25" s="16" t="s">
        <v>18</v>
      </c>
      <c r="C25" s="108"/>
      <c r="D25" s="109">
        <v>21744</v>
      </c>
      <c r="E25" s="110">
        <v>3544</v>
      </c>
      <c r="F25" s="108"/>
      <c r="G25" s="110"/>
      <c r="H25" s="111"/>
      <c r="I25" s="110">
        <v>19345</v>
      </c>
      <c r="J25" s="112"/>
      <c r="K25" s="113">
        <f t="shared" si="0"/>
        <v>44633</v>
      </c>
      <c r="L25"/>
    </row>
    <row r="26" spans="1:12" x14ac:dyDescent="0.35">
      <c r="A26" s="93">
        <v>562.53</v>
      </c>
      <c r="B26" s="29" t="s">
        <v>59</v>
      </c>
      <c r="C26" s="108"/>
      <c r="D26" s="109">
        <v>710</v>
      </c>
      <c r="E26" s="110">
        <v>90743</v>
      </c>
      <c r="F26" s="108"/>
      <c r="G26" s="110"/>
      <c r="H26" s="111"/>
      <c r="I26" s="110">
        <v>30660</v>
      </c>
      <c r="J26" s="112"/>
      <c r="K26" s="113">
        <f t="shared" si="0"/>
        <v>122113</v>
      </c>
      <c r="L26"/>
    </row>
    <row r="27" spans="1:12" x14ac:dyDescent="0.35">
      <c r="A27" s="93">
        <v>562.54</v>
      </c>
      <c r="B27" s="29" t="s">
        <v>60</v>
      </c>
      <c r="C27" s="108"/>
      <c r="D27" s="109">
        <v>169069</v>
      </c>
      <c r="E27" s="110"/>
      <c r="F27" s="108"/>
      <c r="G27" s="110"/>
      <c r="H27" s="111"/>
      <c r="I27" s="110">
        <v>420120</v>
      </c>
      <c r="J27" s="112"/>
      <c r="K27" s="113">
        <f t="shared" si="0"/>
        <v>589189</v>
      </c>
      <c r="L27"/>
    </row>
    <row r="28" spans="1:12" x14ac:dyDescent="0.35">
      <c r="A28" s="93">
        <v>562.54999999999995</v>
      </c>
      <c r="B28" s="16" t="s">
        <v>19</v>
      </c>
      <c r="C28" s="108"/>
      <c r="D28" s="109">
        <v>42429</v>
      </c>
      <c r="E28" s="110"/>
      <c r="F28" s="108"/>
      <c r="G28" s="110"/>
      <c r="H28" s="111"/>
      <c r="I28" s="110"/>
      <c r="J28" s="112"/>
      <c r="K28" s="113">
        <f t="shared" si="0"/>
        <v>42429</v>
      </c>
      <c r="L28"/>
    </row>
    <row r="29" spans="1:12" x14ac:dyDescent="0.35">
      <c r="A29" s="93">
        <v>562.55999999999995</v>
      </c>
      <c r="B29" s="16" t="s">
        <v>20</v>
      </c>
      <c r="C29" s="108"/>
      <c r="D29" s="109">
        <v>179152</v>
      </c>
      <c r="E29" s="110"/>
      <c r="F29" s="108"/>
      <c r="G29" s="110"/>
      <c r="H29" s="111">
        <v>2965</v>
      </c>
      <c r="I29" s="110">
        <f>625522+25325</f>
        <v>650847</v>
      </c>
      <c r="J29" s="112"/>
      <c r="K29" s="113">
        <f t="shared" si="0"/>
        <v>832964</v>
      </c>
      <c r="L29"/>
    </row>
    <row r="30" spans="1:12" x14ac:dyDescent="0.35">
      <c r="A30" s="93">
        <v>562.57000000000005</v>
      </c>
      <c r="B30" s="29" t="s">
        <v>61</v>
      </c>
      <c r="C30" s="108"/>
      <c r="D30" s="109">
        <v>3844</v>
      </c>
      <c r="E30" s="110">
        <v>4955</v>
      </c>
      <c r="F30" s="108"/>
      <c r="G30" s="110"/>
      <c r="H30" s="111"/>
      <c r="I30" s="110"/>
      <c r="J30" s="112"/>
      <c r="K30" s="113">
        <f t="shared" si="0"/>
        <v>8799</v>
      </c>
      <c r="L30"/>
    </row>
    <row r="31" spans="1:12" x14ac:dyDescent="0.35">
      <c r="A31" s="93">
        <v>562.58000000000004</v>
      </c>
      <c r="B31" s="29" t="s">
        <v>48</v>
      </c>
      <c r="C31" s="108"/>
      <c r="D31" s="109"/>
      <c r="E31" s="110"/>
      <c r="F31" s="108"/>
      <c r="G31" s="110"/>
      <c r="H31" s="111"/>
      <c r="I31" s="110">
        <f>43260+3750</f>
        <v>47010</v>
      </c>
      <c r="J31" s="112"/>
      <c r="K31" s="113">
        <f t="shared" si="0"/>
        <v>47010</v>
      </c>
      <c r="L31"/>
    </row>
    <row r="32" spans="1:12" x14ac:dyDescent="0.35">
      <c r="A32" s="93">
        <v>562.59</v>
      </c>
      <c r="B32" s="29" t="s">
        <v>49</v>
      </c>
      <c r="C32" s="108"/>
      <c r="D32" s="109"/>
      <c r="E32" s="110"/>
      <c r="F32" s="108"/>
      <c r="G32" s="110"/>
      <c r="H32" s="111"/>
      <c r="I32" s="110"/>
      <c r="J32" s="112"/>
      <c r="K32" s="113">
        <f t="shared" si="0"/>
        <v>0</v>
      </c>
      <c r="L32"/>
    </row>
    <row r="33" spans="1:12" x14ac:dyDescent="0.35">
      <c r="A33" s="93">
        <v>562.6</v>
      </c>
      <c r="B33" s="16" t="s">
        <v>21</v>
      </c>
      <c r="C33" s="108"/>
      <c r="D33" s="109"/>
      <c r="E33" s="110"/>
      <c r="F33" s="108"/>
      <c r="G33" s="110"/>
      <c r="H33" s="111"/>
      <c r="I33" s="110"/>
      <c r="J33" s="112"/>
      <c r="K33" s="113">
        <f t="shared" si="0"/>
        <v>0</v>
      </c>
      <c r="L33"/>
    </row>
    <row r="34" spans="1:12" x14ac:dyDescent="0.35">
      <c r="A34" s="93">
        <v>562.71</v>
      </c>
      <c r="B34" s="16" t="s">
        <v>22</v>
      </c>
      <c r="C34" s="108"/>
      <c r="D34" s="109"/>
      <c r="E34" s="110"/>
      <c r="F34" s="108"/>
      <c r="G34" s="110"/>
      <c r="H34" s="111">
        <v>8960</v>
      </c>
      <c r="I34" s="110">
        <v>422565</v>
      </c>
      <c r="J34" s="112"/>
      <c r="K34" s="113">
        <f t="shared" si="0"/>
        <v>431525</v>
      </c>
      <c r="L34"/>
    </row>
    <row r="35" spans="1:12" x14ac:dyDescent="0.35">
      <c r="A35" s="93">
        <v>562.72</v>
      </c>
      <c r="B35" s="16" t="s">
        <v>23</v>
      </c>
      <c r="C35" s="108"/>
      <c r="D35" s="109">
        <v>61478</v>
      </c>
      <c r="E35" s="110"/>
      <c r="F35" s="108"/>
      <c r="G35" s="110"/>
      <c r="H35" s="111">
        <v>674</v>
      </c>
      <c r="I35" s="110">
        <v>254527</v>
      </c>
      <c r="J35" s="112"/>
      <c r="K35" s="113">
        <f t="shared" si="0"/>
        <v>316679</v>
      </c>
      <c r="L35"/>
    </row>
    <row r="36" spans="1:12" x14ac:dyDescent="0.35">
      <c r="A36" s="93">
        <v>562.73</v>
      </c>
      <c r="B36" s="16" t="s">
        <v>24</v>
      </c>
      <c r="C36" s="108"/>
      <c r="D36" s="109"/>
      <c r="E36" s="110"/>
      <c r="F36" s="108"/>
      <c r="G36" s="110"/>
      <c r="H36" s="111"/>
      <c r="I36" s="110"/>
      <c r="J36" s="112"/>
      <c r="K36" s="113">
        <f t="shared" si="0"/>
        <v>0</v>
      </c>
      <c r="L36"/>
    </row>
    <row r="37" spans="1:12" x14ac:dyDescent="0.35">
      <c r="A37" s="93">
        <v>562.74</v>
      </c>
      <c r="B37" s="29" t="s">
        <v>50</v>
      </c>
      <c r="C37" s="108"/>
      <c r="D37" s="109"/>
      <c r="E37" s="110"/>
      <c r="F37" s="108"/>
      <c r="G37" s="110"/>
      <c r="H37" s="111"/>
      <c r="I37" s="110"/>
      <c r="J37" s="112"/>
      <c r="K37" s="113">
        <f t="shared" si="0"/>
        <v>0</v>
      </c>
      <c r="L37"/>
    </row>
    <row r="38" spans="1:12" x14ac:dyDescent="0.35">
      <c r="A38" s="93">
        <v>562.78</v>
      </c>
      <c r="B38" s="16" t="s">
        <v>25</v>
      </c>
      <c r="C38" s="108"/>
      <c r="D38" s="109"/>
      <c r="E38" s="110"/>
      <c r="F38" s="108"/>
      <c r="G38" s="110"/>
      <c r="H38" s="111"/>
      <c r="I38" s="110"/>
      <c r="J38" s="112"/>
      <c r="K38" s="113">
        <f t="shared" si="0"/>
        <v>0</v>
      </c>
      <c r="L38"/>
    </row>
    <row r="39" spans="1:12" x14ac:dyDescent="0.35">
      <c r="A39" s="93">
        <v>562.79</v>
      </c>
      <c r="B39" s="16" t="s">
        <v>26</v>
      </c>
      <c r="C39" s="108"/>
      <c r="D39" s="109"/>
      <c r="E39" s="110"/>
      <c r="F39" s="108"/>
      <c r="G39" s="110"/>
      <c r="H39" s="111"/>
      <c r="I39" s="110"/>
      <c r="J39" s="112"/>
      <c r="K39" s="113">
        <f t="shared" si="0"/>
        <v>0</v>
      </c>
      <c r="L39"/>
    </row>
    <row r="40" spans="1:12" x14ac:dyDescent="0.35">
      <c r="A40" s="93">
        <v>562.79999999999995</v>
      </c>
      <c r="B40" s="16" t="s">
        <v>27</v>
      </c>
      <c r="C40" s="108"/>
      <c r="D40" s="109">
        <v>130449</v>
      </c>
      <c r="E40" s="110"/>
      <c r="F40" s="108"/>
      <c r="G40" s="110"/>
      <c r="H40" s="111"/>
      <c r="I40" s="110"/>
      <c r="J40" s="112"/>
      <c r="K40" s="113">
        <f t="shared" si="0"/>
        <v>130449</v>
      </c>
      <c r="L40"/>
    </row>
    <row r="41" spans="1:12" x14ac:dyDescent="0.35">
      <c r="A41" s="93">
        <v>562.88</v>
      </c>
      <c r="B41" s="29" t="s">
        <v>51</v>
      </c>
      <c r="C41" s="108"/>
      <c r="D41" s="109">
        <v>14273</v>
      </c>
      <c r="E41" s="110"/>
      <c r="F41" s="108">
        <v>403813</v>
      </c>
      <c r="G41" s="110"/>
      <c r="H41" s="111"/>
      <c r="I41" s="110"/>
      <c r="J41" s="112"/>
      <c r="K41" s="113">
        <f t="shared" si="0"/>
        <v>418086</v>
      </c>
      <c r="L41"/>
    </row>
    <row r="42" spans="1:12" x14ac:dyDescent="0.35">
      <c r="A42" s="93">
        <v>562.9</v>
      </c>
      <c r="B42" s="16" t="s">
        <v>28</v>
      </c>
      <c r="C42" s="108"/>
      <c r="D42" s="109"/>
      <c r="E42" s="110"/>
      <c r="F42" s="108"/>
      <c r="G42" s="110"/>
      <c r="H42" s="111"/>
      <c r="I42" s="110"/>
      <c r="J42" s="112"/>
      <c r="K42" s="113">
        <f t="shared" si="0"/>
        <v>0</v>
      </c>
      <c r="L42"/>
    </row>
    <row r="43" spans="1:12" x14ac:dyDescent="0.35">
      <c r="A43" s="95">
        <v>562.99</v>
      </c>
      <c r="B43" s="14" t="s">
        <v>29</v>
      </c>
      <c r="C43" s="116"/>
      <c r="D43" s="117"/>
      <c r="E43" s="118"/>
      <c r="F43" s="116"/>
      <c r="G43" s="118"/>
      <c r="H43" s="111">
        <v>0</v>
      </c>
      <c r="I43" s="110">
        <v>0</v>
      </c>
      <c r="J43" s="119"/>
      <c r="K43" s="113">
        <f t="shared" si="0"/>
        <v>0</v>
      </c>
      <c r="L43"/>
    </row>
    <row r="44" spans="1:12" x14ac:dyDescent="0.35">
      <c r="A44" s="96" t="s">
        <v>65</v>
      </c>
      <c r="B44" s="40" t="s">
        <v>30</v>
      </c>
      <c r="C44" s="120">
        <f t="shared" ref="C44:J44" si="1">SUM(C5:C43)</f>
        <v>103743</v>
      </c>
      <c r="D44" s="121">
        <f t="shared" si="1"/>
        <v>1614337</v>
      </c>
      <c r="E44" s="122">
        <f t="shared" si="1"/>
        <v>124974</v>
      </c>
      <c r="F44" s="120">
        <f t="shared" si="1"/>
        <v>2247096</v>
      </c>
      <c r="G44" s="123">
        <f t="shared" si="1"/>
        <v>1272605</v>
      </c>
      <c r="H44" s="124">
        <f t="shared" si="1"/>
        <v>528407</v>
      </c>
      <c r="I44" s="122">
        <f t="shared" si="1"/>
        <v>2937110</v>
      </c>
      <c r="J44" s="125">
        <f t="shared" si="1"/>
        <v>86980</v>
      </c>
      <c r="K44" s="126">
        <f>SUM(C44:J44)</f>
        <v>8915252</v>
      </c>
      <c r="L44"/>
    </row>
    <row r="45" spans="1:12" x14ac:dyDescent="0.35">
      <c r="A45" s="93">
        <v>523</v>
      </c>
      <c r="B45" s="16" t="s">
        <v>31</v>
      </c>
      <c r="C45" s="127"/>
      <c r="D45" s="128"/>
      <c r="E45" s="129"/>
      <c r="F45" s="127"/>
      <c r="G45" s="129"/>
      <c r="H45" s="111">
        <v>0</v>
      </c>
      <c r="I45" s="110">
        <v>0</v>
      </c>
      <c r="J45" s="130"/>
      <c r="K45" s="113">
        <f t="shared" si="0"/>
        <v>0</v>
      </c>
      <c r="L45"/>
    </row>
    <row r="46" spans="1:12" x14ac:dyDescent="0.35">
      <c r="A46" s="93">
        <v>526</v>
      </c>
      <c r="B46" s="16" t="s">
        <v>32</v>
      </c>
      <c r="C46" s="108"/>
      <c r="D46" s="109"/>
      <c r="E46" s="110"/>
      <c r="F46" s="108"/>
      <c r="G46" s="110"/>
      <c r="H46" s="111"/>
      <c r="I46" s="110"/>
      <c r="J46" s="112"/>
      <c r="K46" s="113">
        <f t="shared" si="0"/>
        <v>0</v>
      </c>
      <c r="L46"/>
    </row>
    <row r="47" spans="1:12" x14ac:dyDescent="0.35">
      <c r="A47" s="93">
        <v>527.70000000000005</v>
      </c>
      <c r="B47" s="16" t="s">
        <v>33</v>
      </c>
      <c r="C47" s="108"/>
      <c r="D47" s="109"/>
      <c r="E47" s="110"/>
      <c r="F47" s="108"/>
      <c r="G47" s="110"/>
      <c r="H47" s="111">
        <v>0</v>
      </c>
      <c r="I47" s="110">
        <v>0</v>
      </c>
      <c r="J47" s="112"/>
      <c r="K47" s="113">
        <f t="shared" si="0"/>
        <v>0</v>
      </c>
      <c r="L47"/>
    </row>
    <row r="48" spans="1:12" x14ac:dyDescent="0.35">
      <c r="A48" s="93">
        <v>551.20000000000005</v>
      </c>
      <c r="B48" s="16" t="s">
        <v>34</v>
      </c>
      <c r="C48" s="108"/>
      <c r="D48" s="109"/>
      <c r="E48" s="110"/>
      <c r="F48" s="108"/>
      <c r="G48" s="110"/>
      <c r="H48" s="111">
        <v>0</v>
      </c>
      <c r="I48" s="110">
        <v>0</v>
      </c>
      <c r="J48" s="112"/>
      <c r="K48" s="113">
        <f t="shared" si="0"/>
        <v>0</v>
      </c>
      <c r="L48"/>
    </row>
    <row r="49" spans="1:12" x14ac:dyDescent="0.35">
      <c r="A49" s="93">
        <v>554</v>
      </c>
      <c r="B49" s="29" t="s">
        <v>62</v>
      </c>
      <c r="C49" s="108"/>
      <c r="D49" s="109"/>
      <c r="E49" s="110"/>
      <c r="F49" s="108"/>
      <c r="G49" s="110"/>
      <c r="H49" s="111">
        <v>0</v>
      </c>
      <c r="I49" s="110">
        <v>0</v>
      </c>
      <c r="J49" s="112"/>
      <c r="K49" s="113">
        <f t="shared" si="0"/>
        <v>0</v>
      </c>
      <c r="L49"/>
    </row>
    <row r="50" spans="1:12" x14ac:dyDescent="0.35">
      <c r="A50" s="93">
        <v>555</v>
      </c>
      <c r="B50" s="16" t="s">
        <v>35</v>
      </c>
      <c r="C50" s="108"/>
      <c r="D50" s="109"/>
      <c r="E50" s="110"/>
      <c r="F50" s="108"/>
      <c r="G50" s="110"/>
      <c r="H50" s="111">
        <v>0</v>
      </c>
      <c r="I50" s="110">
        <v>0</v>
      </c>
      <c r="J50" s="112"/>
      <c r="K50" s="113">
        <f t="shared" si="0"/>
        <v>0</v>
      </c>
      <c r="L50"/>
    </row>
    <row r="51" spans="1:12" x14ac:dyDescent="0.35">
      <c r="A51" s="93">
        <v>563</v>
      </c>
      <c r="B51" s="16" t="s">
        <v>36</v>
      </c>
      <c r="C51" s="108"/>
      <c r="D51" s="109"/>
      <c r="E51" s="110"/>
      <c r="F51" s="108"/>
      <c r="G51" s="110"/>
      <c r="H51" s="111">
        <v>0</v>
      </c>
      <c r="I51" s="110">
        <v>0</v>
      </c>
      <c r="J51" s="112"/>
      <c r="K51" s="113">
        <f t="shared" si="0"/>
        <v>0</v>
      </c>
      <c r="L51"/>
    </row>
    <row r="52" spans="1:12" x14ac:dyDescent="0.35">
      <c r="A52" s="93">
        <v>564</v>
      </c>
      <c r="B52" s="16" t="s">
        <v>37</v>
      </c>
      <c r="C52" s="108"/>
      <c r="D52" s="109"/>
      <c r="E52" s="110"/>
      <c r="F52" s="108"/>
      <c r="G52" s="110"/>
      <c r="H52" s="111">
        <v>0</v>
      </c>
      <c r="I52" s="110">
        <v>0</v>
      </c>
      <c r="J52" s="112"/>
      <c r="K52" s="113">
        <f t="shared" si="0"/>
        <v>0</v>
      </c>
      <c r="L52"/>
    </row>
    <row r="53" spans="1:12" x14ac:dyDescent="0.35">
      <c r="A53" s="93">
        <v>566</v>
      </c>
      <c r="B53" s="16" t="s">
        <v>38</v>
      </c>
      <c r="C53" s="108"/>
      <c r="D53" s="109"/>
      <c r="E53" s="110"/>
      <c r="F53" s="108"/>
      <c r="G53" s="110"/>
      <c r="H53" s="111">
        <v>0</v>
      </c>
      <c r="I53" s="110">
        <v>0</v>
      </c>
      <c r="J53" s="112"/>
      <c r="K53" s="113">
        <f t="shared" si="0"/>
        <v>0</v>
      </c>
      <c r="L53"/>
    </row>
    <row r="54" spans="1:12" x14ac:dyDescent="0.35">
      <c r="A54" s="93">
        <v>568</v>
      </c>
      <c r="B54" s="16" t="s">
        <v>39</v>
      </c>
      <c r="C54" s="108"/>
      <c r="D54" s="109"/>
      <c r="E54" s="110"/>
      <c r="F54" s="108"/>
      <c r="G54" s="110"/>
      <c r="H54" s="111">
        <v>0</v>
      </c>
      <c r="I54" s="110">
        <v>0</v>
      </c>
      <c r="J54" s="112"/>
      <c r="K54" s="113">
        <f t="shared" si="0"/>
        <v>0</v>
      </c>
      <c r="L54"/>
    </row>
    <row r="55" spans="1:12" x14ac:dyDescent="0.35">
      <c r="A55" s="95">
        <v>500</v>
      </c>
      <c r="B55" s="14" t="s">
        <v>68</v>
      </c>
      <c r="C55" s="116"/>
      <c r="D55" s="117"/>
      <c r="E55" s="118"/>
      <c r="F55" s="116"/>
      <c r="G55" s="118"/>
      <c r="H55" s="131">
        <v>0</v>
      </c>
      <c r="I55" s="118">
        <v>0</v>
      </c>
      <c r="J55" s="119"/>
      <c r="K55" s="132">
        <f t="shared" si="0"/>
        <v>0</v>
      </c>
      <c r="L55"/>
    </row>
    <row r="56" spans="1:12" ht="15" thickBot="1" x14ac:dyDescent="0.4">
      <c r="A56" s="97"/>
      <c r="B56" s="30" t="s">
        <v>42</v>
      </c>
      <c r="C56" s="133">
        <f t="shared" ref="C56:J56" si="2">SUM(C44:C55)</f>
        <v>103743</v>
      </c>
      <c r="D56" s="134">
        <f t="shared" si="2"/>
        <v>1614337</v>
      </c>
      <c r="E56" s="135">
        <f t="shared" si="2"/>
        <v>124974</v>
      </c>
      <c r="F56" s="133">
        <f t="shared" si="2"/>
        <v>2247096</v>
      </c>
      <c r="G56" s="136">
        <f t="shared" si="2"/>
        <v>1272605</v>
      </c>
      <c r="H56" s="137">
        <f t="shared" si="2"/>
        <v>528407</v>
      </c>
      <c r="I56" s="138">
        <f t="shared" si="2"/>
        <v>2937110</v>
      </c>
      <c r="J56" s="139">
        <f t="shared" si="2"/>
        <v>86980</v>
      </c>
      <c r="K56" s="140">
        <f>SUM(C56:J56)</f>
        <v>8915252</v>
      </c>
      <c r="L56"/>
    </row>
    <row r="57" spans="1:12" ht="15" thickTop="1" x14ac:dyDescent="0.35"/>
    <row r="58" spans="1:12" ht="15" thickBot="1" x14ac:dyDescent="0.4"/>
    <row r="59" spans="1:12" ht="15" thickBot="1" x14ac:dyDescent="0.4">
      <c r="B59" s="152" t="s">
        <v>78</v>
      </c>
      <c r="C59" s="153"/>
      <c r="D59" s="154"/>
    </row>
    <row r="60" spans="1:12" ht="15" thickTop="1" x14ac:dyDescent="0.35">
      <c r="B60" s="31"/>
      <c r="C60" s="32" t="s">
        <v>43</v>
      </c>
      <c r="D60" s="33" t="s">
        <v>40</v>
      </c>
    </row>
    <row r="61" spans="1:12" x14ac:dyDescent="0.35">
      <c r="B61" s="34" t="s">
        <v>71</v>
      </c>
      <c r="C61" s="17"/>
      <c r="D61" s="18"/>
    </row>
    <row r="62" spans="1:12" x14ac:dyDescent="0.35">
      <c r="B62" s="8" t="s">
        <v>1</v>
      </c>
      <c r="C62" s="19">
        <f>C56</f>
        <v>103743</v>
      </c>
      <c r="D62" s="20">
        <f>C56/$K56</f>
        <v>1.1636575163551181E-2</v>
      </c>
    </row>
    <row r="63" spans="1:12" x14ac:dyDescent="0.35">
      <c r="B63" s="8" t="s">
        <v>2</v>
      </c>
      <c r="C63" s="21">
        <f>D56</f>
        <v>1614337</v>
      </c>
      <c r="D63" s="20">
        <f>D56/$K56</f>
        <v>0.18107586863500885</v>
      </c>
    </row>
    <row r="64" spans="1:12" x14ac:dyDescent="0.35">
      <c r="B64" s="27" t="s">
        <v>41</v>
      </c>
      <c r="C64" s="22">
        <f>E56</f>
        <v>124974</v>
      </c>
      <c r="D64" s="57">
        <f>E56/$K56</f>
        <v>1.4017999715543655E-2</v>
      </c>
    </row>
    <row r="65" spans="2:4" ht="15" thickBot="1" x14ac:dyDescent="0.4">
      <c r="B65" s="192" t="s">
        <v>75</v>
      </c>
      <c r="C65" s="23">
        <f>SUM(C62:C64)</f>
        <v>1843054</v>
      </c>
      <c r="D65" s="24">
        <f>SUM(D62:D64)</f>
        <v>0.20673044351410369</v>
      </c>
    </row>
    <row r="66" spans="2:4" x14ac:dyDescent="0.35">
      <c r="B66" s="35" t="s">
        <v>72</v>
      </c>
      <c r="C66" s="11"/>
      <c r="D66" s="12"/>
    </row>
    <row r="67" spans="2:4" x14ac:dyDescent="0.35">
      <c r="B67" s="6" t="s">
        <v>4</v>
      </c>
      <c r="C67" s="5">
        <f>F56</f>
        <v>2247096</v>
      </c>
      <c r="D67" s="7">
        <f>F56/K56</f>
        <v>0.25205075526748993</v>
      </c>
    </row>
    <row r="68" spans="2:4" x14ac:dyDescent="0.35">
      <c r="B68" s="28" t="s">
        <v>5</v>
      </c>
      <c r="C68" s="9">
        <f>G56</f>
        <v>1272605</v>
      </c>
      <c r="D68" s="10">
        <f>G56/K56</f>
        <v>0.14274470312224488</v>
      </c>
    </row>
    <row r="69" spans="2:4" ht="15" thickBot="1" x14ac:dyDescent="0.4">
      <c r="B69" s="192" t="s">
        <v>76</v>
      </c>
      <c r="C69" s="23">
        <f>SUM(C67:C68)</f>
        <v>3519701</v>
      </c>
      <c r="D69" s="24">
        <f>SUM(D67:D68)</f>
        <v>0.39479545838973484</v>
      </c>
    </row>
    <row r="70" spans="2:4" x14ac:dyDescent="0.35">
      <c r="B70" s="35" t="s">
        <v>73</v>
      </c>
      <c r="C70" s="25"/>
      <c r="D70" s="26"/>
    </row>
    <row r="71" spans="2:4" x14ac:dyDescent="0.35">
      <c r="B71" s="6" t="s">
        <v>63</v>
      </c>
      <c r="C71" s="5">
        <f>H56</f>
        <v>528407</v>
      </c>
      <c r="D71" s="7">
        <f>H56/K56</f>
        <v>5.9270001565855907E-2</v>
      </c>
    </row>
    <row r="72" spans="2:4" x14ac:dyDescent="0.35">
      <c r="B72" s="28" t="s">
        <v>6</v>
      </c>
      <c r="C72" s="9">
        <f>I56</f>
        <v>2937110</v>
      </c>
      <c r="D72" s="10">
        <f>I56/K56</f>
        <v>0.32944778229488075</v>
      </c>
    </row>
    <row r="73" spans="2:4" ht="15" thickBot="1" x14ac:dyDescent="0.4">
      <c r="B73" s="192" t="s">
        <v>77</v>
      </c>
      <c r="C73" s="54">
        <f>SUM(C71:C72)</f>
        <v>3465517</v>
      </c>
      <c r="D73" s="24">
        <f>SUM(D71:D72)</f>
        <v>0.38871778386073663</v>
      </c>
    </row>
    <row r="74" spans="2:4" x14ac:dyDescent="0.35">
      <c r="B74" s="35" t="s">
        <v>74</v>
      </c>
      <c r="C74" s="55"/>
      <c r="D74" s="56"/>
    </row>
    <row r="75" spans="2:4" ht="15" thickBot="1" x14ac:dyDescent="0.4">
      <c r="B75" s="191" t="s">
        <v>79</v>
      </c>
      <c r="C75" s="23">
        <f>J56</f>
        <v>86980</v>
      </c>
      <c r="D75" s="24">
        <f>J56/K56</f>
        <v>9.7563142354248657E-3</v>
      </c>
    </row>
    <row r="76" spans="2:4" ht="15" thickBot="1" x14ac:dyDescent="0.4">
      <c r="B76" s="36" t="s">
        <v>42</v>
      </c>
      <c r="C76" s="37">
        <f>C65+C69+C73+C75</f>
        <v>8915252</v>
      </c>
      <c r="D76" s="38">
        <f>D65+D69+D73+D75</f>
        <v>1</v>
      </c>
    </row>
    <row r="86" spans="12:12" x14ac:dyDescent="0.35">
      <c r="L86" s="48"/>
    </row>
    <row r="87" spans="12:12" x14ac:dyDescent="0.35">
      <c r="L87" s="48"/>
    </row>
    <row r="88" spans="12:12" x14ac:dyDescent="0.35">
      <c r="L88" s="48"/>
    </row>
  </sheetData>
  <mergeCells count="3">
    <mergeCell ref="C3:E3"/>
    <mergeCell ref="F3:G3"/>
    <mergeCell ref="H3:I3"/>
  </mergeCells>
  <conditionalFormatting sqref="G8 H7:J43 A44:J55 A8:E8 A5:J6 A9:G43 A7:G7">
    <cfRule type="expression" dxfId="98" priority="3">
      <formula>ROW()=EVEN(ROW())</formula>
    </cfRule>
  </conditionalFormatting>
  <conditionalFormatting sqref="K45:K55">
    <cfRule type="expression" dxfId="97" priority="1">
      <formula>ROW()=EVEN(ROW())</formula>
    </cfRule>
  </conditionalFormatting>
  <conditionalFormatting sqref="K5:K44">
    <cfRule type="expression" dxfId="96" priority="2">
      <formula>ROW()=EVEN(ROW())</formula>
    </cfRule>
  </conditionalFormatting>
  <printOptions horizontalCentered="1"/>
  <pageMargins left="0" right="0" top="1.25" bottom="0.6" header="0.3" footer="0.3"/>
  <pageSetup scale="65" fitToHeight="2" orientation="landscape" r:id="rId1"/>
  <headerFooter>
    <oddHeader>&amp;C&amp;"-,Bold"&amp;16Expenditures by Expenditure Code and Revenue Source
2015
BENTON-FRANKLIN</oddHeader>
  </headerFooter>
  <rowBreaks count="1" manualBreakCount="1"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74</vt:i4>
      </vt:variant>
    </vt:vector>
  </HeadingPairs>
  <TitlesOfParts>
    <vt:vector size="117" baseType="lpstr">
      <vt:lpstr>Blank Page 2</vt:lpstr>
      <vt:lpstr>Blank Page 3</vt:lpstr>
      <vt:lpstr>LHJ Summary Pg 4-Do Not Input</vt:lpstr>
      <vt:lpstr>PIE Aggregate Pg 4-Do Not Input</vt:lpstr>
      <vt:lpstr>PIE Detail Pg 5-Do Not Input</vt:lpstr>
      <vt:lpstr>Exp Code Ag Pgs 6&amp;7 Do Not Inpt</vt:lpstr>
      <vt:lpstr>Adams Pgs 8-9</vt:lpstr>
      <vt:lpstr>Asotin Pgs 10-11</vt:lpstr>
      <vt:lpstr>Benton-Franklin Pgs 12-13</vt:lpstr>
      <vt:lpstr>Chelan-Douglas Pgs 14-15</vt:lpstr>
      <vt:lpstr>Clallam Pgs 16-17</vt:lpstr>
      <vt:lpstr>Clark Pgs 18-19</vt:lpstr>
      <vt:lpstr>Columbia Pgs 20-21</vt:lpstr>
      <vt:lpstr>Cowlitz Pgs 22-23</vt:lpstr>
      <vt:lpstr>Garfield Pgs 24-25</vt:lpstr>
      <vt:lpstr>Grant Pgs 26-27</vt:lpstr>
      <vt:lpstr>Grays Harbor Pgs 28-29</vt:lpstr>
      <vt:lpstr>Island Pgs 30-31</vt:lpstr>
      <vt:lpstr>Jefferson Pgs 32-33</vt:lpstr>
      <vt:lpstr>Kitsap Pgs 34-35</vt:lpstr>
      <vt:lpstr>Kittitas Pgs 36-37</vt:lpstr>
      <vt:lpstr>Klickitat Pgs 38-39</vt:lpstr>
      <vt:lpstr>Lewis Pgs 40-41</vt:lpstr>
      <vt:lpstr>Lincoln Pgs 42-43</vt:lpstr>
      <vt:lpstr>Mason Pgs 44-45</vt:lpstr>
      <vt:lpstr>Northeast Tri Pgs 46-47</vt:lpstr>
      <vt:lpstr>Okanogan Pgs 48-49</vt:lpstr>
      <vt:lpstr>Pacific Pgs 50-51</vt:lpstr>
      <vt:lpstr>San Juan Pgs 52-53</vt:lpstr>
      <vt:lpstr>Seattle-King Pgs 54-55</vt:lpstr>
      <vt:lpstr>Skagit Pgs 56-57</vt:lpstr>
      <vt:lpstr>Skamania Pgs 58-59</vt:lpstr>
      <vt:lpstr>Snohomish Pgs 60-61</vt:lpstr>
      <vt:lpstr>Spokane Pgs 62-63</vt:lpstr>
      <vt:lpstr>Tacoma-Pierce Pgs 64-65</vt:lpstr>
      <vt:lpstr>Thurston Pgs 66-67</vt:lpstr>
      <vt:lpstr>Wahkiakum Pgs 68-69</vt:lpstr>
      <vt:lpstr>Walla Walla Pgs 70-71</vt:lpstr>
      <vt:lpstr>Whatcom Pgs 72-73</vt:lpstr>
      <vt:lpstr>Whitman Pgs 74-75</vt:lpstr>
      <vt:lpstr>Yakima Pgs 76-77</vt:lpstr>
      <vt:lpstr>Revenue Matrix Pg 78</vt:lpstr>
      <vt:lpstr>Sheet1</vt:lpstr>
      <vt:lpstr>'Adams Pgs 8-9'!Print_Area</vt:lpstr>
      <vt:lpstr>'Asotin Pgs 10-11'!Print_Area</vt:lpstr>
      <vt:lpstr>'Benton-Franklin Pgs 12-13'!Print_Area</vt:lpstr>
      <vt:lpstr>'Chelan-Douglas Pgs 14-15'!Print_Area</vt:lpstr>
      <vt:lpstr>'Clallam Pgs 16-17'!Print_Area</vt:lpstr>
      <vt:lpstr>'Clark Pgs 18-19'!Print_Area</vt:lpstr>
      <vt:lpstr>'Columbia Pgs 20-21'!Print_Area</vt:lpstr>
      <vt:lpstr>'Cowlitz Pgs 22-23'!Print_Area</vt:lpstr>
      <vt:lpstr>'Exp Code Ag Pgs 6&amp;7 Do Not Inpt'!Print_Area</vt:lpstr>
      <vt:lpstr>'Garfield Pgs 24-25'!Print_Area</vt:lpstr>
      <vt:lpstr>'Grant Pgs 26-27'!Print_Area</vt:lpstr>
      <vt:lpstr>'Grays Harbor Pgs 28-29'!Print_Area</vt:lpstr>
      <vt:lpstr>'Island Pgs 30-31'!Print_Area</vt:lpstr>
      <vt:lpstr>'Jefferson Pgs 32-33'!Print_Area</vt:lpstr>
      <vt:lpstr>'Kitsap Pgs 34-35'!Print_Area</vt:lpstr>
      <vt:lpstr>'Kittitas Pgs 36-37'!Print_Area</vt:lpstr>
      <vt:lpstr>'Klickitat Pgs 38-39'!Print_Area</vt:lpstr>
      <vt:lpstr>'Lewis Pgs 40-41'!Print_Area</vt:lpstr>
      <vt:lpstr>'LHJ Summary Pg 4-Do Not Input'!Print_Area</vt:lpstr>
      <vt:lpstr>'Lincoln Pgs 42-43'!Print_Area</vt:lpstr>
      <vt:lpstr>'Mason Pgs 44-45'!Print_Area</vt:lpstr>
      <vt:lpstr>'Northeast Tri Pgs 46-47'!Print_Area</vt:lpstr>
      <vt:lpstr>'Okanogan Pgs 48-49'!Print_Area</vt:lpstr>
      <vt:lpstr>'Pacific Pgs 50-51'!Print_Area</vt:lpstr>
      <vt:lpstr>'San Juan Pgs 52-53'!Print_Area</vt:lpstr>
      <vt:lpstr>'Seattle-King Pgs 54-55'!Print_Area</vt:lpstr>
      <vt:lpstr>'Skagit Pgs 56-57'!Print_Area</vt:lpstr>
      <vt:lpstr>'Skamania Pgs 58-59'!Print_Area</vt:lpstr>
      <vt:lpstr>'Snohomish Pgs 60-61'!Print_Area</vt:lpstr>
      <vt:lpstr>'Spokane Pgs 62-63'!Print_Area</vt:lpstr>
      <vt:lpstr>'Tacoma-Pierce Pgs 64-65'!Print_Area</vt:lpstr>
      <vt:lpstr>'Thurston Pgs 66-67'!Print_Area</vt:lpstr>
      <vt:lpstr>'Wahkiakum Pgs 68-69'!Print_Area</vt:lpstr>
      <vt:lpstr>'Walla Walla Pgs 70-71'!Print_Area</vt:lpstr>
      <vt:lpstr>'Whatcom Pgs 72-73'!Print_Area</vt:lpstr>
      <vt:lpstr>'Whitman Pgs 74-75'!Print_Area</vt:lpstr>
      <vt:lpstr>'Yakima Pgs 76-77'!Print_Area</vt:lpstr>
      <vt:lpstr>'Adams Pgs 8-9'!Print_Titles</vt:lpstr>
      <vt:lpstr>'Asotin Pgs 10-11'!Print_Titles</vt:lpstr>
      <vt:lpstr>'Benton-Franklin Pgs 12-13'!Print_Titles</vt:lpstr>
      <vt:lpstr>'Chelan-Douglas Pgs 14-15'!Print_Titles</vt:lpstr>
      <vt:lpstr>'Clallam Pgs 16-17'!Print_Titles</vt:lpstr>
      <vt:lpstr>'Clark Pgs 18-19'!Print_Titles</vt:lpstr>
      <vt:lpstr>'Columbia Pgs 20-21'!Print_Titles</vt:lpstr>
      <vt:lpstr>'Cowlitz Pgs 22-23'!Print_Titles</vt:lpstr>
      <vt:lpstr>'Exp Code Ag Pgs 6&amp;7 Do Not Inpt'!Print_Titles</vt:lpstr>
      <vt:lpstr>'Garfield Pgs 24-25'!Print_Titles</vt:lpstr>
      <vt:lpstr>'Grant Pgs 26-27'!Print_Titles</vt:lpstr>
      <vt:lpstr>'Grays Harbor Pgs 28-29'!Print_Titles</vt:lpstr>
      <vt:lpstr>'Island Pgs 30-31'!Print_Titles</vt:lpstr>
      <vt:lpstr>'Jefferson Pgs 32-33'!Print_Titles</vt:lpstr>
      <vt:lpstr>'Kitsap Pgs 34-35'!Print_Titles</vt:lpstr>
      <vt:lpstr>'Kittitas Pgs 36-37'!Print_Titles</vt:lpstr>
      <vt:lpstr>'Klickitat Pgs 38-39'!Print_Titles</vt:lpstr>
      <vt:lpstr>'Lewis Pgs 40-41'!Print_Titles</vt:lpstr>
      <vt:lpstr>'LHJ Summary Pg 4-Do Not Input'!Print_Titles</vt:lpstr>
      <vt:lpstr>'Lincoln Pgs 42-43'!Print_Titles</vt:lpstr>
      <vt:lpstr>'Mason Pgs 44-45'!Print_Titles</vt:lpstr>
      <vt:lpstr>'Northeast Tri Pgs 46-47'!Print_Titles</vt:lpstr>
      <vt:lpstr>'Okanogan Pgs 48-49'!Print_Titles</vt:lpstr>
      <vt:lpstr>'Pacific Pgs 50-51'!Print_Titles</vt:lpstr>
      <vt:lpstr>'San Juan Pgs 52-53'!Print_Titles</vt:lpstr>
      <vt:lpstr>'Seattle-King Pgs 54-55'!Print_Titles</vt:lpstr>
      <vt:lpstr>'Skagit Pgs 56-57'!Print_Titles</vt:lpstr>
      <vt:lpstr>'Skamania Pgs 58-59'!Print_Titles</vt:lpstr>
      <vt:lpstr>'Snohomish Pgs 60-61'!Print_Titles</vt:lpstr>
      <vt:lpstr>'Spokane Pgs 62-63'!Print_Titles</vt:lpstr>
      <vt:lpstr>'Tacoma-Pierce Pgs 64-65'!Print_Titles</vt:lpstr>
      <vt:lpstr>'Thurston Pgs 66-67'!Print_Titles</vt:lpstr>
      <vt:lpstr>'Wahkiakum Pgs 68-69'!Print_Titles</vt:lpstr>
      <vt:lpstr>'Walla Walla Pgs 70-71'!Print_Titles</vt:lpstr>
      <vt:lpstr>'Whatcom Pgs 72-73'!Print_Titles</vt:lpstr>
      <vt:lpstr>'Whitman Pgs 74-75'!Print_Titles</vt:lpstr>
      <vt:lpstr>'Yakima Pgs 76-77'!Print_Titles</vt:lpstr>
    </vt:vector>
  </TitlesOfParts>
  <Company>Washington State 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Local Health Jurisdiction Funding Report</dc:title>
  <dc:subject>Funding of Local Health Jurisdictions</dc:subject>
  <dc:creator>Rogers, Tom / FS (DOH)/Charles Messer</dc:creator>
  <cp:keywords>BARS, LHJ Federal funding, LHJ State funding, LHJ Local Funding, Local Health Jurisdictions</cp:keywords>
  <cp:lastModifiedBy>Winans, Joby  (DOH)</cp:lastModifiedBy>
  <cp:lastPrinted>2017-02-08T23:04:33Z</cp:lastPrinted>
  <dcterms:created xsi:type="dcterms:W3CDTF">2014-05-09T19:53:21Z</dcterms:created>
  <dcterms:modified xsi:type="dcterms:W3CDTF">2017-12-05T23:48:49Z</dcterms:modified>
  <cp:category>Washington State</cp:category>
  <cp:contentStatus>Final</cp:contentStatus>
</cp:coreProperties>
</file>