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omments8.xml" ContentType="application/vnd.openxmlformats-officedocument.spreadsheetml.comment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omments9.xml" ContentType="application/vnd.openxmlformats-officedocument.spreadsheetml.comment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omments10.xml" ContentType="application/vnd.openxmlformats-officedocument.spreadsheetml.comments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omments12.xml" ContentType="application/vnd.openxmlformats-officedocument.spreadsheetml.comments+xml"/>
  <Override PartName="/xl/charts/chart13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omments13.xml" ContentType="application/vnd.openxmlformats-officedocument.spreadsheetml.comments+xml"/>
  <Override PartName="/xl/charts/chart14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omments14.xml" ContentType="application/vnd.openxmlformats-officedocument.spreadsheetml.comments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omments15.xml" ContentType="application/vnd.openxmlformats-officedocument.spreadsheetml.comments+xml"/>
  <Override PartName="/xl/charts/chart1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omments16.xml" ContentType="application/vnd.openxmlformats-officedocument.spreadsheetml.comments+xml"/>
  <Override PartName="/xl/charts/chart17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omments17.xml" ContentType="application/vnd.openxmlformats-officedocument.spreadsheetml.comments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omments18.xml" ContentType="application/vnd.openxmlformats-officedocument.spreadsheetml.comments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omments19.xml" ContentType="application/vnd.openxmlformats-officedocument.spreadsheetml.comments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omments20.xml" ContentType="application/vnd.openxmlformats-officedocument.spreadsheetml.comments+xml"/>
  <Override PartName="/xl/charts/chart21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omments21.xml" ContentType="application/vnd.openxmlformats-officedocument.spreadsheetml.comments+xml"/>
  <Override PartName="/xl/charts/chart2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omments22.xml" ContentType="application/vnd.openxmlformats-officedocument.spreadsheetml.comments+xml"/>
  <Override PartName="/xl/charts/chart23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omments23.xml" ContentType="application/vnd.openxmlformats-officedocument.spreadsheetml.comments+xml"/>
  <Override PartName="/xl/charts/chart24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omments24.xml" ContentType="application/vnd.openxmlformats-officedocument.spreadsheetml.comments+xml"/>
  <Override PartName="/xl/charts/chart25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omments25.xml" ContentType="application/vnd.openxmlformats-officedocument.spreadsheetml.comments+xml"/>
  <Override PartName="/xl/charts/chart26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omments26.xml" ContentType="application/vnd.openxmlformats-officedocument.spreadsheetml.comments+xml"/>
  <Override PartName="/xl/charts/chart27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omments27.xml" ContentType="application/vnd.openxmlformats-officedocument.spreadsheetml.comments+xml"/>
  <Override PartName="/xl/charts/chart28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omments28.xml" ContentType="application/vnd.openxmlformats-officedocument.spreadsheetml.comments+xml"/>
  <Override PartName="/xl/charts/chart29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omments29.xml" ContentType="application/vnd.openxmlformats-officedocument.spreadsheetml.comments+xml"/>
  <Override PartName="/xl/charts/chart30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omments30.xml" ContentType="application/vnd.openxmlformats-officedocument.spreadsheetml.comments+xml"/>
  <Override PartName="/xl/charts/chart31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omments31.xml" ContentType="application/vnd.openxmlformats-officedocument.spreadsheetml.comments+xml"/>
  <Override PartName="/xl/charts/chart32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omments32.xml" ContentType="application/vnd.openxmlformats-officedocument.spreadsheetml.comment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omments33.xml" ContentType="application/vnd.openxmlformats-officedocument.spreadsheetml.comments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omments34.xml" ContentType="application/vnd.openxmlformats-officedocument.spreadsheetml.comments+xml"/>
  <Override PartName="/xl/charts/chart35.xml" ContentType="application/vnd.openxmlformats-officedocument.drawingml.chart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omments35.xml" ContentType="application/vnd.openxmlformats-officedocument.spreadsheetml.comments+xml"/>
  <Override PartName="/xl/charts/chart36.xml" ContentType="application/vnd.openxmlformats-officedocument.drawingml.chart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omments36.xml" ContentType="application/vnd.openxmlformats-officedocument.spreadsheetml.comments+xml"/>
  <Override PartName="/xl/charts/chart37.xml" ContentType="application/vnd.openxmlformats-officedocument.drawingml.chart+xml"/>
  <Override PartName="/xl/drawings/drawing71.xml" ContentType="application/vnd.openxmlformats-officedocument.drawingml.chartshapes+xml"/>
  <Override PartName="/xl/drawings/drawing72.xml" ContentType="application/vnd.openxmlformats-officedocument.drawing+xml"/>
  <Override PartName="/xl/comments37.xml" ContentType="application/vnd.openxmlformats-officedocument.spreadsheetml.comments+xml"/>
  <Override PartName="/xl/charts/chart38.xml" ContentType="application/vnd.openxmlformats-officedocument.drawingml.chart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\C4PA\Staff_Folders\JOBY\LHJ Funding\BARS Reports\2016\"/>
    </mc:Choice>
  </mc:AlternateContent>
  <bookViews>
    <workbookView xWindow="480" yWindow="1140" windowWidth="17220" windowHeight="7250" firstSheet="13" activeTab="16"/>
  </bookViews>
  <sheets>
    <sheet name="Blank Page 1 " sheetId="55" r:id="rId1"/>
    <sheet name="Blank Page 2" sheetId="47" r:id="rId2"/>
    <sheet name="LHJ Summary Pg 3-Do Not Input" sheetId="45" r:id="rId3"/>
    <sheet name="PIE Aggregate Pg 4-Do Not Input" sheetId="50" state="hidden" r:id="rId4"/>
    <sheet name="PIE Aggregate Pg 4-DO NOT I (2" sheetId="56" r:id="rId5"/>
    <sheet name="PIE Detail Pg 5-Do Not Input" sheetId="49" r:id="rId6"/>
    <sheet name="Exp Code Ag Pgs 6&amp;7 Do Not Inpt" sheetId="46" r:id="rId7"/>
    <sheet name="Adams Pgs 8-9" sheetId="10" r:id="rId8"/>
    <sheet name="Asotin Pgs 10-11" sheetId="8" r:id="rId9"/>
    <sheet name="Benton-Franklin Pgs 12-13" sheetId="11" r:id="rId10"/>
    <sheet name="Chelan-Douglas Pgs 14-15" sheetId="12" r:id="rId11"/>
    <sheet name="Clallam Pgs 16-17" sheetId="13" r:id="rId12"/>
    <sheet name="Clark Pgs 18-19" sheetId="16" r:id="rId13"/>
    <sheet name="Columbia Pgs 20-21" sheetId="15" r:id="rId14"/>
    <sheet name="Cowlitz Pgs 22-23" sheetId="14" r:id="rId15"/>
    <sheet name="Garfield Pgs 24-25" sheetId="17" r:id="rId16"/>
    <sheet name="Grant Pgs 26-27" sheetId="18" r:id="rId17"/>
    <sheet name="Grays Harbor Pgs 28-29" sheetId="19" r:id="rId18"/>
    <sheet name="Island Pgs 30-31" sheetId="20" r:id="rId19"/>
    <sheet name="Jefferson Pgs 32-33" sheetId="21" r:id="rId20"/>
    <sheet name="Kitsap Pgs 34-35" sheetId="22" r:id="rId21"/>
    <sheet name="Kittitas Pgs 36-37" sheetId="23" r:id="rId22"/>
    <sheet name="Klickitat Pgs 38-39" sheetId="24" r:id="rId23"/>
    <sheet name="Lewis Pgs 40-41" sheetId="25" r:id="rId24"/>
    <sheet name="Lincoln Pgs 42-43" sheetId="26" r:id="rId25"/>
    <sheet name="Mason Pgs 44-45" sheetId="27" r:id="rId26"/>
    <sheet name="Northeast Tri Pgs 46-47" sheetId="28" r:id="rId27"/>
    <sheet name="Okanogan Pgs 48-49" sheetId="29" r:id="rId28"/>
    <sheet name="Pacific Pgs 50-51" sheetId="30" r:id="rId29"/>
    <sheet name="San Juan Pgs 52-53" sheetId="32" r:id="rId30"/>
    <sheet name="Seattle-King Pgs 54-55" sheetId="60" r:id="rId31"/>
    <sheet name="Skagit Pgs 56-57" sheetId="34" r:id="rId32"/>
    <sheet name="Skamania Pgs 58-59" sheetId="35" r:id="rId33"/>
    <sheet name="Snohomish Pgs 60-61" sheetId="36" r:id="rId34"/>
    <sheet name="Spokane Pgs 62-63" sheetId="37" r:id="rId35"/>
    <sheet name="Tacoma-Pierce Pgs 64-65" sheetId="38" r:id="rId36"/>
    <sheet name="Thurston Pgs 66-67" sheetId="39" r:id="rId37"/>
    <sheet name="Wahkiakum Pgs 68-69" sheetId="40" r:id="rId38"/>
    <sheet name="Walla Walla Pgs 70-71" sheetId="41" r:id="rId39"/>
    <sheet name="Whatcom Pgs 72-73" sheetId="42" r:id="rId40"/>
    <sheet name="Whitman Pgs 74-75" sheetId="43" r:id="rId41"/>
    <sheet name="Yakima Pgs 76-77" sheetId="44" r:id="rId42"/>
    <sheet name="Revenue Matrix Pg 78" sheetId="52" r:id="rId43"/>
    <sheet name="Per Cap by Fundng Source (2)" sheetId="59" r:id="rId44"/>
    <sheet name="Sheet2" sheetId="57" r:id="rId45"/>
    <sheet name="Sheet1" sheetId="54" state="hidden" r:id="rId46"/>
  </sheets>
  <externalReferences>
    <externalReference r:id="rId47"/>
  </externalReferences>
  <definedNames>
    <definedName name="_xlnm.Print_Area" localSheetId="7">'Adams Pgs 8-9'!$A$1:$K$77</definedName>
    <definedName name="_xlnm.Print_Area" localSheetId="8">'Asotin Pgs 10-11'!$A$1:$K$77</definedName>
    <definedName name="_xlnm.Print_Area" localSheetId="9">'Benton-Franklin Pgs 12-13'!$A$1:$K$77</definedName>
    <definedName name="_xlnm.Print_Area" localSheetId="10">'Chelan-Douglas Pgs 14-15'!$A$1:$K$77</definedName>
    <definedName name="_xlnm.Print_Area" localSheetId="11">'Clallam Pgs 16-17'!$A$1:$K$77</definedName>
    <definedName name="_xlnm.Print_Area" localSheetId="12">'Clark Pgs 18-19'!$A$1:$K$77</definedName>
    <definedName name="_xlnm.Print_Area" localSheetId="13">'Columbia Pgs 20-21'!$A$1:$K$77</definedName>
    <definedName name="_xlnm.Print_Area" localSheetId="14">'Cowlitz Pgs 22-23'!$A$1:$K$77</definedName>
    <definedName name="_xlnm.Print_Area" localSheetId="6">'Exp Code Ag Pgs 6&amp;7 Do Not Inpt'!$A$1:$K$77</definedName>
    <definedName name="_xlnm.Print_Area" localSheetId="15">'Garfield Pgs 24-25'!$A$1:$K$77</definedName>
    <definedName name="_xlnm.Print_Area" localSheetId="16">'Grant Pgs 26-27'!$A$1:$K$77</definedName>
    <definedName name="_xlnm.Print_Area" localSheetId="17">'Grays Harbor Pgs 28-29'!$A$1:$K$77</definedName>
    <definedName name="_xlnm.Print_Area" localSheetId="18">'Island Pgs 30-31'!$A$1:$K$77</definedName>
    <definedName name="_xlnm.Print_Area" localSheetId="19">'Jefferson Pgs 32-33'!$A$1:$K$77</definedName>
    <definedName name="_xlnm.Print_Area" localSheetId="20">'Kitsap Pgs 34-35'!$A$1:$K$77</definedName>
    <definedName name="_xlnm.Print_Area" localSheetId="21">'Kittitas Pgs 36-37'!$A$1:$K$77</definedName>
    <definedName name="_xlnm.Print_Area" localSheetId="22">'Klickitat Pgs 38-39'!$A$1:$K$77</definedName>
    <definedName name="_xlnm.Print_Area" localSheetId="23">'Lewis Pgs 40-41'!$A$1:$K$77</definedName>
    <definedName name="_xlnm.Print_Area" localSheetId="2">'LHJ Summary Pg 3-Do Not Input'!$A$3:$M$40</definedName>
    <definedName name="_xlnm.Print_Area" localSheetId="24">'Lincoln Pgs 42-43'!$A$1:$K$77</definedName>
    <definedName name="_xlnm.Print_Area" localSheetId="25">'Mason Pgs 44-45'!$A$1:$K$77</definedName>
    <definedName name="_xlnm.Print_Area" localSheetId="26">'Northeast Tri Pgs 46-47'!$A$1:$K$77</definedName>
    <definedName name="_xlnm.Print_Area" localSheetId="27">'Okanogan Pgs 48-49'!$A$1:$K$77</definedName>
    <definedName name="_xlnm.Print_Area" localSheetId="28">'Pacific Pgs 50-51'!$A$1:$K$77</definedName>
    <definedName name="_xlnm.Print_Area" localSheetId="29">'San Juan Pgs 52-53'!$A$1:$K$77</definedName>
    <definedName name="_xlnm.Print_Area" localSheetId="30">'Seattle-King Pgs 54-55'!$A$1:$K$77</definedName>
    <definedName name="_xlnm.Print_Area" localSheetId="31">'Skagit Pgs 56-57'!$A$1:$K$77</definedName>
    <definedName name="_xlnm.Print_Area" localSheetId="32">'Skamania Pgs 58-59'!$A$1:$K$77</definedName>
    <definedName name="_xlnm.Print_Area" localSheetId="33">'Snohomish Pgs 60-61'!$A$1:$K$77</definedName>
    <definedName name="_xlnm.Print_Area" localSheetId="34">'Spokane Pgs 62-63'!$A$1:$K$77</definedName>
    <definedName name="_xlnm.Print_Area" localSheetId="35">'Tacoma-Pierce Pgs 64-65'!$A$1:$K$77</definedName>
    <definedName name="_xlnm.Print_Area" localSheetId="36">'Thurston Pgs 66-67'!$A$1:$K$77</definedName>
    <definedName name="_xlnm.Print_Area" localSheetId="37">'Wahkiakum Pgs 68-69'!$A$1:$K$77</definedName>
    <definedName name="_xlnm.Print_Area" localSheetId="38">'Walla Walla Pgs 70-71'!$A$1:$K$77</definedName>
    <definedName name="_xlnm.Print_Area" localSheetId="39">'Whatcom Pgs 72-73'!$A$1:$K$77</definedName>
    <definedName name="_xlnm.Print_Area" localSheetId="40">'Whitman Pgs 74-75'!$A$1:$K$77</definedName>
    <definedName name="_xlnm.Print_Area" localSheetId="41">'Yakima Pgs 76-77'!$A$1:$K$77</definedName>
    <definedName name="_xlnm.Print_Titles" localSheetId="7">'Adams Pgs 8-9'!$1:$4</definedName>
    <definedName name="_xlnm.Print_Titles" localSheetId="8">'Asotin Pgs 10-11'!$1:$4</definedName>
    <definedName name="_xlnm.Print_Titles" localSheetId="9">'Benton-Franklin Pgs 12-13'!$1:$4</definedName>
    <definedName name="_xlnm.Print_Titles" localSheetId="10">'Chelan-Douglas Pgs 14-15'!$1:$4</definedName>
    <definedName name="_xlnm.Print_Titles" localSheetId="11">'Clallam Pgs 16-17'!$1:$4</definedName>
    <definedName name="_xlnm.Print_Titles" localSheetId="12">'Clark Pgs 18-19'!$1:$4</definedName>
    <definedName name="_xlnm.Print_Titles" localSheetId="13">'Columbia Pgs 20-21'!$1:$4</definedName>
    <definedName name="_xlnm.Print_Titles" localSheetId="14">'Cowlitz Pgs 22-23'!$1:$4</definedName>
    <definedName name="_xlnm.Print_Titles" localSheetId="6">'Exp Code Ag Pgs 6&amp;7 Do Not Inpt'!$1:$4</definedName>
    <definedName name="_xlnm.Print_Titles" localSheetId="15">'Garfield Pgs 24-25'!$1:$4</definedName>
    <definedName name="_xlnm.Print_Titles" localSheetId="16">'Grant Pgs 26-27'!$1:$4</definedName>
    <definedName name="_xlnm.Print_Titles" localSheetId="17">'Grays Harbor Pgs 28-29'!$1:$4</definedName>
    <definedName name="_xlnm.Print_Titles" localSheetId="18">'Island Pgs 30-31'!$1:$4</definedName>
    <definedName name="_xlnm.Print_Titles" localSheetId="19">'Jefferson Pgs 32-33'!$1:$4</definedName>
    <definedName name="_xlnm.Print_Titles" localSheetId="20">'Kitsap Pgs 34-35'!$1:$4</definedName>
    <definedName name="_xlnm.Print_Titles" localSheetId="21">'Kittitas Pgs 36-37'!$1:$4</definedName>
    <definedName name="_xlnm.Print_Titles" localSheetId="22">'Klickitat Pgs 38-39'!$1:$4</definedName>
    <definedName name="_xlnm.Print_Titles" localSheetId="23">'Lewis Pgs 40-41'!$1:$4</definedName>
    <definedName name="_xlnm.Print_Titles" localSheetId="2">'LHJ Summary Pg 3-Do Not Input'!$3:$4</definedName>
    <definedName name="_xlnm.Print_Titles" localSheetId="24">'Lincoln Pgs 42-43'!$1:$4</definedName>
    <definedName name="_xlnm.Print_Titles" localSheetId="25">'Mason Pgs 44-45'!$1:$4</definedName>
    <definedName name="_xlnm.Print_Titles" localSheetId="26">'Northeast Tri Pgs 46-47'!$1:$4</definedName>
    <definedName name="_xlnm.Print_Titles" localSheetId="27">'Okanogan Pgs 48-49'!$1:$4</definedName>
    <definedName name="_xlnm.Print_Titles" localSheetId="28">'Pacific Pgs 50-51'!$1:$4</definedName>
    <definedName name="_xlnm.Print_Titles" localSheetId="29">'San Juan Pgs 52-53'!$1:$4</definedName>
    <definedName name="_xlnm.Print_Titles" localSheetId="30">'Seattle-King Pgs 54-55'!$1:$4</definedName>
    <definedName name="_xlnm.Print_Titles" localSheetId="31">'Skagit Pgs 56-57'!$1:$4</definedName>
    <definedName name="_xlnm.Print_Titles" localSheetId="32">'Skamania Pgs 58-59'!$1:$4</definedName>
    <definedName name="_xlnm.Print_Titles" localSheetId="33">'Snohomish Pgs 60-61'!$1:$4</definedName>
    <definedName name="_xlnm.Print_Titles" localSheetId="34">'Spokane Pgs 62-63'!$1:$4</definedName>
    <definedName name="_xlnm.Print_Titles" localSheetId="35">'Tacoma-Pierce Pgs 64-65'!$1:$4</definedName>
    <definedName name="_xlnm.Print_Titles" localSheetId="36">'Thurston Pgs 66-67'!$1:$4</definedName>
    <definedName name="_xlnm.Print_Titles" localSheetId="37">'Wahkiakum Pgs 68-69'!$1:$4</definedName>
    <definedName name="_xlnm.Print_Titles" localSheetId="38">'Walla Walla Pgs 70-71'!$1:$4</definedName>
    <definedName name="_xlnm.Print_Titles" localSheetId="39">'Whatcom Pgs 72-73'!$1:$4</definedName>
    <definedName name="_xlnm.Print_Titles" localSheetId="40">'Whitman Pgs 74-75'!$1:$4</definedName>
    <definedName name="_xlnm.Print_Titles" localSheetId="41">'Yakima Pgs 76-77'!$1:$4</definedName>
  </definedNames>
  <calcPr calcId="152511"/>
</workbook>
</file>

<file path=xl/calcChain.xml><?xml version="1.0" encoding="utf-8"?>
<calcChain xmlns="http://schemas.openxmlformats.org/spreadsheetml/2006/main">
  <c r="E25" i="59" l="1"/>
  <c r="I55" i="46" l="1"/>
  <c r="I54" i="46"/>
  <c r="I53" i="46"/>
  <c r="I52" i="46"/>
  <c r="I51" i="46"/>
  <c r="I50" i="46"/>
  <c r="I49" i="46"/>
  <c r="I48" i="46"/>
  <c r="I47" i="46"/>
  <c r="I46" i="46"/>
  <c r="I45" i="46"/>
  <c r="I43" i="46"/>
  <c r="I42" i="46"/>
  <c r="I41" i="46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4" i="46"/>
  <c r="I13" i="46"/>
  <c r="I12" i="46"/>
  <c r="I11" i="46"/>
  <c r="I10" i="46"/>
  <c r="I9" i="46"/>
  <c r="I8" i="46"/>
  <c r="I7" i="46"/>
  <c r="I6" i="46"/>
  <c r="I5" i="46"/>
  <c r="J55" i="46"/>
  <c r="H55" i="46"/>
  <c r="G55" i="46"/>
  <c r="F55" i="46"/>
  <c r="E55" i="46"/>
  <c r="D55" i="46"/>
  <c r="J54" i="46"/>
  <c r="H54" i="46"/>
  <c r="G54" i="46"/>
  <c r="F54" i="46"/>
  <c r="E54" i="46"/>
  <c r="D54" i="46"/>
  <c r="J53" i="46"/>
  <c r="H53" i="46"/>
  <c r="G53" i="46"/>
  <c r="F53" i="46"/>
  <c r="E53" i="46"/>
  <c r="D53" i="46"/>
  <c r="J52" i="46"/>
  <c r="H52" i="46"/>
  <c r="G52" i="46"/>
  <c r="F52" i="46"/>
  <c r="E52" i="46"/>
  <c r="D52" i="46"/>
  <c r="J51" i="46"/>
  <c r="H51" i="46"/>
  <c r="G51" i="46"/>
  <c r="F51" i="46"/>
  <c r="E51" i="46"/>
  <c r="D51" i="46"/>
  <c r="J50" i="46"/>
  <c r="H50" i="46"/>
  <c r="G50" i="46"/>
  <c r="F50" i="46"/>
  <c r="E50" i="46"/>
  <c r="D50" i="46"/>
  <c r="J49" i="46"/>
  <c r="H49" i="46"/>
  <c r="G49" i="46"/>
  <c r="F49" i="46"/>
  <c r="E49" i="46"/>
  <c r="D49" i="46"/>
  <c r="J48" i="46"/>
  <c r="H48" i="46"/>
  <c r="G48" i="46"/>
  <c r="F48" i="46"/>
  <c r="E48" i="46"/>
  <c r="D48" i="46"/>
  <c r="J47" i="46"/>
  <c r="H47" i="46"/>
  <c r="G47" i="46"/>
  <c r="F47" i="46"/>
  <c r="E47" i="46"/>
  <c r="D47" i="46"/>
  <c r="J46" i="46"/>
  <c r="H46" i="46"/>
  <c r="G46" i="46"/>
  <c r="F46" i="46"/>
  <c r="E46" i="46"/>
  <c r="D46" i="46"/>
  <c r="J45" i="46"/>
  <c r="H45" i="46"/>
  <c r="G45" i="46"/>
  <c r="F45" i="46"/>
  <c r="E45" i="46"/>
  <c r="D45" i="46"/>
  <c r="C55" i="46"/>
  <c r="C54" i="46"/>
  <c r="C53" i="46"/>
  <c r="C52" i="46"/>
  <c r="C51" i="46"/>
  <c r="C50" i="46"/>
  <c r="C49" i="46"/>
  <c r="C48" i="46"/>
  <c r="C47" i="46"/>
  <c r="C46" i="46"/>
  <c r="C45" i="46"/>
  <c r="J43" i="46" l="1"/>
  <c r="H43" i="46"/>
  <c r="G43" i="46"/>
  <c r="F43" i="46"/>
  <c r="E43" i="46"/>
  <c r="D43" i="46"/>
  <c r="J42" i="46"/>
  <c r="H42" i="46"/>
  <c r="G42" i="46"/>
  <c r="F42" i="46"/>
  <c r="E42" i="46"/>
  <c r="D42" i="46"/>
  <c r="J41" i="46"/>
  <c r="H41" i="46"/>
  <c r="G41" i="46"/>
  <c r="F41" i="46"/>
  <c r="E41" i="46"/>
  <c r="D41" i="46"/>
  <c r="J40" i="46"/>
  <c r="H40" i="46"/>
  <c r="G40" i="46"/>
  <c r="F40" i="46"/>
  <c r="E40" i="46"/>
  <c r="D40" i="46"/>
  <c r="J39" i="46"/>
  <c r="H39" i="46"/>
  <c r="G39" i="46"/>
  <c r="F39" i="46"/>
  <c r="E39" i="46"/>
  <c r="D39" i="46"/>
  <c r="J38" i="46"/>
  <c r="H38" i="46"/>
  <c r="G38" i="46"/>
  <c r="F38" i="46"/>
  <c r="E38" i="46"/>
  <c r="D38" i="46"/>
  <c r="J37" i="46"/>
  <c r="H37" i="46"/>
  <c r="G37" i="46"/>
  <c r="F37" i="46"/>
  <c r="E37" i="46"/>
  <c r="D37" i="46"/>
  <c r="J36" i="46"/>
  <c r="H36" i="46"/>
  <c r="G36" i="46"/>
  <c r="F36" i="46"/>
  <c r="E36" i="46"/>
  <c r="D36" i="46"/>
  <c r="J35" i="46"/>
  <c r="H35" i="46"/>
  <c r="G35" i="46"/>
  <c r="F35" i="46"/>
  <c r="E35" i="46"/>
  <c r="D35" i="46"/>
  <c r="J34" i="46"/>
  <c r="H34" i="46"/>
  <c r="G34" i="46"/>
  <c r="F34" i="46"/>
  <c r="E34" i="46"/>
  <c r="D34" i="46"/>
  <c r="J33" i="46"/>
  <c r="H33" i="46"/>
  <c r="G33" i="46"/>
  <c r="F33" i="46"/>
  <c r="E33" i="46"/>
  <c r="D33" i="46"/>
  <c r="J32" i="46"/>
  <c r="H32" i="46"/>
  <c r="G32" i="46"/>
  <c r="F32" i="46"/>
  <c r="E32" i="46"/>
  <c r="D32" i="46"/>
  <c r="J31" i="46"/>
  <c r="H31" i="46"/>
  <c r="G31" i="46"/>
  <c r="F31" i="46"/>
  <c r="E31" i="46"/>
  <c r="J30" i="46"/>
  <c r="H30" i="46"/>
  <c r="G30" i="46"/>
  <c r="F30" i="46"/>
  <c r="E30" i="46"/>
  <c r="D30" i="46"/>
  <c r="J29" i="46"/>
  <c r="H29" i="46"/>
  <c r="G29" i="46"/>
  <c r="F29" i="46"/>
  <c r="E29" i="46"/>
  <c r="J28" i="46"/>
  <c r="H28" i="46"/>
  <c r="G28" i="46"/>
  <c r="F28" i="46"/>
  <c r="E28" i="46"/>
  <c r="D28" i="46"/>
  <c r="H27" i="46"/>
  <c r="G27" i="46"/>
  <c r="F27" i="46"/>
  <c r="E27" i="46"/>
  <c r="H26" i="46"/>
  <c r="G26" i="46"/>
  <c r="F26" i="46"/>
  <c r="E26" i="46"/>
  <c r="D26" i="46"/>
  <c r="J25" i="46"/>
  <c r="H25" i="46"/>
  <c r="G25" i="46"/>
  <c r="F25" i="46"/>
  <c r="E25" i="46"/>
  <c r="J24" i="46"/>
  <c r="H24" i="46"/>
  <c r="G24" i="46"/>
  <c r="F24" i="46"/>
  <c r="E24" i="46"/>
  <c r="D24" i="46"/>
  <c r="J23" i="46"/>
  <c r="H23" i="46"/>
  <c r="G23" i="46"/>
  <c r="F23" i="46"/>
  <c r="E23" i="46"/>
  <c r="D23" i="46"/>
  <c r="J22" i="46"/>
  <c r="G22" i="46"/>
  <c r="F22" i="46"/>
  <c r="E22" i="46"/>
  <c r="D22" i="46"/>
  <c r="J21" i="46"/>
  <c r="H21" i="46"/>
  <c r="G21" i="46"/>
  <c r="F21" i="46"/>
  <c r="E21" i="46"/>
  <c r="D21" i="46"/>
  <c r="J20" i="46"/>
  <c r="H20" i="46"/>
  <c r="G20" i="46"/>
  <c r="F20" i="46"/>
  <c r="E20" i="46"/>
  <c r="D20" i="46"/>
  <c r="J19" i="46"/>
  <c r="G19" i="46"/>
  <c r="F19" i="46"/>
  <c r="E19" i="46"/>
  <c r="D19" i="46"/>
  <c r="J18" i="46"/>
  <c r="H18" i="46"/>
  <c r="G18" i="46"/>
  <c r="F18" i="46"/>
  <c r="E18" i="46"/>
  <c r="D18" i="46"/>
  <c r="J17" i="46"/>
  <c r="H17" i="46"/>
  <c r="G17" i="46"/>
  <c r="F17" i="46"/>
  <c r="E17" i="46"/>
  <c r="D17" i="46"/>
  <c r="J16" i="46"/>
  <c r="H16" i="46"/>
  <c r="G16" i="46"/>
  <c r="F16" i="46"/>
  <c r="E16" i="46"/>
  <c r="J15" i="46"/>
  <c r="H15" i="46"/>
  <c r="G15" i="46"/>
  <c r="F15" i="46"/>
  <c r="E15" i="46"/>
  <c r="D15" i="46"/>
  <c r="J14" i="46"/>
  <c r="G14" i="46"/>
  <c r="F14" i="46"/>
  <c r="E14" i="46"/>
  <c r="D14" i="46"/>
  <c r="J13" i="46"/>
  <c r="H13" i="46"/>
  <c r="G13" i="46"/>
  <c r="F13" i="46"/>
  <c r="E13" i="46"/>
  <c r="D13" i="46"/>
  <c r="J12" i="46"/>
  <c r="H12" i="46"/>
  <c r="G12" i="46"/>
  <c r="F12" i="46"/>
  <c r="E12" i="46"/>
  <c r="D12" i="46"/>
  <c r="J11" i="46"/>
  <c r="H11" i="46"/>
  <c r="G11" i="46"/>
  <c r="F11" i="46"/>
  <c r="E11" i="46"/>
  <c r="D11" i="46"/>
  <c r="J10" i="46"/>
  <c r="H10" i="46"/>
  <c r="G10" i="46"/>
  <c r="F10" i="46"/>
  <c r="E10" i="46"/>
  <c r="D10" i="46"/>
  <c r="J9" i="46"/>
  <c r="H9" i="46"/>
  <c r="G9" i="46"/>
  <c r="F9" i="46"/>
  <c r="E9" i="46"/>
  <c r="D9" i="46"/>
  <c r="J8" i="46"/>
  <c r="H8" i="46"/>
  <c r="G8" i="46"/>
  <c r="F8" i="46"/>
  <c r="E8" i="46"/>
  <c r="D8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8" i="46"/>
  <c r="C24" i="46"/>
  <c r="C23" i="46"/>
  <c r="C22" i="46"/>
  <c r="C21" i="46"/>
  <c r="C20" i="46"/>
  <c r="C19" i="46"/>
  <c r="C17" i="46"/>
  <c r="C16" i="46"/>
  <c r="C14" i="46"/>
  <c r="C13" i="46"/>
  <c r="C12" i="46"/>
  <c r="C11" i="46"/>
  <c r="C10" i="46"/>
  <c r="C9" i="46"/>
  <c r="C8" i="46"/>
  <c r="J7" i="46"/>
  <c r="H7" i="46"/>
  <c r="G7" i="46"/>
  <c r="F7" i="46"/>
  <c r="E7" i="46"/>
  <c r="D7" i="46"/>
  <c r="C7" i="46"/>
  <c r="J6" i="46"/>
  <c r="H6" i="46"/>
  <c r="G6" i="46"/>
  <c r="F6" i="46"/>
  <c r="E6" i="46"/>
  <c r="C6" i="46"/>
  <c r="D6" i="46"/>
  <c r="H5" i="46"/>
  <c r="G5" i="46"/>
  <c r="F5" i="46"/>
  <c r="E5" i="46"/>
  <c r="D5" i="46"/>
  <c r="C5" i="46"/>
  <c r="L28" i="45"/>
  <c r="R34" i="59" s="1"/>
  <c r="K28" i="45"/>
  <c r="P34" i="59" s="1"/>
  <c r="J28" i="45"/>
  <c r="O34" i="59" s="1"/>
  <c r="I28" i="45"/>
  <c r="M34" i="59" s="1"/>
  <c r="H28" i="45"/>
  <c r="K34" i="59" s="1"/>
  <c r="G28" i="45"/>
  <c r="F28" i="45"/>
  <c r="E28" i="45"/>
  <c r="F34" i="59" s="1"/>
  <c r="D28" i="45"/>
  <c r="C28" i="45"/>
  <c r="B28" i="45"/>
  <c r="K5" i="60"/>
  <c r="K55" i="60"/>
  <c r="K54" i="60"/>
  <c r="K53" i="60"/>
  <c r="K52" i="60"/>
  <c r="K51" i="60"/>
  <c r="K50" i="60"/>
  <c r="K49" i="60"/>
  <c r="K48" i="60"/>
  <c r="K47" i="60"/>
  <c r="K46" i="60"/>
  <c r="K45" i="60"/>
  <c r="I44" i="60"/>
  <c r="I56" i="60" s="1"/>
  <c r="H44" i="60"/>
  <c r="H56" i="60" s="1"/>
  <c r="F44" i="60"/>
  <c r="F56" i="60" s="1"/>
  <c r="E44" i="60"/>
  <c r="E56" i="60" s="1"/>
  <c r="C44" i="60"/>
  <c r="C56" i="60" s="1"/>
  <c r="K43" i="60"/>
  <c r="K42" i="60"/>
  <c r="K41" i="60"/>
  <c r="K40" i="60"/>
  <c r="K39" i="60"/>
  <c r="K38" i="60"/>
  <c r="K37" i="60"/>
  <c r="K36" i="60"/>
  <c r="K35" i="60"/>
  <c r="K34" i="60"/>
  <c r="K33" i="60"/>
  <c r="K32" i="60"/>
  <c r="K31" i="60"/>
  <c r="K30" i="60"/>
  <c r="K29" i="60"/>
  <c r="K28" i="60"/>
  <c r="K27" i="60"/>
  <c r="G44" i="60"/>
  <c r="G56" i="60" s="1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7" i="60"/>
  <c r="K6" i="60"/>
  <c r="J44" i="60"/>
  <c r="J56" i="60" s="1"/>
  <c r="D39" i="45"/>
  <c r="D45" i="59" s="1"/>
  <c r="C39" i="45"/>
  <c r="C45" i="59" s="1"/>
  <c r="B39" i="45"/>
  <c r="D38" i="45"/>
  <c r="D44" i="59" s="1"/>
  <c r="C38" i="45"/>
  <c r="C44" i="59" s="1"/>
  <c r="B38" i="45"/>
  <c r="D37" i="45"/>
  <c r="D43" i="59" s="1"/>
  <c r="C37" i="45"/>
  <c r="C43" i="59" s="1"/>
  <c r="B37" i="45"/>
  <c r="D36" i="45"/>
  <c r="D42" i="59" s="1"/>
  <c r="C36" i="45"/>
  <c r="C42" i="59" s="1"/>
  <c r="B36" i="45"/>
  <c r="D35" i="45"/>
  <c r="D41" i="59" s="1"/>
  <c r="C35" i="45"/>
  <c r="C41" i="59" s="1"/>
  <c r="B35" i="45"/>
  <c r="D34" i="45"/>
  <c r="D40" i="59" s="1"/>
  <c r="C34" i="45"/>
  <c r="C40" i="59" s="1"/>
  <c r="B34" i="45"/>
  <c r="D32" i="45"/>
  <c r="C32" i="45"/>
  <c r="C38" i="59" s="1"/>
  <c r="B32" i="45"/>
  <c r="D33" i="45"/>
  <c r="D39" i="59" s="1"/>
  <c r="C33" i="45"/>
  <c r="C39" i="59" s="1"/>
  <c r="B33" i="45"/>
  <c r="D31" i="45"/>
  <c r="D37" i="59" s="1"/>
  <c r="C31" i="45"/>
  <c r="C37" i="59" s="1"/>
  <c r="B31" i="45"/>
  <c r="D30" i="45"/>
  <c r="D36" i="59" s="1"/>
  <c r="D6" i="59" s="1"/>
  <c r="C30" i="45"/>
  <c r="C36" i="59" s="1"/>
  <c r="B30" i="45"/>
  <c r="D29" i="45"/>
  <c r="D35" i="59" s="1"/>
  <c r="C29" i="45"/>
  <c r="C35" i="59" s="1"/>
  <c r="B29" i="45"/>
  <c r="C34" i="59"/>
  <c r="D27" i="45"/>
  <c r="D33" i="59" s="1"/>
  <c r="C27" i="45"/>
  <c r="C33" i="59" s="1"/>
  <c r="D26" i="45"/>
  <c r="C26" i="45"/>
  <c r="B26" i="45"/>
  <c r="B27" i="45"/>
  <c r="D25" i="45"/>
  <c r="C25" i="45"/>
  <c r="B25" i="45"/>
  <c r="D24" i="45"/>
  <c r="C24" i="45"/>
  <c r="B24" i="45"/>
  <c r="D23" i="45"/>
  <c r="D29" i="59" s="1"/>
  <c r="C23" i="45"/>
  <c r="C29" i="59" s="1"/>
  <c r="B23" i="45"/>
  <c r="D22" i="45"/>
  <c r="D28" i="59" s="1"/>
  <c r="C22" i="45"/>
  <c r="C28" i="59" s="1"/>
  <c r="B22" i="45"/>
  <c r="D21" i="45"/>
  <c r="D27" i="59" s="1"/>
  <c r="C21" i="45"/>
  <c r="B21" i="45"/>
  <c r="B20" i="45"/>
  <c r="C19" i="45"/>
  <c r="C25" i="59" s="1"/>
  <c r="D19" i="45"/>
  <c r="D25" i="59" s="1"/>
  <c r="D20" i="45"/>
  <c r="D26" i="59" s="1"/>
  <c r="C20" i="45"/>
  <c r="C26" i="59" s="1"/>
  <c r="B19" i="45"/>
  <c r="D18" i="45"/>
  <c r="D24" i="59" s="1"/>
  <c r="C18" i="45"/>
  <c r="B18" i="45"/>
  <c r="D17" i="45"/>
  <c r="D23" i="59" s="1"/>
  <c r="C17" i="45"/>
  <c r="B17" i="45"/>
  <c r="C16" i="45"/>
  <c r="C22" i="59" s="1"/>
  <c r="B16" i="45"/>
  <c r="D15" i="45"/>
  <c r="D21" i="59" s="1"/>
  <c r="D16" i="45"/>
  <c r="D22" i="59" s="1"/>
  <c r="C15" i="45"/>
  <c r="C21" i="59" s="1"/>
  <c r="B15" i="45"/>
  <c r="D13" i="45"/>
  <c r="C13" i="45"/>
  <c r="B13" i="45"/>
  <c r="D14" i="45"/>
  <c r="D20" i="59" s="1"/>
  <c r="C14" i="45"/>
  <c r="C20" i="59" s="1"/>
  <c r="B14" i="45"/>
  <c r="D12" i="45"/>
  <c r="D18" i="59" s="1"/>
  <c r="C12" i="45"/>
  <c r="B12" i="45"/>
  <c r="D11" i="45"/>
  <c r="D17" i="59" s="1"/>
  <c r="C11" i="45"/>
  <c r="C17" i="59" s="1"/>
  <c r="B11" i="45"/>
  <c r="D10" i="45"/>
  <c r="D16" i="59" s="1"/>
  <c r="C10" i="45"/>
  <c r="C16" i="59" s="1"/>
  <c r="B10" i="45"/>
  <c r="D9" i="45"/>
  <c r="D15" i="59" s="1"/>
  <c r="C9" i="45"/>
  <c r="B9" i="45"/>
  <c r="D8" i="45"/>
  <c r="C8" i="45"/>
  <c r="B8" i="45"/>
  <c r="D7" i="45"/>
  <c r="C7" i="45"/>
  <c r="B7" i="45"/>
  <c r="D5" i="45"/>
  <c r="D11" i="59" s="1"/>
  <c r="C5" i="45"/>
  <c r="C11" i="59" s="1"/>
  <c r="D6" i="45"/>
  <c r="C6" i="45"/>
  <c r="C12" i="59" s="1"/>
  <c r="B6" i="45"/>
  <c r="B5" i="45"/>
  <c r="D38" i="59"/>
  <c r="J34" i="59"/>
  <c r="H34" i="59"/>
  <c r="D34" i="59"/>
  <c r="E6" i="59" s="1"/>
  <c r="D32" i="59"/>
  <c r="C32" i="59"/>
  <c r="D31" i="59"/>
  <c r="C31" i="59"/>
  <c r="D30" i="59"/>
  <c r="C30" i="59"/>
  <c r="E30" i="59" s="1"/>
  <c r="C27" i="59"/>
  <c r="C24" i="59"/>
  <c r="C23" i="59"/>
  <c r="D19" i="59"/>
  <c r="C19" i="59"/>
  <c r="E19" i="59" s="1"/>
  <c r="C18" i="59"/>
  <c r="C15" i="59"/>
  <c r="D14" i="59"/>
  <c r="C14" i="59"/>
  <c r="E14" i="59" s="1"/>
  <c r="D13" i="59"/>
  <c r="C13" i="59"/>
  <c r="D12" i="59"/>
  <c r="E22" i="59" l="1"/>
  <c r="D5" i="59"/>
  <c r="E18" i="59"/>
  <c r="E15" i="59"/>
  <c r="Q34" i="59"/>
  <c r="N34" i="59"/>
  <c r="T5" i="59"/>
  <c r="T7" i="59"/>
  <c r="I34" i="59"/>
  <c r="C62" i="60"/>
  <c r="C67" i="60"/>
  <c r="C75" i="60"/>
  <c r="C72" i="60"/>
  <c r="C68" i="60"/>
  <c r="C71" i="60"/>
  <c r="D44" i="60"/>
  <c r="D56" i="60" s="1"/>
  <c r="K56" i="60" s="1"/>
  <c r="D62" i="60" s="1"/>
  <c r="C66" i="60"/>
  <c r="E45" i="59"/>
  <c r="E44" i="59"/>
  <c r="E43" i="59"/>
  <c r="E42" i="59"/>
  <c r="E41" i="59"/>
  <c r="E40" i="59"/>
  <c r="E38" i="59"/>
  <c r="E39" i="59"/>
  <c r="E37" i="59"/>
  <c r="E36" i="59"/>
  <c r="E35" i="59"/>
  <c r="E34" i="59"/>
  <c r="L34" i="59"/>
  <c r="G34" i="59"/>
  <c r="E5" i="59"/>
  <c r="E33" i="59"/>
  <c r="E32" i="59"/>
  <c r="E31" i="59"/>
  <c r="E29" i="59"/>
  <c r="E28" i="59"/>
  <c r="E27" i="59"/>
  <c r="E26" i="59"/>
  <c r="E23" i="59"/>
  <c r="E21" i="59"/>
  <c r="E17" i="59"/>
  <c r="E13" i="59"/>
  <c r="E11" i="59"/>
  <c r="D46" i="59"/>
  <c r="E12" i="59"/>
  <c r="E16" i="59"/>
  <c r="E20" i="59"/>
  <c r="E24" i="59"/>
  <c r="C46" i="59"/>
  <c r="C69" i="60" l="1"/>
  <c r="D72" i="60"/>
  <c r="D63" i="60"/>
  <c r="D64" i="60" s="1"/>
  <c r="C63" i="60"/>
  <c r="C64" i="60" s="1"/>
  <c r="K44" i="60"/>
  <c r="D75" i="60"/>
  <c r="C73" i="60"/>
  <c r="D66" i="60"/>
  <c r="D67" i="60"/>
  <c r="D71" i="60"/>
  <c r="D68" i="60"/>
  <c r="C76" i="60" l="1"/>
  <c r="D73" i="60"/>
  <c r="D69" i="60"/>
  <c r="D76" i="60" l="1"/>
  <c r="I8" i="45" l="1"/>
  <c r="M14" i="59" l="1"/>
  <c r="D27" i="24" l="1"/>
  <c r="D25" i="24"/>
  <c r="J20" i="24"/>
  <c r="H12" i="24"/>
  <c r="I5" i="24"/>
  <c r="G5" i="24"/>
  <c r="D29" i="41" l="1"/>
  <c r="D25" i="41"/>
  <c r="H14" i="41"/>
  <c r="H12" i="41"/>
  <c r="K49" i="30" l="1"/>
  <c r="F36" i="30"/>
  <c r="I14" i="30"/>
  <c r="F7" i="30"/>
  <c r="H12" i="30"/>
  <c r="D11" i="30"/>
  <c r="D53" i="37" l="1"/>
  <c r="H36" i="37"/>
  <c r="H41" i="37"/>
  <c r="I40" i="37"/>
  <c r="H40" i="37"/>
  <c r="H39" i="37"/>
  <c r="D31" i="37"/>
  <c r="D29" i="37"/>
  <c r="D27" i="37"/>
  <c r="H22" i="37"/>
  <c r="H21" i="37"/>
  <c r="H19" i="37"/>
  <c r="E17" i="37"/>
  <c r="D17" i="37"/>
  <c r="H14" i="37"/>
  <c r="H12" i="37"/>
  <c r="I9" i="37"/>
  <c r="G9" i="37"/>
  <c r="I8" i="37"/>
  <c r="I7" i="37"/>
  <c r="J5" i="37"/>
  <c r="C5" i="37"/>
  <c r="D25" i="39" l="1"/>
  <c r="H33" i="39"/>
  <c r="C33" i="39"/>
  <c r="D32" i="39"/>
  <c r="D29" i="39"/>
  <c r="D27" i="39"/>
  <c r="D26" i="39"/>
  <c r="D7" i="39"/>
  <c r="G33" i="13" l="1"/>
  <c r="H27" i="13"/>
  <c r="J26" i="13"/>
  <c r="G26" i="13"/>
  <c r="D25" i="13"/>
  <c r="H14" i="13" l="1"/>
  <c r="J5" i="13"/>
  <c r="H41" i="36" l="1"/>
  <c r="J34" i="36"/>
  <c r="D34" i="36"/>
  <c r="D33" i="36"/>
  <c r="D31" i="36"/>
  <c r="D29" i="36"/>
  <c r="J26" i="36"/>
  <c r="D27" i="36"/>
  <c r="D26" i="36"/>
  <c r="D25" i="36"/>
  <c r="E17" i="36"/>
  <c r="D16" i="36"/>
  <c r="J14" i="36"/>
  <c r="I8" i="36"/>
  <c r="J7" i="36"/>
  <c r="J5" i="36"/>
  <c r="D5" i="36"/>
  <c r="C52" i="27" l="1"/>
  <c r="D29" i="27"/>
  <c r="D27" i="27"/>
  <c r="D26" i="27"/>
  <c r="C25" i="27"/>
  <c r="H14" i="27"/>
  <c r="J7" i="27"/>
  <c r="I5" i="27"/>
  <c r="D5" i="27"/>
  <c r="C5" i="27"/>
  <c r="C34" i="10" l="1"/>
  <c r="D27" i="10"/>
  <c r="I14" i="10"/>
  <c r="H14" i="10"/>
  <c r="C14" i="10"/>
  <c r="H12" i="10"/>
  <c r="D31" i="43" l="1"/>
  <c r="D29" i="43"/>
  <c r="D27" i="43"/>
  <c r="D25" i="43"/>
  <c r="D17" i="43"/>
  <c r="H14" i="43"/>
  <c r="D14" i="43"/>
  <c r="H13" i="43"/>
  <c r="D13" i="43"/>
  <c r="H12" i="43"/>
  <c r="H9" i="43"/>
  <c r="D7" i="43"/>
  <c r="J5" i="43"/>
  <c r="D5" i="43"/>
  <c r="J40" i="15" l="1"/>
  <c r="D31" i="15"/>
  <c r="D29" i="15"/>
  <c r="D27" i="15"/>
  <c r="G22" i="15"/>
  <c r="H14" i="15"/>
  <c r="D14" i="15"/>
  <c r="J13" i="15"/>
  <c r="C13" i="15"/>
  <c r="H12" i="15"/>
  <c r="C12" i="15"/>
  <c r="C7" i="15"/>
  <c r="C5" i="15"/>
  <c r="G53" i="35" l="1"/>
  <c r="J5" i="35"/>
  <c r="D29" i="16" l="1"/>
  <c r="D27" i="16"/>
  <c r="I24" i="16"/>
  <c r="D25" i="16"/>
  <c r="J17" i="16"/>
  <c r="I17" i="16"/>
  <c r="E17" i="16"/>
  <c r="J14" i="16"/>
  <c r="J7" i="16"/>
  <c r="J5" i="16"/>
  <c r="I15" i="18" l="1"/>
  <c r="I15" i="46" s="1"/>
  <c r="D31" i="18"/>
  <c r="D31" i="46" s="1"/>
  <c r="D29" i="18"/>
  <c r="D29" i="46" s="1"/>
  <c r="C29" i="18"/>
  <c r="C29" i="46" s="1"/>
  <c r="J27" i="18"/>
  <c r="J27" i="46" s="1"/>
  <c r="D27" i="18"/>
  <c r="D27" i="46" s="1"/>
  <c r="C27" i="18"/>
  <c r="C27" i="46" s="1"/>
  <c r="J26" i="18"/>
  <c r="J26" i="46" s="1"/>
  <c r="C26" i="18"/>
  <c r="C26" i="46" s="1"/>
  <c r="D25" i="18"/>
  <c r="D25" i="46" s="1"/>
  <c r="C25" i="18"/>
  <c r="C25" i="46" s="1"/>
  <c r="H22" i="18"/>
  <c r="H22" i="46" s="1"/>
  <c r="H19" i="18"/>
  <c r="H19" i="46" s="1"/>
  <c r="C18" i="18"/>
  <c r="C18" i="46" s="1"/>
  <c r="D16" i="18"/>
  <c r="D16" i="46" s="1"/>
  <c r="C15" i="18"/>
  <c r="C15" i="46" s="1"/>
  <c r="H14" i="18"/>
  <c r="H14" i="46" s="1"/>
  <c r="J5" i="18"/>
  <c r="J5" i="46" s="1"/>
  <c r="I55" i="20" l="1"/>
  <c r="G55" i="20"/>
  <c r="D55" i="20"/>
  <c r="H33" i="20"/>
  <c r="D27" i="20"/>
  <c r="G26" i="20"/>
  <c r="D26" i="20"/>
  <c r="D25" i="20"/>
  <c r="F24" i="20"/>
  <c r="F18" i="20"/>
  <c r="D16" i="20"/>
  <c r="H14" i="20"/>
  <c r="D14" i="20"/>
  <c r="H12" i="20"/>
  <c r="C7" i="20"/>
  <c r="D5" i="20"/>
  <c r="D31" i="34" l="1"/>
  <c r="D29" i="34"/>
  <c r="D27" i="34"/>
  <c r="G26" i="34"/>
  <c r="D26" i="34"/>
  <c r="D25" i="34"/>
  <c r="H14" i="34"/>
  <c r="I7" i="34"/>
  <c r="J5" i="34"/>
  <c r="J54" i="21" l="1"/>
  <c r="D54" i="21"/>
  <c r="C54" i="21"/>
  <c r="I53" i="21"/>
  <c r="D31" i="21"/>
  <c r="D29" i="21"/>
  <c r="D27" i="21"/>
  <c r="D26" i="21"/>
  <c r="C26" i="21"/>
  <c r="D25" i="21"/>
  <c r="J17" i="21"/>
  <c r="D16" i="21"/>
  <c r="D15" i="21"/>
  <c r="H14" i="21"/>
  <c r="D14" i="21"/>
  <c r="I13" i="21"/>
  <c r="D13" i="21"/>
  <c r="H12" i="21"/>
  <c r="J10" i="21"/>
  <c r="D10" i="21"/>
  <c r="D5" i="21"/>
  <c r="J7" i="21"/>
  <c r="K7" i="21"/>
  <c r="G7" i="21"/>
  <c r="D7" i="21"/>
  <c r="J5" i="21"/>
  <c r="C5" i="21"/>
  <c r="D31" i="14" l="1"/>
  <c r="D29" i="14"/>
  <c r="D27" i="14"/>
  <c r="D26" i="14"/>
  <c r="D25" i="14"/>
  <c r="J24" i="14"/>
  <c r="J7" i="14"/>
  <c r="I7" i="14"/>
  <c r="J5" i="14"/>
  <c r="D5" i="14"/>
  <c r="I24" i="19" l="1"/>
  <c r="G24" i="19"/>
  <c r="C24" i="19"/>
  <c r="D14" i="19"/>
  <c r="J13" i="19"/>
  <c r="I13" i="19"/>
  <c r="C13" i="19"/>
  <c r="H12" i="19"/>
  <c r="D10" i="19"/>
  <c r="H9" i="19"/>
  <c r="C5" i="19"/>
  <c r="D31" i="12" l="1"/>
  <c r="D29" i="12"/>
  <c r="D27" i="12"/>
  <c r="D26" i="12"/>
  <c r="I55" i="25" l="1"/>
  <c r="G55" i="25"/>
  <c r="D55" i="25"/>
  <c r="I53" i="25"/>
  <c r="I41" i="25"/>
  <c r="D32" i="25"/>
  <c r="D29" i="25"/>
  <c r="D27" i="25"/>
  <c r="D25" i="25"/>
  <c r="H14" i="25"/>
  <c r="D14" i="25"/>
  <c r="H12" i="25"/>
  <c r="J5" i="25"/>
  <c r="I5" i="25"/>
  <c r="G5" i="25"/>
  <c r="D5" i="25"/>
  <c r="C5" i="25"/>
  <c r="J53" i="38" l="1"/>
  <c r="J42" i="38"/>
  <c r="C42" i="38"/>
  <c r="J41" i="38"/>
  <c r="H41" i="38"/>
  <c r="J40" i="38"/>
  <c r="H40" i="38"/>
  <c r="C40" i="38"/>
  <c r="C37" i="38"/>
  <c r="J36" i="38"/>
  <c r="C36" i="38"/>
  <c r="J33" i="38"/>
  <c r="D33" i="38"/>
  <c r="C33" i="38"/>
  <c r="C32" i="38"/>
  <c r="J31" i="38"/>
  <c r="D31" i="38"/>
  <c r="D29" i="38"/>
  <c r="D27" i="38"/>
  <c r="J26" i="38"/>
  <c r="D26" i="38"/>
  <c r="C26" i="38"/>
  <c r="D25" i="38"/>
  <c r="C25" i="38"/>
  <c r="J24" i="38"/>
  <c r="C24" i="38"/>
  <c r="H22" i="38"/>
  <c r="C22" i="38"/>
  <c r="C20" i="38"/>
  <c r="J18" i="38"/>
  <c r="C18" i="38"/>
  <c r="E17" i="38"/>
  <c r="C17" i="38"/>
  <c r="I16" i="38"/>
  <c r="C16" i="38"/>
  <c r="C15" i="38"/>
  <c r="C14" i="38"/>
  <c r="J13" i="38"/>
  <c r="I13" i="38"/>
  <c r="C13" i="38"/>
  <c r="C8" i="38"/>
  <c r="J7" i="38"/>
  <c r="I7" i="38"/>
  <c r="G7" i="38"/>
  <c r="D7" i="38"/>
  <c r="C7" i="38"/>
  <c r="J5" i="38"/>
  <c r="I5" i="38"/>
  <c r="C5" i="38"/>
  <c r="D27" i="8" l="1"/>
  <c r="I9" i="8"/>
  <c r="I8" i="8"/>
  <c r="J5" i="8"/>
  <c r="J33" i="22" l="1"/>
  <c r="D29" i="22"/>
  <c r="J27" i="22"/>
  <c r="D27" i="22"/>
  <c r="D26" i="22"/>
  <c r="D25" i="22"/>
  <c r="J24" i="22"/>
  <c r="H24" i="22"/>
  <c r="J17" i="22"/>
  <c r="E17" i="22"/>
  <c r="J7" i="22"/>
  <c r="J5" i="22"/>
  <c r="H41" i="11" l="1"/>
  <c r="D31" i="11"/>
  <c r="D29" i="11"/>
  <c r="D25" i="11"/>
  <c r="I24" i="11"/>
  <c r="C16" i="11"/>
  <c r="H14" i="11"/>
  <c r="D14" i="11"/>
  <c r="H12" i="11"/>
  <c r="C7" i="11"/>
  <c r="D7" i="11"/>
  <c r="H7" i="11"/>
  <c r="I7" i="11"/>
  <c r="J5" i="11"/>
  <c r="J55" i="32" l="1"/>
  <c r="I50" i="32"/>
  <c r="G50" i="32"/>
  <c r="I53" i="32"/>
  <c r="G53" i="32"/>
  <c r="C52" i="32"/>
  <c r="D27" i="32"/>
  <c r="D25" i="32"/>
  <c r="D13" i="32"/>
  <c r="H12" i="32"/>
  <c r="D7" i="32"/>
  <c r="I42" i="23" l="1"/>
  <c r="D32" i="23"/>
  <c r="D31" i="23"/>
  <c r="D29" i="23"/>
  <c r="D27" i="23"/>
  <c r="D25" i="23"/>
  <c r="J5" i="23"/>
  <c r="C5" i="23"/>
  <c r="D29" i="44" l="1"/>
  <c r="D26" i="44"/>
  <c r="D25" i="44"/>
  <c r="H21" i="44"/>
  <c r="E21" i="44"/>
  <c r="H14" i="44"/>
  <c r="H5" i="17" l="1"/>
  <c r="D29" i="17" l="1"/>
  <c r="D27" i="17"/>
  <c r="D24" i="17"/>
  <c r="H14" i="17"/>
  <c r="J5" i="17"/>
  <c r="F5" i="17"/>
  <c r="D35" i="26" l="1"/>
  <c r="D34" i="26"/>
  <c r="D29" i="26"/>
  <c r="D27" i="26"/>
  <c r="C27" i="26"/>
  <c r="G26" i="26"/>
  <c r="D25" i="26"/>
  <c r="H14" i="26"/>
  <c r="D14" i="26"/>
  <c r="H12" i="26"/>
  <c r="D52" i="42" l="1"/>
  <c r="I55" i="42"/>
  <c r="J55" i="42"/>
  <c r="G55" i="42"/>
  <c r="D55" i="42"/>
  <c r="J54" i="42"/>
  <c r="G54" i="42"/>
  <c r="D54" i="42"/>
  <c r="I53" i="42"/>
  <c r="G53" i="42"/>
  <c r="D53" i="42"/>
  <c r="J52" i="42"/>
  <c r="G52" i="42"/>
  <c r="D31" i="42"/>
  <c r="D29" i="42"/>
  <c r="D27" i="42"/>
  <c r="G26" i="42"/>
  <c r="D26" i="42"/>
  <c r="D25" i="42"/>
  <c r="H14" i="42"/>
  <c r="H12" i="42"/>
  <c r="J7" i="42"/>
  <c r="J5" i="42"/>
  <c r="D27" i="28" l="1"/>
  <c r="D26" i="28"/>
  <c r="H14" i="28"/>
  <c r="H12" i="28"/>
  <c r="H9" i="28"/>
  <c r="J5" i="28"/>
  <c r="D25" i="29"/>
  <c r="D29" i="29"/>
  <c r="D27" i="29"/>
  <c r="D5" i="29"/>
  <c r="C1" i="28" l="1"/>
  <c r="C1" i="12"/>
  <c r="C1" i="11"/>
  <c r="K55" i="10" l="1"/>
  <c r="K54" i="10"/>
  <c r="K53" i="10"/>
  <c r="K52" i="10"/>
  <c r="K51" i="10"/>
  <c r="K50" i="10"/>
  <c r="K49" i="10"/>
  <c r="K48" i="10"/>
  <c r="K47" i="10"/>
  <c r="K46" i="10"/>
  <c r="K45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6" i="10"/>
  <c r="K24" i="10"/>
  <c r="K23" i="10"/>
  <c r="K22" i="10"/>
  <c r="K21" i="10"/>
  <c r="K20" i="10"/>
  <c r="K19" i="10"/>
  <c r="K18" i="10"/>
  <c r="K17" i="10"/>
  <c r="K16" i="10"/>
  <c r="K15" i="10"/>
  <c r="K13" i="10"/>
  <c r="K11" i="10"/>
  <c r="K10" i="10"/>
  <c r="K9" i="10"/>
  <c r="K8" i="10"/>
  <c r="K7" i="10"/>
  <c r="K6" i="10"/>
  <c r="K55" i="17"/>
  <c r="K54" i="17"/>
  <c r="K53" i="17"/>
  <c r="K52" i="17"/>
  <c r="K51" i="17"/>
  <c r="K50" i="17"/>
  <c r="K49" i="17"/>
  <c r="K48" i="17"/>
  <c r="K47" i="17"/>
  <c r="K46" i="17"/>
  <c r="K45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3" i="17"/>
  <c r="K12" i="17"/>
  <c r="K11" i="17"/>
  <c r="K10" i="17"/>
  <c r="K9" i="17"/>
  <c r="K8" i="17"/>
  <c r="K7" i="17"/>
  <c r="K6" i="17"/>
  <c r="K55" i="18"/>
  <c r="K54" i="18"/>
  <c r="K53" i="18"/>
  <c r="K52" i="18"/>
  <c r="K51" i="18"/>
  <c r="K50" i="18"/>
  <c r="K49" i="18"/>
  <c r="K48" i="18"/>
  <c r="K47" i="18"/>
  <c r="K46" i="18"/>
  <c r="K45" i="18"/>
  <c r="K43" i="18"/>
  <c r="K42" i="18"/>
  <c r="K41" i="18"/>
  <c r="K39" i="18"/>
  <c r="K38" i="18"/>
  <c r="K37" i="18"/>
  <c r="K35" i="18"/>
  <c r="K34" i="18"/>
  <c r="K33" i="18"/>
  <c r="K32" i="18"/>
  <c r="K30" i="18"/>
  <c r="K28" i="18"/>
  <c r="K24" i="18"/>
  <c r="K23" i="18"/>
  <c r="K21" i="18"/>
  <c r="K20" i="18"/>
  <c r="K13" i="18"/>
  <c r="K12" i="18"/>
  <c r="K11" i="18"/>
  <c r="K10" i="18"/>
  <c r="K9" i="18"/>
  <c r="K6" i="18"/>
  <c r="K55" i="19"/>
  <c r="K54" i="19"/>
  <c r="K53" i="19"/>
  <c r="K52" i="19"/>
  <c r="K51" i="19"/>
  <c r="K50" i="19"/>
  <c r="K49" i="19"/>
  <c r="K48" i="19"/>
  <c r="K47" i="19"/>
  <c r="K46" i="19"/>
  <c r="K45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3" i="19"/>
  <c r="K22" i="19"/>
  <c r="K21" i="19"/>
  <c r="K20" i="19"/>
  <c r="K19" i="19"/>
  <c r="K18" i="19"/>
  <c r="K17" i="19"/>
  <c r="K16" i="19"/>
  <c r="K15" i="19"/>
  <c r="K11" i="19"/>
  <c r="K9" i="19"/>
  <c r="K8" i="19"/>
  <c r="K6" i="19"/>
  <c r="K54" i="20"/>
  <c r="K53" i="20"/>
  <c r="K52" i="20"/>
  <c r="K51" i="20"/>
  <c r="K50" i="20"/>
  <c r="K49" i="20"/>
  <c r="K48" i="20"/>
  <c r="K47" i="20"/>
  <c r="K46" i="20"/>
  <c r="K45" i="20"/>
  <c r="K43" i="20"/>
  <c r="K42" i="20"/>
  <c r="K41" i="20"/>
  <c r="K40" i="20"/>
  <c r="K39" i="20"/>
  <c r="K38" i="20"/>
  <c r="K37" i="20"/>
  <c r="K36" i="20"/>
  <c r="K35" i="20"/>
  <c r="K34" i="20"/>
  <c r="K32" i="20"/>
  <c r="K31" i="20"/>
  <c r="K30" i="20"/>
  <c r="K29" i="20"/>
  <c r="K28" i="20"/>
  <c r="K23" i="20"/>
  <c r="K22" i="20"/>
  <c r="K21" i="20"/>
  <c r="K20" i="20"/>
  <c r="K19" i="20"/>
  <c r="K17" i="20"/>
  <c r="K15" i="20"/>
  <c r="K11" i="20"/>
  <c r="K10" i="20"/>
  <c r="K9" i="20"/>
  <c r="K8" i="20"/>
  <c r="K6" i="20"/>
  <c r="K55" i="21"/>
  <c r="K52" i="21"/>
  <c r="K51" i="21"/>
  <c r="K50" i="21"/>
  <c r="K49" i="21"/>
  <c r="K48" i="21"/>
  <c r="K47" i="21"/>
  <c r="K46" i="21"/>
  <c r="K45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0" i="21"/>
  <c r="K28" i="21"/>
  <c r="K24" i="21"/>
  <c r="K23" i="21"/>
  <c r="K22" i="21"/>
  <c r="K21" i="21"/>
  <c r="K20" i="21"/>
  <c r="K19" i="21"/>
  <c r="K18" i="21"/>
  <c r="K17" i="21"/>
  <c r="K11" i="21"/>
  <c r="K9" i="21"/>
  <c r="K8" i="21"/>
  <c r="K6" i="21"/>
  <c r="K55" i="22"/>
  <c r="K54" i="22"/>
  <c r="K53" i="22"/>
  <c r="K52" i="22"/>
  <c r="K51" i="22"/>
  <c r="K50" i="22"/>
  <c r="K49" i="22"/>
  <c r="K48" i="22"/>
  <c r="K47" i="22"/>
  <c r="K46" i="22"/>
  <c r="K45" i="22"/>
  <c r="K43" i="22"/>
  <c r="K42" i="22"/>
  <c r="K41" i="22"/>
  <c r="K40" i="22"/>
  <c r="K39" i="22"/>
  <c r="K38" i="22"/>
  <c r="K37" i="22"/>
  <c r="K36" i="22"/>
  <c r="K35" i="22"/>
  <c r="K34" i="22"/>
  <c r="K32" i="22"/>
  <c r="K31" i="22"/>
  <c r="K30" i="22"/>
  <c r="K28" i="22"/>
  <c r="K24" i="22"/>
  <c r="K23" i="22"/>
  <c r="K22" i="22"/>
  <c r="K21" i="22"/>
  <c r="K20" i="22"/>
  <c r="K19" i="22"/>
  <c r="K18" i="22"/>
  <c r="K16" i="22"/>
  <c r="K15" i="22"/>
  <c r="K14" i="22"/>
  <c r="K13" i="22"/>
  <c r="K12" i="22"/>
  <c r="K11" i="22"/>
  <c r="K10" i="22"/>
  <c r="K9" i="22"/>
  <c r="K8" i="22"/>
  <c r="K6" i="22"/>
  <c r="K55" i="23"/>
  <c r="K54" i="23"/>
  <c r="K53" i="23"/>
  <c r="K52" i="23"/>
  <c r="K51" i="23"/>
  <c r="K50" i="23"/>
  <c r="K49" i="23"/>
  <c r="K48" i="23"/>
  <c r="K47" i="23"/>
  <c r="K46" i="23"/>
  <c r="K45" i="23"/>
  <c r="K43" i="23"/>
  <c r="K41" i="23"/>
  <c r="K40" i="23"/>
  <c r="K39" i="23"/>
  <c r="K38" i="23"/>
  <c r="K37" i="23"/>
  <c r="K36" i="23"/>
  <c r="K35" i="23"/>
  <c r="K34" i="23"/>
  <c r="K33" i="23"/>
  <c r="K32" i="23"/>
  <c r="K30" i="23"/>
  <c r="K28" i="23"/>
  <c r="K26" i="23"/>
  <c r="K24" i="23"/>
  <c r="K23" i="23"/>
  <c r="K21" i="23"/>
  <c r="K20" i="23"/>
  <c r="K19" i="23"/>
  <c r="K18" i="23"/>
  <c r="K17" i="23"/>
  <c r="K16" i="23"/>
  <c r="K15" i="23"/>
  <c r="K14" i="23"/>
  <c r="K12" i="23"/>
  <c r="K11" i="23"/>
  <c r="K10" i="23"/>
  <c r="K9" i="23"/>
  <c r="K8" i="23"/>
  <c r="K7" i="23"/>
  <c r="K6" i="23"/>
  <c r="K55" i="24"/>
  <c r="K54" i="24"/>
  <c r="K52" i="24"/>
  <c r="K51" i="24"/>
  <c r="K50" i="24"/>
  <c r="K49" i="24"/>
  <c r="K48" i="24"/>
  <c r="K47" i="24"/>
  <c r="K46" i="24"/>
  <c r="K45" i="24"/>
  <c r="K43" i="24"/>
  <c r="K42" i="24"/>
  <c r="K41" i="24"/>
  <c r="K40" i="24"/>
  <c r="K39" i="24"/>
  <c r="K38" i="24"/>
  <c r="K37" i="24"/>
  <c r="K36" i="24"/>
  <c r="K35" i="24"/>
  <c r="K34" i="24"/>
  <c r="K33" i="24"/>
  <c r="K32" i="24"/>
  <c r="K31" i="24"/>
  <c r="K30" i="24"/>
  <c r="K28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3" i="24"/>
  <c r="K12" i="24"/>
  <c r="K11" i="24"/>
  <c r="K9" i="24"/>
  <c r="K8" i="24"/>
  <c r="K7" i="24"/>
  <c r="K6" i="24"/>
  <c r="K54" i="25"/>
  <c r="K52" i="25"/>
  <c r="K51" i="25"/>
  <c r="K50" i="25"/>
  <c r="K49" i="25"/>
  <c r="K48" i="25"/>
  <c r="K47" i="25"/>
  <c r="K46" i="25"/>
  <c r="K43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8" i="25"/>
  <c r="K26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1" i="25"/>
  <c r="K10" i="25"/>
  <c r="K9" i="25"/>
  <c r="K8" i="25"/>
  <c r="K7" i="25"/>
  <c r="K6" i="25"/>
  <c r="K55" i="26"/>
  <c r="K54" i="26"/>
  <c r="K53" i="26"/>
  <c r="K52" i="26"/>
  <c r="K51" i="26"/>
  <c r="K50" i="26"/>
  <c r="K49" i="26"/>
  <c r="K48" i="26"/>
  <c r="K47" i="26"/>
  <c r="K46" i="26"/>
  <c r="K45" i="26"/>
  <c r="K43" i="26"/>
  <c r="K42" i="26"/>
  <c r="K41" i="26"/>
  <c r="K40" i="26"/>
  <c r="K39" i="26"/>
  <c r="K38" i="26"/>
  <c r="K37" i="26"/>
  <c r="K36" i="26"/>
  <c r="K33" i="26"/>
  <c r="K32" i="26"/>
  <c r="K31" i="26"/>
  <c r="K30" i="26"/>
  <c r="K28" i="26"/>
  <c r="K26" i="26"/>
  <c r="K23" i="26"/>
  <c r="K22" i="26"/>
  <c r="K21" i="26"/>
  <c r="K20" i="26"/>
  <c r="K19" i="26"/>
  <c r="K18" i="26"/>
  <c r="K17" i="26"/>
  <c r="K16" i="26"/>
  <c r="K15" i="26"/>
  <c r="K13" i="26"/>
  <c r="K11" i="26"/>
  <c r="K10" i="26"/>
  <c r="K9" i="26"/>
  <c r="K8" i="26"/>
  <c r="K6" i="26"/>
  <c r="K55" i="27"/>
  <c r="K54" i="27"/>
  <c r="K52" i="27"/>
  <c r="K51" i="27"/>
  <c r="K50" i="27"/>
  <c r="K49" i="27"/>
  <c r="K48" i="27"/>
  <c r="K47" i="27"/>
  <c r="K46" i="27"/>
  <c r="K45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8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5" i="28"/>
  <c r="K54" i="28"/>
  <c r="K53" i="28"/>
  <c r="K52" i="28"/>
  <c r="K51" i="28"/>
  <c r="K50" i="28"/>
  <c r="K49" i="28"/>
  <c r="K48" i="28"/>
  <c r="K47" i="28"/>
  <c r="K46" i="28"/>
  <c r="K45" i="28"/>
  <c r="K43" i="28"/>
  <c r="K42" i="28"/>
  <c r="K41" i="28"/>
  <c r="K40" i="28"/>
  <c r="K39" i="28"/>
  <c r="K38" i="28"/>
  <c r="K37" i="28"/>
  <c r="K36" i="28"/>
  <c r="K35" i="28"/>
  <c r="K32" i="28"/>
  <c r="K30" i="28"/>
  <c r="K28" i="28"/>
  <c r="K24" i="28"/>
  <c r="K23" i="28"/>
  <c r="K22" i="28"/>
  <c r="K21" i="28"/>
  <c r="K20" i="28"/>
  <c r="K19" i="28"/>
  <c r="K18" i="28"/>
  <c r="K17" i="28"/>
  <c r="K15" i="28"/>
  <c r="K13" i="28"/>
  <c r="K12" i="28"/>
  <c r="K9" i="28"/>
  <c r="K8" i="28"/>
  <c r="K7" i="28"/>
  <c r="K6" i="28"/>
  <c r="K55" i="29"/>
  <c r="K54" i="29"/>
  <c r="K53" i="29"/>
  <c r="K52" i="29"/>
  <c r="K51" i="29"/>
  <c r="K50" i="29"/>
  <c r="K48" i="29"/>
  <c r="K47" i="29"/>
  <c r="K46" i="29"/>
  <c r="K45" i="29"/>
  <c r="K43" i="29"/>
  <c r="K42" i="29"/>
  <c r="K41" i="29"/>
  <c r="K40" i="29"/>
  <c r="K39" i="29"/>
  <c r="K38" i="29"/>
  <c r="K37" i="29"/>
  <c r="K36" i="29"/>
  <c r="K35" i="29"/>
  <c r="K33" i="29"/>
  <c r="K31" i="29"/>
  <c r="K30" i="29"/>
  <c r="K28" i="29"/>
  <c r="K24" i="29"/>
  <c r="K23" i="29"/>
  <c r="K22" i="29"/>
  <c r="K21" i="29"/>
  <c r="K20" i="29"/>
  <c r="K19" i="29"/>
  <c r="K18" i="29"/>
  <c r="K17" i="29"/>
  <c r="K16" i="29"/>
  <c r="K15" i="29"/>
  <c r="K13" i="29"/>
  <c r="K12" i="29"/>
  <c r="K11" i="29"/>
  <c r="K10" i="29"/>
  <c r="K9" i="29"/>
  <c r="K8" i="29"/>
  <c r="K6" i="29"/>
  <c r="K55" i="30"/>
  <c r="K54" i="30"/>
  <c r="K53" i="30"/>
  <c r="K52" i="30"/>
  <c r="K51" i="30"/>
  <c r="K50" i="30"/>
  <c r="K48" i="30"/>
  <c r="K47" i="30"/>
  <c r="K46" i="30"/>
  <c r="K45" i="30"/>
  <c r="K43" i="30"/>
  <c r="K42" i="30"/>
  <c r="K40" i="30"/>
  <c r="K39" i="30"/>
  <c r="K38" i="30"/>
  <c r="K37" i="30"/>
  <c r="K36" i="30"/>
  <c r="K35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1" i="32"/>
  <c r="K49" i="32"/>
  <c r="K48" i="32"/>
  <c r="K47" i="32"/>
  <c r="K46" i="32"/>
  <c r="K45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6" i="32"/>
  <c r="K24" i="32"/>
  <c r="K23" i="32"/>
  <c r="K22" i="32"/>
  <c r="K21" i="32"/>
  <c r="K20" i="32"/>
  <c r="K19" i="32"/>
  <c r="K18" i="32"/>
  <c r="K17" i="32"/>
  <c r="K16" i="32"/>
  <c r="K15" i="32"/>
  <c r="K14" i="32"/>
  <c r="K11" i="32"/>
  <c r="K10" i="32"/>
  <c r="K9" i="32"/>
  <c r="K8" i="32"/>
  <c r="K7" i="32"/>
  <c r="K6" i="32"/>
  <c r="K55" i="34"/>
  <c r="K54" i="34"/>
  <c r="K53" i="34"/>
  <c r="K52" i="34"/>
  <c r="K51" i="34"/>
  <c r="K50" i="34"/>
  <c r="K49" i="34"/>
  <c r="K48" i="34"/>
  <c r="K47" i="34"/>
  <c r="K46" i="34"/>
  <c r="K45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0" i="34"/>
  <c r="K28" i="34"/>
  <c r="K24" i="34"/>
  <c r="K23" i="34"/>
  <c r="K22" i="34"/>
  <c r="K21" i="34"/>
  <c r="K20" i="34"/>
  <c r="K19" i="34"/>
  <c r="K18" i="34"/>
  <c r="K17" i="34"/>
  <c r="K13" i="34"/>
  <c r="K10" i="34"/>
  <c r="K9" i="34"/>
  <c r="K8" i="34"/>
  <c r="K6" i="34"/>
  <c r="K55" i="35"/>
  <c r="K51" i="35"/>
  <c r="K50" i="35"/>
  <c r="K49" i="35"/>
  <c r="K48" i="35"/>
  <c r="K47" i="35"/>
  <c r="K46" i="35"/>
  <c r="K45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7" i="35"/>
  <c r="K6" i="35"/>
  <c r="K55" i="36"/>
  <c r="K54" i="36"/>
  <c r="K53" i="36"/>
  <c r="K52" i="36"/>
  <c r="K51" i="36"/>
  <c r="K50" i="36"/>
  <c r="K49" i="36"/>
  <c r="K48" i="36"/>
  <c r="K47" i="36"/>
  <c r="K46" i="36"/>
  <c r="K45" i="36"/>
  <c r="K43" i="36"/>
  <c r="K42" i="36"/>
  <c r="K40" i="36"/>
  <c r="K39" i="36"/>
  <c r="K38" i="36"/>
  <c r="K37" i="36"/>
  <c r="K36" i="36"/>
  <c r="K35" i="36"/>
  <c r="K33" i="36"/>
  <c r="K32" i="36"/>
  <c r="K30" i="36"/>
  <c r="K29" i="36"/>
  <c r="K24" i="36"/>
  <c r="K23" i="36"/>
  <c r="K21" i="36"/>
  <c r="K20" i="36"/>
  <c r="K19" i="36"/>
  <c r="K18" i="36"/>
  <c r="K15" i="36"/>
  <c r="K13" i="36"/>
  <c r="K12" i="36"/>
  <c r="K11" i="36"/>
  <c r="K10" i="36"/>
  <c r="K9" i="36"/>
  <c r="K7" i="36"/>
  <c r="K6" i="36"/>
  <c r="K55" i="37"/>
  <c r="K54" i="37"/>
  <c r="K52" i="37"/>
  <c r="K51" i="37"/>
  <c r="K50" i="37"/>
  <c r="K49" i="37"/>
  <c r="K48" i="37"/>
  <c r="K47" i="37"/>
  <c r="K46" i="37"/>
  <c r="K45" i="37"/>
  <c r="K43" i="37"/>
  <c r="K42" i="37"/>
  <c r="K38" i="37"/>
  <c r="K37" i="37"/>
  <c r="K36" i="37"/>
  <c r="K35" i="37"/>
  <c r="K34" i="37"/>
  <c r="K33" i="37"/>
  <c r="K32" i="37"/>
  <c r="K31" i="37"/>
  <c r="K28" i="37"/>
  <c r="K26" i="37"/>
  <c r="K25" i="37"/>
  <c r="K24" i="37"/>
  <c r="K23" i="37"/>
  <c r="K20" i="37"/>
  <c r="K19" i="37"/>
  <c r="K18" i="37"/>
  <c r="K15" i="37"/>
  <c r="K14" i="37"/>
  <c r="K13" i="37"/>
  <c r="K11" i="37"/>
  <c r="K10" i="37"/>
  <c r="K6" i="37"/>
  <c r="K54" i="38"/>
  <c r="K52" i="38"/>
  <c r="K51" i="38"/>
  <c r="K50" i="38"/>
  <c r="K49" i="38"/>
  <c r="K48" i="38"/>
  <c r="K47" i="38"/>
  <c r="K46" i="38"/>
  <c r="K45" i="38"/>
  <c r="K43" i="38"/>
  <c r="K42" i="38"/>
  <c r="K39" i="38"/>
  <c r="K38" i="38"/>
  <c r="K36" i="38"/>
  <c r="K35" i="38"/>
  <c r="K34" i="38"/>
  <c r="K30" i="38"/>
  <c r="K28" i="38"/>
  <c r="K23" i="38"/>
  <c r="K21" i="38"/>
  <c r="K19" i="38"/>
  <c r="K12" i="38"/>
  <c r="K11" i="38"/>
  <c r="K10" i="38"/>
  <c r="K9" i="38"/>
  <c r="K6" i="38"/>
  <c r="K55" i="39"/>
  <c r="K54" i="39"/>
  <c r="K53" i="39"/>
  <c r="K52" i="39"/>
  <c r="K51" i="39"/>
  <c r="K50" i="39"/>
  <c r="K49" i="39"/>
  <c r="K48" i="39"/>
  <c r="K47" i="39"/>
  <c r="K46" i="39"/>
  <c r="K45" i="39"/>
  <c r="K43" i="39"/>
  <c r="K42" i="39"/>
  <c r="K41" i="39"/>
  <c r="K39" i="39"/>
  <c r="K38" i="39"/>
  <c r="K37" i="39"/>
  <c r="K36" i="39"/>
  <c r="K34" i="39"/>
  <c r="K31" i="39"/>
  <c r="K28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6" i="39"/>
  <c r="K55" i="40"/>
  <c r="K54" i="40"/>
  <c r="K53" i="40"/>
  <c r="K52" i="40"/>
  <c r="K51" i="40"/>
  <c r="K50" i="40"/>
  <c r="K49" i="40"/>
  <c r="K48" i="40"/>
  <c r="K47" i="40"/>
  <c r="K46" i="40"/>
  <c r="K45" i="40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K55" i="41"/>
  <c r="K54" i="41"/>
  <c r="K53" i="41"/>
  <c r="K52" i="41"/>
  <c r="K51" i="41"/>
  <c r="K50" i="41"/>
  <c r="K49" i="41"/>
  <c r="K48" i="41"/>
  <c r="K47" i="41"/>
  <c r="K46" i="41"/>
  <c r="K45" i="41"/>
  <c r="K43" i="41"/>
  <c r="K41" i="41"/>
  <c r="K40" i="41"/>
  <c r="K39" i="41"/>
  <c r="K38" i="41"/>
  <c r="K37" i="41"/>
  <c r="K36" i="41"/>
  <c r="K35" i="41"/>
  <c r="K33" i="41"/>
  <c r="K32" i="41"/>
  <c r="K30" i="41"/>
  <c r="K28" i="41"/>
  <c r="K24" i="41"/>
  <c r="K23" i="41"/>
  <c r="K22" i="41"/>
  <c r="K21" i="41"/>
  <c r="K20" i="41"/>
  <c r="K19" i="41"/>
  <c r="K18" i="41"/>
  <c r="K17" i="41"/>
  <c r="K15" i="41"/>
  <c r="K13" i="41"/>
  <c r="K11" i="41"/>
  <c r="K10" i="41"/>
  <c r="K9" i="41"/>
  <c r="K8" i="41"/>
  <c r="K6" i="41"/>
  <c r="K54" i="42"/>
  <c r="K51" i="42"/>
  <c r="K50" i="42"/>
  <c r="K49" i="42"/>
  <c r="K48" i="42"/>
  <c r="K47" i="42"/>
  <c r="K46" i="42"/>
  <c r="K45" i="42"/>
  <c r="K43" i="42"/>
  <c r="K42" i="42"/>
  <c r="K41" i="42"/>
  <c r="K40" i="42"/>
  <c r="K39" i="42"/>
  <c r="K38" i="42"/>
  <c r="K37" i="42"/>
  <c r="K36" i="42"/>
  <c r="K35" i="42"/>
  <c r="K32" i="42"/>
  <c r="K30" i="42"/>
  <c r="K28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1" i="42"/>
  <c r="K10" i="42"/>
  <c r="K9" i="42"/>
  <c r="K8" i="42"/>
  <c r="K7" i="42"/>
  <c r="K6" i="42"/>
  <c r="K55" i="43"/>
  <c r="K54" i="43"/>
  <c r="K53" i="43"/>
  <c r="K52" i="43"/>
  <c r="K51" i="43"/>
  <c r="K50" i="43"/>
  <c r="K49" i="43"/>
  <c r="K48" i="43"/>
  <c r="K47" i="43"/>
  <c r="K46" i="43"/>
  <c r="K45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0" i="43"/>
  <c r="K28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1" i="43"/>
  <c r="K10" i="43"/>
  <c r="K9" i="43"/>
  <c r="K8" i="43"/>
  <c r="K7" i="43"/>
  <c r="K6" i="43"/>
  <c r="K55" i="44"/>
  <c r="K54" i="44"/>
  <c r="K53" i="44"/>
  <c r="K52" i="44"/>
  <c r="K51" i="44"/>
  <c r="K50" i="44"/>
  <c r="K49" i="44"/>
  <c r="K48" i="44"/>
  <c r="K47" i="44"/>
  <c r="K46" i="44"/>
  <c r="K45" i="44"/>
  <c r="K43" i="44"/>
  <c r="K42" i="44"/>
  <c r="K41" i="44"/>
  <c r="K40" i="44"/>
  <c r="K39" i="44"/>
  <c r="K38" i="44"/>
  <c r="K37" i="44"/>
  <c r="K36" i="44"/>
  <c r="K35" i="44"/>
  <c r="K33" i="44"/>
  <c r="K32" i="44"/>
  <c r="K30" i="44"/>
  <c r="K28" i="44"/>
  <c r="K24" i="44"/>
  <c r="K23" i="44"/>
  <c r="K22" i="44"/>
  <c r="K20" i="44"/>
  <c r="K19" i="44"/>
  <c r="K18" i="44"/>
  <c r="K17" i="44"/>
  <c r="K16" i="44"/>
  <c r="K15" i="44"/>
  <c r="K14" i="44"/>
  <c r="K13" i="44"/>
  <c r="K12" i="44"/>
  <c r="K11" i="44"/>
  <c r="K10" i="44"/>
  <c r="K9" i="44"/>
  <c r="K8" i="44"/>
  <c r="K7" i="44"/>
  <c r="K6" i="44"/>
  <c r="K55" i="14"/>
  <c r="K54" i="14"/>
  <c r="K53" i="14"/>
  <c r="K52" i="14"/>
  <c r="K51" i="14"/>
  <c r="K50" i="14"/>
  <c r="K49" i="14"/>
  <c r="K48" i="14"/>
  <c r="K47" i="14"/>
  <c r="K46" i="14"/>
  <c r="K45" i="14"/>
  <c r="K43" i="14"/>
  <c r="K42" i="14"/>
  <c r="K41" i="14"/>
  <c r="K40" i="14"/>
  <c r="K39" i="14"/>
  <c r="K38" i="14"/>
  <c r="K37" i="14"/>
  <c r="K36" i="14"/>
  <c r="K35" i="14"/>
  <c r="K34" i="14"/>
  <c r="K33" i="14"/>
  <c r="K31" i="14"/>
  <c r="K30" i="14"/>
  <c r="K28" i="14"/>
  <c r="K26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6" i="14"/>
  <c r="K5" i="19"/>
  <c r="K5" i="27"/>
  <c r="K5" i="40"/>
  <c r="K55" i="12"/>
  <c r="K54" i="12"/>
  <c r="K53" i="12"/>
  <c r="K52" i="12"/>
  <c r="K51" i="12"/>
  <c r="K50" i="12"/>
  <c r="K49" i="12"/>
  <c r="K48" i="12"/>
  <c r="K47" i="12"/>
  <c r="K46" i="12"/>
  <c r="K45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0" i="12"/>
  <c r="K28" i="12"/>
  <c r="K24" i="12"/>
  <c r="K23" i="12"/>
  <c r="K22" i="12"/>
  <c r="K21" i="12"/>
  <c r="K20" i="12"/>
  <c r="K19" i="12"/>
  <c r="K18" i="12"/>
  <c r="K17" i="12"/>
  <c r="K16" i="12"/>
  <c r="K15" i="12"/>
  <c r="K13" i="12"/>
  <c r="K12" i="12"/>
  <c r="K11" i="12"/>
  <c r="K10" i="12"/>
  <c r="K7" i="12"/>
  <c r="K6" i="12"/>
  <c r="K55" i="13"/>
  <c r="K54" i="13"/>
  <c r="K53" i="13"/>
  <c r="K52" i="13"/>
  <c r="K51" i="13"/>
  <c r="K50" i="13"/>
  <c r="K49" i="13"/>
  <c r="K48" i="13"/>
  <c r="K47" i="13"/>
  <c r="K46" i="13"/>
  <c r="K45" i="13"/>
  <c r="K43" i="13"/>
  <c r="K42" i="13"/>
  <c r="K41" i="13"/>
  <c r="K40" i="13"/>
  <c r="K39" i="13"/>
  <c r="K38" i="13"/>
  <c r="K37" i="13"/>
  <c r="K36" i="13"/>
  <c r="K35" i="13"/>
  <c r="K34" i="13"/>
  <c r="K32" i="13"/>
  <c r="K31" i="13"/>
  <c r="K30" i="13"/>
  <c r="K29" i="13"/>
  <c r="K28" i="13"/>
  <c r="K25" i="13"/>
  <c r="K24" i="13"/>
  <c r="K23" i="13"/>
  <c r="K22" i="13"/>
  <c r="K21" i="13"/>
  <c r="K20" i="13"/>
  <c r="K19" i="13"/>
  <c r="K18" i="13"/>
  <c r="K16" i="13"/>
  <c r="K15" i="13"/>
  <c r="K13" i="13"/>
  <c r="K12" i="13"/>
  <c r="K11" i="13"/>
  <c r="K10" i="13"/>
  <c r="K9" i="13"/>
  <c r="K8" i="13"/>
  <c r="K7" i="13"/>
  <c r="K6" i="13"/>
  <c r="K55" i="16"/>
  <c r="K54" i="16"/>
  <c r="K53" i="16"/>
  <c r="K52" i="16"/>
  <c r="K51" i="16"/>
  <c r="K50" i="16"/>
  <c r="K49" i="16"/>
  <c r="K48" i="16"/>
  <c r="K47" i="16"/>
  <c r="K46" i="16"/>
  <c r="K45" i="16"/>
  <c r="K43" i="16"/>
  <c r="K42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6" i="16"/>
  <c r="K23" i="16"/>
  <c r="K22" i="16"/>
  <c r="K21" i="16"/>
  <c r="K20" i="16"/>
  <c r="K19" i="16"/>
  <c r="K15" i="16"/>
  <c r="K12" i="16"/>
  <c r="K11" i="16"/>
  <c r="K10" i="16"/>
  <c r="K8" i="16"/>
  <c r="K6" i="16"/>
  <c r="K55" i="15"/>
  <c r="K54" i="15"/>
  <c r="K53" i="15"/>
  <c r="K52" i="15"/>
  <c r="K51" i="15"/>
  <c r="K50" i="15"/>
  <c r="K49" i="15"/>
  <c r="K48" i="15"/>
  <c r="K47" i="15"/>
  <c r="K46" i="15"/>
  <c r="K45" i="15"/>
  <c r="K43" i="15"/>
  <c r="K42" i="15"/>
  <c r="K41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1" i="15"/>
  <c r="K10" i="15"/>
  <c r="K9" i="15"/>
  <c r="K8" i="15"/>
  <c r="K7" i="15"/>
  <c r="K6" i="15"/>
  <c r="K55" i="11"/>
  <c r="K54" i="11"/>
  <c r="K53" i="11"/>
  <c r="K52" i="11"/>
  <c r="K51" i="11"/>
  <c r="K50" i="11"/>
  <c r="K49" i="11"/>
  <c r="K48" i="11"/>
  <c r="K47" i="11"/>
  <c r="K46" i="11"/>
  <c r="K45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0" i="11"/>
  <c r="K28" i="11"/>
  <c r="K27" i="11"/>
  <c r="K26" i="11"/>
  <c r="K25" i="11"/>
  <c r="K24" i="11"/>
  <c r="K23" i="11"/>
  <c r="K22" i="11"/>
  <c r="K21" i="11"/>
  <c r="K20" i="11"/>
  <c r="K19" i="11"/>
  <c r="K18" i="11"/>
  <c r="K16" i="11"/>
  <c r="K15" i="11"/>
  <c r="K14" i="11"/>
  <c r="K13" i="11"/>
  <c r="K12" i="11"/>
  <c r="K11" i="11"/>
  <c r="K10" i="11"/>
  <c r="K9" i="11"/>
  <c r="K8" i="11"/>
  <c r="K6" i="11"/>
  <c r="K5" i="11"/>
  <c r="K55" i="8"/>
  <c r="K54" i="8"/>
  <c r="K53" i="8"/>
  <c r="K52" i="8"/>
  <c r="K51" i="8"/>
  <c r="K50" i="8"/>
  <c r="K49" i="8"/>
  <c r="K48" i="8"/>
  <c r="K47" i="8"/>
  <c r="K46" i="8"/>
  <c r="K45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39" i="37" l="1"/>
  <c r="K16" i="34" l="1"/>
  <c r="K15" i="34"/>
  <c r="K14" i="34"/>
  <c r="K11" i="34"/>
  <c r="K34" i="28"/>
  <c r="K31" i="28"/>
  <c r="K29" i="28"/>
  <c r="K27" i="28"/>
  <c r="K26" i="28"/>
  <c r="K25" i="28"/>
  <c r="K16" i="28"/>
  <c r="K14" i="28"/>
  <c r="K11" i="28"/>
  <c r="K10" i="28"/>
  <c r="K55" i="20" l="1"/>
  <c r="K14" i="12"/>
  <c r="K9" i="12"/>
  <c r="K8" i="12"/>
  <c r="K5" i="12"/>
  <c r="K8" i="35" l="1"/>
  <c r="K34" i="29" l="1"/>
  <c r="K32" i="29"/>
  <c r="K27" i="29"/>
  <c r="K26" i="29"/>
  <c r="K25" i="29"/>
  <c r="K53" i="24" l="1"/>
  <c r="S29" i="45" l="1"/>
  <c r="R29" i="45"/>
  <c r="Q29" i="45"/>
  <c r="P29" i="45"/>
  <c r="O29" i="45"/>
  <c r="N29" i="45"/>
  <c r="M28" i="45" l="1"/>
  <c r="S34" i="59" l="1"/>
  <c r="E7" i="59" l="1"/>
  <c r="T34" i="59"/>
  <c r="B3" i="50" l="1"/>
  <c r="B1" i="50"/>
  <c r="K46" i="46" l="1"/>
  <c r="K47" i="46"/>
  <c r="K48" i="46"/>
  <c r="K23" i="46"/>
  <c r="K11" i="46"/>
  <c r="K43" i="46"/>
  <c r="K6" i="46"/>
  <c r="K39" i="46"/>
  <c r="K51" i="46"/>
  <c r="K38" i="46"/>
  <c r="D40" i="45"/>
  <c r="C2" i="46" s="1"/>
  <c r="C40" i="45" l="1"/>
  <c r="C1" i="46" s="1"/>
  <c r="K27" i="42"/>
  <c r="K5" i="42"/>
  <c r="K27" i="41"/>
  <c r="K26" i="41"/>
  <c r="K5" i="39"/>
  <c r="K5" i="30"/>
  <c r="K7" i="29"/>
  <c r="K33" i="28"/>
  <c r="K29" i="24"/>
  <c r="K7" i="22"/>
  <c r="K16" i="20"/>
  <c r="K13" i="20"/>
  <c r="K13" i="19"/>
  <c r="K7" i="19"/>
  <c r="K13" i="15"/>
  <c r="K5" i="13"/>
  <c r="K5" i="10"/>
  <c r="K31" i="43" l="1"/>
  <c r="K5" i="43"/>
  <c r="K31" i="41"/>
  <c r="K42" i="41"/>
  <c r="K14" i="29"/>
  <c r="K32" i="39"/>
  <c r="K40" i="39"/>
  <c r="K35" i="39"/>
  <c r="K30" i="39"/>
  <c r="K29" i="39"/>
  <c r="K27" i="39"/>
  <c r="K26" i="39"/>
  <c r="K25" i="39"/>
  <c r="K7" i="39"/>
  <c r="K33" i="39" l="1"/>
  <c r="K53" i="38"/>
  <c r="K41" i="38"/>
  <c r="K31" i="38"/>
  <c r="K27" i="38"/>
  <c r="K15" i="38"/>
  <c r="K7" i="38"/>
  <c r="K5" i="38"/>
  <c r="K34" i="44"/>
  <c r="K31" i="44"/>
  <c r="K29" i="44"/>
  <c r="K27" i="44"/>
  <c r="K26" i="44"/>
  <c r="K5" i="44"/>
  <c r="K29" i="43"/>
  <c r="K27" i="43"/>
  <c r="K13" i="43"/>
  <c r="K12" i="43"/>
  <c r="K21" i="44" l="1"/>
  <c r="K25" i="44"/>
  <c r="K29" i="38"/>
  <c r="K18" i="38"/>
  <c r="K37" i="46"/>
  <c r="K37" i="38"/>
  <c r="K16" i="38"/>
  <c r="K24" i="38"/>
  <c r="K14" i="38"/>
  <c r="K8" i="38"/>
  <c r="K17" i="38"/>
  <c r="K40" i="38"/>
  <c r="K22" i="38"/>
  <c r="K25" i="38"/>
  <c r="K13" i="38"/>
  <c r="K26" i="38"/>
  <c r="K32" i="38"/>
  <c r="K55" i="38"/>
  <c r="K20" i="46"/>
  <c r="K20" i="38"/>
  <c r="K33" i="38"/>
  <c r="K53" i="42"/>
  <c r="K34" i="42"/>
  <c r="K31" i="42"/>
  <c r="K29" i="42"/>
  <c r="K26" i="42"/>
  <c r="K25" i="42"/>
  <c r="K33" i="42"/>
  <c r="K12" i="42"/>
  <c r="K34" i="41"/>
  <c r="K29" i="41"/>
  <c r="K25" i="41"/>
  <c r="K16" i="41"/>
  <c r="K14" i="41"/>
  <c r="K12" i="41"/>
  <c r="K7" i="41"/>
  <c r="K55" i="42" l="1"/>
  <c r="K52" i="42"/>
  <c r="K5" i="41"/>
  <c r="K22" i="37"/>
  <c r="K29" i="37"/>
  <c r="K41" i="37"/>
  <c r="K27" i="37"/>
  <c r="K17" i="37"/>
  <c r="K16" i="37"/>
  <c r="K12" i="37"/>
  <c r="K9" i="37"/>
  <c r="K8" i="37"/>
  <c r="K7" i="37"/>
  <c r="K5" i="37"/>
  <c r="K41" i="36"/>
  <c r="K31" i="36"/>
  <c r="K28" i="36"/>
  <c r="K27" i="36"/>
  <c r="K25" i="36"/>
  <c r="K22" i="36"/>
  <c r="K17" i="36"/>
  <c r="K16" i="36"/>
  <c r="K14" i="36"/>
  <c r="K8" i="36"/>
  <c r="K54" i="35"/>
  <c r="K5" i="35"/>
  <c r="K31" i="34"/>
  <c r="K29" i="34"/>
  <c r="K27" i="34"/>
  <c r="K26" i="34"/>
  <c r="K25" i="34"/>
  <c r="K12" i="34"/>
  <c r="K5" i="34"/>
  <c r="K55" i="32"/>
  <c r="K54" i="32"/>
  <c r="K52" i="32"/>
  <c r="K25" i="32"/>
  <c r="K12" i="32"/>
  <c r="K5" i="32"/>
  <c r="K41" i="30"/>
  <c r="K29" i="29"/>
  <c r="K5" i="29"/>
  <c r="K5" i="28"/>
  <c r="K30" i="46" l="1"/>
  <c r="K30" i="37"/>
  <c r="K40" i="37"/>
  <c r="K21" i="46"/>
  <c r="K21" i="37"/>
  <c r="K53" i="37"/>
  <c r="K5" i="36"/>
  <c r="K34" i="36"/>
  <c r="K26" i="36"/>
  <c r="K52" i="46"/>
  <c r="K52" i="35"/>
  <c r="K53" i="35"/>
  <c r="K7" i="34"/>
  <c r="K13" i="32"/>
  <c r="K50" i="46"/>
  <c r="K50" i="32"/>
  <c r="K27" i="32"/>
  <c r="K53" i="32"/>
  <c r="K34" i="30"/>
  <c r="K49" i="46"/>
  <c r="K49" i="29"/>
  <c r="K53" i="27"/>
  <c r="K26" i="27"/>
  <c r="K29" i="27"/>
  <c r="K27" i="27"/>
  <c r="K27" i="26"/>
  <c r="K29" i="26"/>
  <c r="K25" i="26"/>
  <c r="K24" i="26"/>
  <c r="K12" i="26"/>
  <c r="K53" i="25"/>
  <c r="K29" i="25"/>
  <c r="K27" i="25"/>
  <c r="K25" i="25"/>
  <c r="K12" i="25"/>
  <c r="K27" i="24"/>
  <c r="K14" i="24"/>
  <c r="K10" i="24"/>
  <c r="K5" i="24"/>
  <c r="K31" i="23"/>
  <c r="K29" i="23"/>
  <c r="K27" i="23"/>
  <c r="K25" i="23"/>
  <c r="K13" i="23"/>
  <c r="K5" i="23"/>
  <c r="K29" i="22"/>
  <c r="K27" i="22"/>
  <c r="K26" i="22"/>
  <c r="K25" i="22"/>
  <c r="K5" i="22"/>
  <c r="K16" i="21"/>
  <c r="K14" i="21"/>
  <c r="K31" i="21"/>
  <c r="K25" i="21"/>
  <c r="K29" i="21"/>
  <c r="K27" i="21"/>
  <c r="K12" i="21"/>
  <c r="K27" i="20"/>
  <c r="K26" i="20"/>
  <c r="K25" i="20"/>
  <c r="K14" i="20"/>
  <c r="K12" i="20"/>
  <c r="K5" i="20"/>
  <c r="K24" i="19"/>
  <c r="K14" i="19"/>
  <c r="K12" i="19"/>
  <c r="K10" i="19"/>
  <c r="K40" i="18"/>
  <c r="K31" i="18"/>
  <c r="K29" i="18"/>
  <c r="K17" i="18"/>
  <c r="K16" i="18"/>
  <c r="K14" i="18"/>
  <c r="K7" i="18"/>
  <c r="K28" i="17"/>
  <c r="K27" i="17"/>
  <c r="K14" i="17"/>
  <c r="K45" i="46" l="1"/>
  <c r="K45" i="25"/>
  <c r="K14" i="26"/>
  <c r="K55" i="46"/>
  <c r="K55" i="25"/>
  <c r="K5" i="25"/>
  <c r="K5" i="26"/>
  <c r="K34" i="46"/>
  <c r="K34" i="26"/>
  <c r="K7" i="26"/>
  <c r="K35" i="46"/>
  <c r="K35" i="26"/>
  <c r="K5" i="21"/>
  <c r="K15" i="21"/>
  <c r="K10" i="21"/>
  <c r="K53" i="46"/>
  <c r="K53" i="21"/>
  <c r="K22" i="23"/>
  <c r="K54" i="46"/>
  <c r="K54" i="21"/>
  <c r="K33" i="22"/>
  <c r="K42" i="46"/>
  <c r="K42" i="23"/>
  <c r="K13" i="21"/>
  <c r="K26" i="21"/>
  <c r="K17" i="22"/>
  <c r="K36" i="46"/>
  <c r="K36" i="18"/>
  <c r="K5" i="17"/>
  <c r="K8" i="46"/>
  <c r="K8" i="18"/>
  <c r="K22" i="18"/>
  <c r="K25" i="18"/>
  <c r="K19" i="46"/>
  <c r="K19" i="18"/>
  <c r="K18" i="18"/>
  <c r="K7" i="20"/>
  <c r="K15" i="18"/>
  <c r="K24" i="20"/>
  <c r="K26" i="18"/>
  <c r="K27" i="18"/>
  <c r="K33" i="20"/>
  <c r="K5" i="18"/>
  <c r="B2" i="50"/>
  <c r="K18" i="20"/>
  <c r="K10" i="46"/>
  <c r="K29" i="14"/>
  <c r="K27" i="14"/>
  <c r="K25" i="14"/>
  <c r="K24" i="14"/>
  <c r="K12" i="15"/>
  <c r="K15" i="46" l="1"/>
  <c r="K22" i="46"/>
  <c r="K32" i="46"/>
  <c r="K32" i="14"/>
  <c r="K5" i="14"/>
  <c r="F44" i="46"/>
  <c r="F56" i="46" s="1"/>
  <c r="K7" i="14"/>
  <c r="K40" i="46"/>
  <c r="K40" i="15"/>
  <c r="K5" i="15"/>
  <c r="K14" i="15"/>
  <c r="K27" i="16"/>
  <c r="C67" i="46" l="1"/>
  <c r="B39" i="49"/>
  <c r="C44" i="46"/>
  <c r="C56" i="46" s="1"/>
  <c r="K17" i="16"/>
  <c r="K5" i="46"/>
  <c r="K5" i="16"/>
  <c r="K25" i="16"/>
  <c r="K24" i="46"/>
  <c r="K24" i="16"/>
  <c r="K7" i="16"/>
  <c r="K13" i="46"/>
  <c r="K13" i="16"/>
  <c r="K28" i="46"/>
  <c r="K28" i="16"/>
  <c r="K9" i="46"/>
  <c r="K9" i="16"/>
  <c r="K18" i="46"/>
  <c r="K18" i="16"/>
  <c r="K41" i="46"/>
  <c r="K41" i="16"/>
  <c r="K14" i="16"/>
  <c r="K16" i="46"/>
  <c r="K16" i="16"/>
  <c r="K17" i="13"/>
  <c r="K31" i="12"/>
  <c r="K29" i="12"/>
  <c r="K27" i="12"/>
  <c r="K25" i="12"/>
  <c r="K31" i="11"/>
  <c r="K29" i="11"/>
  <c r="G44" i="46" l="1"/>
  <c r="G56" i="46" s="1"/>
  <c r="B40" i="49" s="1"/>
  <c r="K26" i="13"/>
  <c r="K26" i="12"/>
  <c r="K27" i="13"/>
  <c r="K33" i="46"/>
  <c r="K33" i="13"/>
  <c r="J44" i="46"/>
  <c r="J56" i="46" s="1"/>
  <c r="C75" i="46" s="1"/>
  <c r="K14" i="13"/>
  <c r="K17" i="46"/>
  <c r="K17" i="11"/>
  <c r="K29" i="46"/>
  <c r="K31" i="46"/>
  <c r="B12" i="50"/>
  <c r="C62" i="46"/>
  <c r="H44" i="49"/>
  <c r="K27" i="10"/>
  <c r="J44" i="44"/>
  <c r="J56" i="44" s="1"/>
  <c r="L39" i="45" s="1"/>
  <c r="R45" i="59" s="1"/>
  <c r="C44" i="44"/>
  <c r="I44" i="44"/>
  <c r="I56" i="44" s="1"/>
  <c r="K39" i="45" s="1"/>
  <c r="P45" i="59" s="1"/>
  <c r="Q45" i="59" s="1"/>
  <c r="H44" i="44"/>
  <c r="H56" i="44" s="1"/>
  <c r="J39" i="45" s="1"/>
  <c r="O45" i="59" s="1"/>
  <c r="G44" i="44"/>
  <c r="G56" i="44" s="1"/>
  <c r="I39" i="45" s="1"/>
  <c r="M45" i="59" s="1"/>
  <c r="F44" i="44"/>
  <c r="F56" i="44" s="1"/>
  <c r="H39" i="45" s="1"/>
  <c r="K45" i="59" s="1"/>
  <c r="L45" i="59" s="1"/>
  <c r="E44" i="44"/>
  <c r="E56" i="44" s="1"/>
  <c r="G39" i="45" s="1"/>
  <c r="J45" i="59" s="1"/>
  <c r="N45" i="59" s="1"/>
  <c r="D44" i="44"/>
  <c r="D56" i="44" s="1"/>
  <c r="F39" i="45" s="1"/>
  <c r="H45" i="59" s="1"/>
  <c r="J44" i="43"/>
  <c r="J56" i="43" s="1"/>
  <c r="L38" i="45" s="1"/>
  <c r="R44" i="59" s="1"/>
  <c r="C44" i="43"/>
  <c r="I44" i="43"/>
  <c r="I56" i="43" s="1"/>
  <c r="K38" i="45" s="1"/>
  <c r="P44" i="59" s="1"/>
  <c r="H44" i="43"/>
  <c r="H56" i="43" s="1"/>
  <c r="J38" i="45" s="1"/>
  <c r="O44" i="59" s="1"/>
  <c r="G44" i="43"/>
  <c r="G56" i="43" s="1"/>
  <c r="I38" i="45" s="1"/>
  <c r="M44" i="59" s="1"/>
  <c r="F44" i="43"/>
  <c r="F56" i="43" s="1"/>
  <c r="H38" i="45" s="1"/>
  <c r="K44" i="59" s="1"/>
  <c r="L44" i="59" s="1"/>
  <c r="E44" i="43"/>
  <c r="E56" i="43" s="1"/>
  <c r="G38" i="45" s="1"/>
  <c r="J44" i="59" s="1"/>
  <c r="D44" i="43"/>
  <c r="D56" i="43" s="1"/>
  <c r="F38" i="45" s="1"/>
  <c r="H44" i="59" s="1"/>
  <c r="J44" i="42"/>
  <c r="J56" i="42" s="1"/>
  <c r="L37" i="45" s="1"/>
  <c r="R43" i="59" s="1"/>
  <c r="C44" i="42"/>
  <c r="I44" i="42"/>
  <c r="I56" i="42" s="1"/>
  <c r="K37" i="45" s="1"/>
  <c r="P43" i="59" s="1"/>
  <c r="H44" i="42"/>
  <c r="H56" i="42" s="1"/>
  <c r="J37" i="45" s="1"/>
  <c r="O43" i="59" s="1"/>
  <c r="G44" i="42"/>
  <c r="G56" i="42" s="1"/>
  <c r="I37" i="45" s="1"/>
  <c r="M43" i="59" s="1"/>
  <c r="N43" i="59" s="1"/>
  <c r="F44" i="42"/>
  <c r="F56" i="42" s="1"/>
  <c r="H37" i="45" s="1"/>
  <c r="K43" i="59" s="1"/>
  <c r="L43" i="59" s="1"/>
  <c r="E44" i="42"/>
  <c r="E56" i="42" s="1"/>
  <c r="G37" i="45" s="1"/>
  <c r="J43" i="59" s="1"/>
  <c r="J44" i="41"/>
  <c r="J56" i="41" s="1"/>
  <c r="L36" i="45" s="1"/>
  <c r="R42" i="59" s="1"/>
  <c r="C44" i="41"/>
  <c r="I44" i="41"/>
  <c r="I56" i="41" s="1"/>
  <c r="K36" i="45" s="1"/>
  <c r="P42" i="59" s="1"/>
  <c r="H44" i="41"/>
  <c r="H56" i="41" s="1"/>
  <c r="J36" i="45" s="1"/>
  <c r="O42" i="59" s="1"/>
  <c r="Q42" i="59" s="1"/>
  <c r="G44" i="41"/>
  <c r="G56" i="41" s="1"/>
  <c r="I36" i="45" s="1"/>
  <c r="M42" i="59" s="1"/>
  <c r="F44" i="41"/>
  <c r="F56" i="41" s="1"/>
  <c r="H36" i="45" s="1"/>
  <c r="K42" i="59" s="1"/>
  <c r="L42" i="59" s="1"/>
  <c r="E44" i="41"/>
  <c r="E56" i="41" s="1"/>
  <c r="G36" i="45" s="1"/>
  <c r="J42" i="59" s="1"/>
  <c r="N42" i="59" s="1"/>
  <c r="J44" i="40"/>
  <c r="J56" i="40" s="1"/>
  <c r="L35" i="45" s="1"/>
  <c r="R41" i="59" s="1"/>
  <c r="C44" i="40"/>
  <c r="I44" i="40"/>
  <c r="I56" i="40" s="1"/>
  <c r="K35" i="45" s="1"/>
  <c r="P41" i="59" s="1"/>
  <c r="H44" i="40"/>
  <c r="H56" i="40" s="1"/>
  <c r="J35" i="45" s="1"/>
  <c r="O41" i="59" s="1"/>
  <c r="Q41" i="59" s="1"/>
  <c r="G44" i="40"/>
  <c r="G56" i="40" s="1"/>
  <c r="I35" i="45" s="1"/>
  <c r="M41" i="59" s="1"/>
  <c r="F44" i="40"/>
  <c r="F56" i="40" s="1"/>
  <c r="H35" i="45" s="1"/>
  <c r="K41" i="59" s="1"/>
  <c r="L41" i="59" s="1"/>
  <c r="E44" i="40"/>
  <c r="E56" i="40" s="1"/>
  <c r="G35" i="45" s="1"/>
  <c r="J41" i="59" s="1"/>
  <c r="D44" i="40"/>
  <c r="D56" i="40" s="1"/>
  <c r="F35" i="45" s="1"/>
  <c r="H41" i="59" s="1"/>
  <c r="J44" i="39"/>
  <c r="J56" i="39" s="1"/>
  <c r="L34" i="45" s="1"/>
  <c r="R40" i="59" s="1"/>
  <c r="C44" i="39"/>
  <c r="I44" i="39"/>
  <c r="I56" i="39" s="1"/>
  <c r="K34" i="45" s="1"/>
  <c r="P40" i="59" s="1"/>
  <c r="H44" i="39"/>
  <c r="H56" i="39" s="1"/>
  <c r="J34" i="45" s="1"/>
  <c r="O40" i="59" s="1"/>
  <c r="G44" i="39"/>
  <c r="G56" i="39" s="1"/>
  <c r="I34" i="45" s="1"/>
  <c r="M40" i="59" s="1"/>
  <c r="F44" i="39"/>
  <c r="F56" i="39" s="1"/>
  <c r="H34" i="45" s="1"/>
  <c r="K40" i="59" s="1"/>
  <c r="L40" i="59" s="1"/>
  <c r="E44" i="39"/>
  <c r="E56" i="39" s="1"/>
  <c r="G34" i="45" s="1"/>
  <c r="J40" i="59" s="1"/>
  <c r="N40" i="59" s="1"/>
  <c r="D44" i="39"/>
  <c r="D56" i="39" s="1"/>
  <c r="F34" i="45" s="1"/>
  <c r="H40" i="59" s="1"/>
  <c r="J44" i="38"/>
  <c r="J56" i="38" s="1"/>
  <c r="L33" i="45" s="1"/>
  <c r="R39" i="59" s="1"/>
  <c r="C44" i="38"/>
  <c r="I44" i="38"/>
  <c r="I56" i="38" s="1"/>
  <c r="K33" i="45" s="1"/>
  <c r="P39" i="59" s="1"/>
  <c r="H44" i="38"/>
  <c r="H56" i="38" s="1"/>
  <c r="J33" i="45" s="1"/>
  <c r="O39" i="59" s="1"/>
  <c r="G44" i="38"/>
  <c r="G56" i="38" s="1"/>
  <c r="I33" i="45" s="1"/>
  <c r="M39" i="59" s="1"/>
  <c r="N39" i="59" s="1"/>
  <c r="F44" i="38"/>
  <c r="F56" i="38" s="1"/>
  <c r="H33" i="45" s="1"/>
  <c r="K39" i="59" s="1"/>
  <c r="L39" i="59" s="1"/>
  <c r="E44" i="38"/>
  <c r="E56" i="38" s="1"/>
  <c r="G33" i="45" s="1"/>
  <c r="J39" i="59" s="1"/>
  <c r="D44" i="38"/>
  <c r="D56" i="38" s="1"/>
  <c r="F33" i="45" s="1"/>
  <c r="H39" i="59" s="1"/>
  <c r="J44" i="37"/>
  <c r="J56" i="37" s="1"/>
  <c r="L32" i="45" s="1"/>
  <c r="R38" i="59" s="1"/>
  <c r="C44" i="37"/>
  <c r="I44" i="37"/>
  <c r="I56" i="37" s="1"/>
  <c r="K32" i="45" s="1"/>
  <c r="P38" i="59" s="1"/>
  <c r="H44" i="37"/>
  <c r="H56" i="37" s="1"/>
  <c r="J32" i="45" s="1"/>
  <c r="O38" i="59" s="1"/>
  <c r="G44" i="37"/>
  <c r="G56" i="37" s="1"/>
  <c r="I32" i="45" s="1"/>
  <c r="M38" i="59" s="1"/>
  <c r="F44" i="37"/>
  <c r="F56" i="37" s="1"/>
  <c r="H32" i="45" s="1"/>
  <c r="K38" i="59" s="1"/>
  <c r="L38" i="59" s="1"/>
  <c r="E44" i="37"/>
  <c r="E56" i="37" s="1"/>
  <c r="G32" i="45" s="1"/>
  <c r="J38" i="59" s="1"/>
  <c r="N38" i="59" s="1"/>
  <c r="D44" i="37"/>
  <c r="D56" i="37" s="1"/>
  <c r="F32" i="45" s="1"/>
  <c r="H38" i="59" s="1"/>
  <c r="J44" i="36"/>
  <c r="J56" i="36" s="1"/>
  <c r="L31" i="45" s="1"/>
  <c r="R37" i="59" s="1"/>
  <c r="C44" i="36"/>
  <c r="I44" i="36"/>
  <c r="I56" i="36" s="1"/>
  <c r="K31" i="45" s="1"/>
  <c r="P37" i="59" s="1"/>
  <c r="H44" i="36"/>
  <c r="H56" i="36" s="1"/>
  <c r="J31" i="45" s="1"/>
  <c r="O37" i="59" s="1"/>
  <c r="G44" i="36"/>
  <c r="G56" i="36" s="1"/>
  <c r="I31" i="45" s="1"/>
  <c r="M37" i="59" s="1"/>
  <c r="F44" i="36"/>
  <c r="F56" i="36" s="1"/>
  <c r="H31" i="45" s="1"/>
  <c r="K37" i="59" s="1"/>
  <c r="L37" i="59" s="1"/>
  <c r="E44" i="36"/>
  <c r="E56" i="36" s="1"/>
  <c r="G31" i="45" s="1"/>
  <c r="J37" i="59" s="1"/>
  <c r="N37" i="59" s="1"/>
  <c r="D44" i="36"/>
  <c r="D56" i="36" s="1"/>
  <c r="F31" i="45" s="1"/>
  <c r="H37" i="59" s="1"/>
  <c r="J44" i="35"/>
  <c r="J56" i="35" s="1"/>
  <c r="C44" i="35"/>
  <c r="I44" i="35"/>
  <c r="I56" i="35" s="1"/>
  <c r="K30" i="45" s="1"/>
  <c r="P36" i="59" s="1"/>
  <c r="H44" i="35"/>
  <c r="H56" i="35" s="1"/>
  <c r="J30" i="45" s="1"/>
  <c r="O36" i="59" s="1"/>
  <c r="G44" i="35"/>
  <c r="G56" i="35" s="1"/>
  <c r="I30" i="45" s="1"/>
  <c r="M36" i="59" s="1"/>
  <c r="F44" i="35"/>
  <c r="F56" i="35" s="1"/>
  <c r="H30" i="45" s="1"/>
  <c r="K36" i="59" s="1"/>
  <c r="L36" i="59" s="1"/>
  <c r="E44" i="35"/>
  <c r="E56" i="35" s="1"/>
  <c r="G30" i="45" s="1"/>
  <c r="J36" i="59" s="1"/>
  <c r="N36" i="59" s="1"/>
  <c r="D44" i="35"/>
  <c r="D56" i="35" s="1"/>
  <c r="F30" i="45" s="1"/>
  <c r="H36" i="59" s="1"/>
  <c r="J44" i="34"/>
  <c r="J56" i="34" s="1"/>
  <c r="L29" i="45" s="1"/>
  <c r="R35" i="59" s="1"/>
  <c r="C44" i="34"/>
  <c r="I44" i="34"/>
  <c r="I56" i="34" s="1"/>
  <c r="K29" i="45" s="1"/>
  <c r="P35" i="59" s="1"/>
  <c r="H44" i="34"/>
  <c r="H56" i="34" s="1"/>
  <c r="J29" i="45" s="1"/>
  <c r="O35" i="59" s="1"/>
  <c r="G44" i="34"/>
  <c r="G56" i="34" s="1"/>
  <c r="I29" i="45" s="1"/>
  <c r="M35" i="59" s="1"/>
  <c r="N35" i="59" s="1"/>
  <c r="F44" i="34"/>
  <c r="F56" i="34" s="1"/>
  <c r="H29" i="45" s="1"/>
  <c r="K35" i="59" s="1"/>
  <c r="L35" i="59" s="1"/>
  <c r="E44" i="34"/>
  <c r="E56" i="34" s="1"/>
  <c r="G29" i="45" s="1"/>
  <c r="J35" i="59" s="1"/>
  <c r="D44" i="34"/>
  <c r="D56" i="34" s="1"/>
  <c r="F29" i="45" s="1"/>
  <c r="H35" i="59" s="1"/>
  <c r="J44" i="32"/>
  <c r="J56" i="32" s="1"/>
  <c r="L27" i="45" s="1"/>
  <c r="R33" i="59" s="1"/>
  <c r="C44" i="32"/>
  <c r="I44" i="32"/>
  <c r="I56" i="32" s="1"/>
  <c r="K27" i="45" s="1"/>
  <c r="P33" i="59" s="1"/>
  <c r="H44" i="32"/>
  <c r="H56" i="32" s="1"/>
  <c r="J27" i="45" s="1"/>
  <c r="O33" i="59" s="1"/>
  <c r="G44" i="32"/>
  <c r="G56" i="32" s="1"/>
  <c r="F44" i="32"/>
  <c r="F56" i="32" s="1"/>
  <c r="E44" i="32"/>
  <c r="E56" i="32" s="1"/>
  <c r="D44" i="32"/>
  <c r="D56" i="32" s="1"/>
  <c r="F27" i="45" s="1"/>
  <c r="H33" i="59" s="1"/>
  <c r="J44" i="30"/>
  <c r="J56" i="30" s="1"/>
  <c r="L26" i="45" s="1"/>
  <c r="R32" i="59" s="1"/>
  <c r="C44" i="30"/>
  <c r="I44" i="30"/>
  <c r="I56" i="30" s="1"/>
  <c r="K26" i="45" s="1"/>
  <c r="P32" i="59" s="1"/>
  <c r="H44" i="30"/>
  <c r="H56" i="30" s="1"/>
  <c r="J26" i="45" s="1"/>
  <c r="O32" i="59" s="1"/>
  <c r="Q32" i="59" s="1"/>
  <c r="G44" i="30"/>
  <c r="G56" i="30" s="1"/>
  <c r="I26" i="45" s="1"/>
  <c r="M32" i="59" s="1"/>
  <c r="F44" i="30"/>
  <c r="F56" i="30" s="1"/>
  <c r="H26" i="45" s="1"/>
  <c r="K32" i="59" s="1"/>
  <c r="L32" i="59" s="1"/>
  <c r="E44" i="30"/>
  <c r="E56" i="30" s="1"/>
  <c r="G26" i="45" s="1"/>
  <c r="J32" i="59" s="1"/>
  <c r="D44" i="30"/>
  <c r="D56" i="30" s="1"/>
  <c r="F26" i="45" s="1"/>
  <c r="H32" i="59" s="1"/>
  <c r="J44" i="29"/>
  <c r="J56" i="29" s="1"/>
  <c r="L25" i="45" s="1"/>
  <c r="R31" i="59" s="1"/>
  <c r="C44" i="29"/>
  <c r="I44" i="29"/>
  <c r="I56" i="29" s="1"/>
  <c r="K25" i="45" s="1"/>
  <c r="P31" i="59" s="1"/>
  <c r="H44" i="29"/>
  <c r="H56" i="29" s="1"/>
  <c r="J25" i="45" s="1"/>
  <c r="O31" i="59" s="1"/>
  <c r="G44" i="29"/>
  <c r="G56" i="29" s="1"/>
  <c r="I25" i="45" s="1"/>
  <c r="M31" i="59" s="1"/>
  <c r="N31" i="59" s="1"/>
  <c r="F44" i="29"/>
  <c r="F56" i="29" s="1"/>
  <c r="H25" i="45" s="1"/>
  <c r="K31" i="59" s="1"/>
  <c r="L31" i="59" s="1"/>
  <c r="E44" i="29"/>
  <c r="E56" i="29" s="1"/>
  <c r="G25" i="45" s="1"/>
  <c r="J31" i="59" s="1"/>
  <c r="D44" i="29"/>
  <c r="D56" i="29" s="1"/>
  <c r="F25" i="45" s="1"/>
  <c r="H31" i="59" s="1"/>
  <c r="J44" i="28"/>
  <c r="J56" i="28" s="1"/>
  <c r="L24" i="45" s="1"/>
  <c r="R30" i="59" s="1"/>
  <c r="C44" i="28"/>
  <c r="I44" i="28"/>
  <c r="I56" i="28" s="1"/>
  <c r="K24" i="45" s="1"/>
  <c r="P30" i="59" s="1"/>
  <c r="H44" i="28"/>
  <c r="H56" i="28" s="1"/>
  <c r="J24" i="45" s="1"/>
  <c r="O30" i="59" s="1"/>
  <c r="Q30" i="59" s="1"/>
  <c r="G44" i="28"/>
  <c r="G56" i="28" s="1"/>
  <c r="I24" i="45" s="1"/>
  <c r="M30" i="59" s="1"/>
  <c r="F44" i="28"/>
  <c r="F56" i="28" s="1"/>
  <c r="H24" i="45" s="1"/>
  <c r="K30" i="59" s="1"/>
  <c r="L30" i="59" s="1"/>
  <c r="E44" i="28"/>
  <c r="E56" i="28" s="1"/>
  <c r="G24" i="45" s="1"/>
  <c r="J30" i="59" s="1"/>
  <c r="D44" i="28"/>
  <c r="D56" i="28" s="1"/>
  <c r="F24" i="45" s="1"/>
  <c r="H30" i="59" s="1"/>
  <c r="J44" i="27"/>
  <c r="J56" i="27" s="1"/>
  <c r="L23" i="45" s="1"/>
  <c r="R29" i="59" s="1"/>
  <c r="C44" i="27"/>
  <c r="I44" i="27"/>
  <c r="I56" i="27" s="1"/>
  <c r="K23" i="45" s="1"/>
  <c r="P29" i="59" s="1"/>
  <c r="H44" i="27"/>
  <c r="H56" i="27" s="1"/>
  <c r="J23" i="45" s="1"/>
  <c r="O29" i="59" s="1"/>
  <c r="G44" i="27"/>
  <c r="G56" i="27" s="1"/>
  <c r="I23" i="45" s="1"/>
  <c r="M29" i="59" s="1"/>
  <c r="F44" i="27"/>
  <c r="F56" i="27" s="1"/>
  <c r="H23" i="45" s="1"/>
  <c r="K29" i="59" s="1"/>
  <c r="L29" i="59" s="1"/>
  <c r="E44" i="27"/>
  <c r="E56" i="27" s="1"/>
  <c r="G23" i="45" s="1"/>
  <c r="J29" i="59" s="1"/>
  <c r="N29" i="59" s="1"/>
  <c r="D44" i="27"/>
  <c r="D56" i="27" s="1"/>
  <c r="F23" i="45" s="1"/>
  <c r="H29" i="59" s="1"/>
  <c r="J44" i="26"/>
  <c r="J56" i="26" s="1"/>
  <c r="L22" i="45" s="1"/>
  <c r="R28" i="59" s="1"/>
  <c r="C44" i="26"/>
  <c r="I44" i="26"/>
  <c r="I56" i="26" s="1"/>
  <c r="K22" i="45" s="1"/>
  <c r="P28" i="59" s="1"/>
  <c r="H44" i="26"/>
  <c r="H56" i="26" s="1"/>
  <c r="J22" i="45" s="1"/>
  <c r="O28" i="59" s="1"/>
  <c r="Q28" i="59" s="1"/>
  <c r="G44" i="26"/>
  <c r="G56" i="26" s="1"/>
  <c r="I22" i="45" s="1"/>
  <c r="M28" i="59" s="1"/>
  <c r="F44" i="26"/>
  <c r="F56" i="26" s="1"/>
  <c r="H22" i="45" s="1"/>
  <c r="K28" i="59" s="1"/>
  <c r="L28" i="59" s="1"/>
  <c r="E44" i="26"/>
  <c r="E56" i="26" s="1"/>
  <c r="G22" i="45" s="1"/>
  <c r="J28" i="59" s="1"/>
  <c r="D44" i="26"/>
  <c r="D56" i="26" s="1"/>
  <c r="F22" i="45" s="1"/>
  <c r="H28" i="59" s="1"/>
  <c r="J44" i="25"/>
  <c r="J56" i="25" s="1"/>
  <c r="L21" i="45" s="1"/>
  <c r="R27" i="59" s="1"/>
  <c r="C44" i="25"/>
  <c r="I44" i="25"/>
  <c r="I56" i="25" s="1"/>
  <c r="K21" i="45" s="1"/>
  <c r="P27" i="59" s="1"/>
  <c r="H44" i="25"/>
  <c r="H56" i="25" s="1"/>
  <c r="J21" i="45" s="1"/>
  <c r="O27" i="59" s="1"/>
  <c r="G44" i="25"/>
  <c r="G56" i="25" s="1"/>
  <c r="I21" i="45" s="1"/>
  <c r="M27" i="59" s="1"/>
  <c r="N27" i="59" s="1"/>
  <c r="F44" i="25"/>
  <c r="F56" i="25" s="1"/>
  <c r="H21" i="45" s="1"/>
  <c r="K27" i="59" s="1"/>
  <c r="L27" i="59" s="1"/>
  <c r="E44" i="25"/>
  <c r="E56" i="25" s="1"/>
  <c r="G21" i="45" s="1"/>
  <c r="J27" i="59" s="1"/>
  <c r="D44" i="25"/>
  <c r="D56" i="25" s="1"/>
  <c r="F21" i="45" s="1"/>
  <c r="H27" i="59" s="1"/>
  <c r="J44" i="24"/>
  <c r="J56" i="24" s="1"/>
  <c r="L20" i="45" s="1"/>
  <c r="R26" i="59" s="1"/>
  <c r="C44" i="24"/>
  <c r="I44" i="24"/>
  <c r="I56" i="24" s="1"/>
  <c r="K20" i="45" s="1"/>
  <c r="P26" i="59" s="1"/>
  <c r="H44" i="24"/>
  <c r="H56" i="24" s="1"/>
  <c r="J20" i="45" s="1"/>
  <c r="O26" i="59" s="1"/>
  <c r="Q26" i="59" s="1"/>
  <c r="G44" i="24"/>
  <c r="G56" i="24" s="1"/>
  <c r="I20" i="45" s="1"/>
  <c r="M26" i="59" s="1"/>
  <c r="F44" i="24"/>
  <c r="F56" i="24" s="1"/>
  <c r="H20" i="45" s="1"/>
  <c r="K26" i="59" s="1"/>
  <c r="L26" i="59" s="1"/>
  <c r="E44" i="24"/>
  <c r="E56" i="24" s="1"/>
  <c r="G20" i="45" s="1"/>
  <c r="J26" i="59" s="1"/>
  <c r="N26" i="59" s="1"/>
  <c r="D44" i="24"/>
  <c r="D56" i="24" s="1"/>
  <c r="F20" i="45" s="1"/>
  <c r="H26" i="59" s="1"/>
  <c r="J44" i="23"/>
  <c r="J56" i="23" s="1"/>
  <c r="L19" i="45" s="1"/>
  <c r="R25" i="59" s="1"/>
  <c r="C44" i="23"/>
  <c r="I44" i="23"/>
  <c r="I56" i="23" s="1"/>
  <c r="K19" i="45" s="1"/>
  <c r="P25" i="59" s="1"/>
  <c r="H44" i="23"/>
  <c r="H56" i="23" s="1"/>
  <c r="J19" i="45" s="1"/>
  <c r="O25" i="59" s="1"/>
  <c r="G44" i="23"/>
  <c r="G56" i="23" s="1"/>
  <c r="I19" i="45" s="1"/>
  <c r="M25" i="59" s="1"/>
  <c r="F44" i="23"/>
  <c r="F56" i="23" s="1"/>
  <c r="H19" i="45" s="1"/>
  <c r="K25" i="59" s="1"/>
  <c r="L25" i="59" s="1"/>
  <c r="E44" i="23"/>
  <c r="E56" i="23" s="1"/>
  <c r="G19" i="45" s="1"/>
  <c r="J25" i="59" s="1"/>
  <c r="N25" i="59" s="1"/>
  <c r="D44" i="23"/>
  <c r="D56" i="23" s="1"/>
  <c r="F19" i="45" s="1"/>
  <c r="H25" i="59" s="1"/>
  <c r="J44" i="22"/>
  <c r="J56" i="22" s="1"/>
  <c r="L18" i="45" s="1"/>
  <c r="R24" i="59" s="1"/>
  <c r="C44" i="22"/>
  <c r="I44" i="22"/>
  <c r="I56" i="22" s="1"/>
  <c r="K18" i="45" s="1"/>
  <c r="P24" i="59" s="1"/>
  <c r="H44" i="22"/>
  <c r="H56" i="22" s="1"/>
  <c r="J18" i="45" s="1"/>
  <c r="O24" i="59" s="1"/>
  <c r="G44" i="22"/>
  <c r="G56" i="22" s="1"/>
  <c r="I18" i="45" s="1"/>
  <c r="M24" i="59" s="1"/>
  <c r="F44" i="22"/>
  <c r="F56" i="22" s="1"/>
  <c r="H18" i="45" s="1"/>
  <c r="K24" i="59" s="1"/>
  <c r="L24" i="59" s="1"/>
  <c r="E44" i="22"/>
  <c r="E56" i="22" s="1"/>
  <c r="G18" i="45" s="1"/>
  <c r="J24" i="59" s="1"/>
  <c r="N24" i="59" s="1"/>
  <c r="D44" i="22"/>
  <c r="D56" i="22" s="1"/>
  <c r="F18" i="45" s="1"/>
  <c r="H24" i="59" s="1"/>
  <c r="J44" i="21"/>
  <c r="J56" i="21" s="1"/>
  <c r="L17" i="45" s="1"/>
  <c r="R23" i="59" s="1"/>
  <c r="C44" i="21"/>
  <c r="I44" i="21"/>
  <c r="I56" i="21" s="1"/>
  <c r="K17" i="45" s="1"/>
  <c r="P23" i="59" s="1"/>
  <c r="H44" i="21"/>
  <c r="H56" i="21" s="1"/>
  <c r="J17" i="45" s="1"/>
  <c r="O23" i="59" s="1"/>
  <c r="G44" i="21"/>
  <c r="G56" i="21" s="1"/>
  <c r="I17" i="45" s="1"/>
  <c r="M23" i="59" s="1"/>
  <c r="F44" i="21"/>
  <c r="F56" i="21" s="1"/>
  <c r="H17" i="45" s="1"/>
  <c r="K23" i="59" s="1"/>
  <c r="L23" i="59" s="1"/>
  <c r="E44" i="21"/>
  <c r="E56" i="21" s="1"/>
  <c r="G17" i="45" s="1"/>
  <c r="J23" i="59" s="1"/>
  <c r="N23" i="59" s="1"/>
  <c r="D44" i="21"/>
  <c r="D56" i="21" s="1"/>
  <c r="F17" i="45" s="1"/>
  <c r="H23" i="59" s="1"/>
  <c r="J44" i="20"/>
  <c r="J56" i="20" s="1"/>
  <c r="L16" i="45" s="1"/>
  <c r="R22" i="59" s="1"/>
  <c r="C44" i="20"/>
  <c r="I44" i="20"/>
  <c r="I56" i="20" s="1"/>
  <c r="K16" i="45" s="1"/>
  <c r="P22" i="59" s="1"/>
  <c r="H44" i="20"/>
  <c r="H56" i="20" s="1"/>
  <c r="J16" i="45" s="1"/>
  <c r="O22" i="59" s="1"/>
  <c r="G44" i="20"/>
  <c r="G56" i="20" s="1"/>
  <c r="I16" i="45" s="1"/>
  <c r="M22" i="59" s="1"/>
  <c r="F44" i="20"/>
  <c r="F56" i="20" s="1"/>
  <c r="H16" i="45" s="1"/>
  <c r="K22" i="59" s="1"/>
  <c r="L22" i="59" s="1"/>
  <c r="E44" i="20"/>
  <c r="E56" i="20" s="1"/>
  <c r="G16" i="45" s="1"/>
  <c r="J22" i="59" s="1"/>
  <c r="N22" i="59" s="1"/>
  <c r="D44" i="20"/>
  <c r="D56" i="20" s="1"/>
  <c r="F16" i="45" s="1"/>
  <c r="H22" i="59" s="1"/>
  <c r="J44" i="19"/>
  <c r="J56" i="19" s="1"/>
  <c r="L15" i="45" s="1"/>
  <c r="R21" i="59" s="1"/>
  <c r="C44" i="19"/>
  <c r="I44" i="19"/>
  <c r="I56" i="19" s="1"/>
  <c r="K15" i="45" s="1"/>
  <c r="P21" i="59" s="1"/>
  <c r="H44" i="19"/>
  <c r="H56" i="19" s="1"/>
  <c r="J15" i="45" s="1"/>
  <c r="O21" i="59" s="1"/>
  <c r="G44" i="19"/>
  <c r="G56" i="19" s="1"/>
  <c r="I15" i="45" s="1"/>
  <c r="M21" i="59" s="1"/>
  <c r="F44" i="19"/>
  <c r="F56" i="19" s="1"/>
  <c r="H15" i="45" s="1"/>
  <c r="K21" i="59" s="1"/>
  <c r="E44" i="19"/>
  <c r="E56" i="19" s="1"/>
  <c r="G15" i="45" s="1"/>
  <c r="J21" i="59" s="1"/>
  <c r="D44" i="19"/>
  <c r="D56" i="19" s="1"/>
  <c r="F15" i="45" s="1"/>
  <c r="H21" i="59" s="1"/>
  <c r="J44" i="18"/>
  <c r="J56" i="18" s="1"/>
  <c r="L14" i="45" s="1"/>
  <c r="R20" i="59" s="1"/>
  <c r="C44" i="18"/>
  <c r="I44" i="18"/>
  <c r="I56" i="18" s="1"/>
  <c r="K14" i="45" s="1"/>
  <c r="P20" i="59" s="1"/>
  <c r="H44" i="18"/>
  <c r="H56" i="18" s="1"/>
  <c r="J14" i="45" s="1"/>
  <c r="O20" i="59" s="1"/>
  <c r="G44" i="18"/>
  <c r="G56" i="18" s="1"/>
  <c r="I14" i="45" s="1"/>
  <c r="M20" i="59" s="1"/>
  <c r="F44" i="18"/>
  <c r="F56" i="18" s="1"/>
  <c r="H14" i="45" s="1"/>
  <c r="K20" i="59" s="1"/>
  <c r="L20" i="59" s="1"/>
  <c r="E44" i="18"/>
  <c r="E56" i="18" s="1"/>
  <c r="G14" i="45" s="1"/>
  <c r="J20" i="59" s="1"/>
  <c r="D44" i="18"/>
  <c r="D56" i="18" s="1"/>
  <c r="F14" i="45" s="1"/>
  <c r="H20" i="59" s="1"/>
  <c r="J44" i="17"/>
  <c r="J56" i="17" s="1"/>
  <c r="L13" i="45" s="1"/>
  <c r="R19" i="59" s="1"/>
  <c r="C44" i="17"/>
  <c r="I44" i="17"/>
  <c r="I56" i="17" s="1"/>
  <c r="K13" i="45" s="1"/>
  <c r="P19" i="59" s="1"/>
  <c r="H44" i="17"/>
  <c r="H56" i="17" s="1"/>
  <c r="J13" i="45" s="1"/>
  <c r="O19" i="59" s="1"/>
  <c r="G44" i="17"/>
  <c r="G56" i="17" s="1"/>
  <c r="I13" i="45" s="1"/>
  <c r="M19" i="59" s="1"/>
  <c r="F44" i="17"/>
  <c r="F56" i="17" s="1"/>
  <c r="H13" i="45" s="1"/>
  <c r="K19" i="59" s="1"/>
  <c r="L19" i="59" s="1"/>
  <c r="T6" i="59" s="1"/>
  <c r="E44" i="17"/>
  <c r="E56" i="17" s="1"/>
  <c r="G13" i="45" s="1"/>
  <c r="J19" i="59" s="1"/>
  <c r="N19" i="59" s="1"/>
  <c r="D44" i="17"/>
  <c r="D56" i="17" s="1"/>
  <c r="F13" i="45" s="1"/>
  <c r="H19" i="59" s="1"/>
  <c r="J44" i="16"/>
  <c r="J56" i="16" s="1"/>
  <c r="L10" i="45" s="1"/>
  <c r="R16" i="59" s="1"/>
  <c r="C44" i="16"/>
  <c r="I44" i="16"/>
  <c r="I56" i="16" s="1"/>
  <c r="K10" i="45" s="1"/>
  <c r="P16" i="59" s="1"/>
  <c r="H44" i="16"/>
  <c r="H56" i="16" s="1"/>
  <c r="J10" i="45" s="1"/>
  <c r="O16" i="59" s="1"/>
  <c r="G44" i="16"/>
  <c r="G56" i="16" s="1"/>
  <c r="I10" i="45" s="1"/>
  <c r="M16" i="59" s="1"/>
  <c r="F44" i="16"/>
  <c r="F56" i="16" s="1"/>
  <c r="H10" i="45" s="1"/>
  <c r="K16" i="59" s="1"/>
  <c r="L16" i="59" s="1"/>
  <c r="E44" i="16"/>
  <c r="E56" i="16" s="1"/>
  <c r="G10" i="45" s="1"/>
  <c r="J16" i="59" s="1"/>
  <c r="D44" i="16"/>
  <c r="D56" i="16" s="1"/>
  <c r="F10" i="45" s="1"/>
  <c r="H16" i="59" s="1"/>
  <c r="J44" i="15"/>
  <c r="J56" i="15" s="1"/>
  <c r="L11" i="45" s="1"/>
  <c r="R17" i="59" s="1"/>
  <c r="C44" i="15"/>
  <c r="I44" i="15"/>
  <c r="I56" i="15" s="1"/>
  <c r="K11" i="45" s="1"/>
  <c r="P17" i="59" s="1"/>
  <c r="H44" i="15"/>
  <c r="H56" i="15" s="1"/>
  <c r="J11" i="45" s="1"/>
  <c r="O17" i="59" s="1"/>
  <c r="G44" i="15"/>
  <c r="G56" i="15" s="1"/>
  <c r="I11" i="45" s="1"/>
  <c r="M17" i="59" s="1"/>
  <c r="F44" i="15"/>
  <c r="F56" i="15" s="1"/>
  <c r="H11" i="45" s="1"/>
  <c r="K17" i="59" s="1"/>
  <c r="L17" i="59" s="1"/>
  <c r="E44" i="15"/>
  <c r="E56" i="15" s="1"/>
  <c r="G11" i="45" s="1"/>
  <c r="J17" i="59" s="1"/>
  <c r="D44" i="15"/>
  <c r="D56" i="15" s="1"/>
  <c r="F11" i="45" s="1"/>
  <c r="H17" i="59" s="1"/>
  <c r="J44" i="14"/>
  <c r="J56" i="14" s="1"/>
  <c r="L12" i="45" s="1"/>
  <c r="R18" i="59" s="1"/>
  <c r="C44" i="14"/>
  <c r="I44" i="14"/>
  <c r="I56" i="14" s="1"/>
  <c r="K12" i="45" s="1"/>
  <c r="P18" i="59" s="1"/>
  <c r="H44" i="14"/>
  <c r="H56" i="14" s="1"/>
  <c r="J12" i="45" s="1"/>
  <c r="O18" i="59" s="1"/>
  <c r="Q18" i="59" s="1"/>
  <c r="G44" i="14"/>
  <c r="G56" i="14" s="1"/>
  <c r="I12" i="45" s="1"/>
  <c r="M18" i="59" s="1"/>
  <c r="F44" i="14"/>
  <c r="F56" i="14" s="1"/>
  <c r="H12" i="45" s="1"/>
  <c r="K18" i="59" s="1"/>
  <c r="L18" i="59" s="1"/>
  <c r="E44" i="14"/>
  <c r="E56" i="14" s="1"/>
  <c r="G12" i="45" s="1"/>
  <c r="J18" i="59" s="1"/>
  <c r="N18" i="59" s="1"/>
  <c r="D44" i="14"/>
  <c r="D56" i="14" s="1"/>
  <c r="F12" i="45" s="1"/>
  <c r="H18" i="59" s="1"/>
  <c r="J44" i="13"/>
  <c r="J56" i="13" s="1"/>
  <c r="L9" i="45" s="1"/>
  <c r="C44" i="13"/>
  <c r="I44" i="13"/>
  <c r="I56" i="13" s="1"/>
  <c r="K9" i="45" s="1"/>
  <c r="H44" i="13"/>
  <c r="H56" i="13" s="1"/>
  <c r="J9" i="45" s="1"/>
  <c r="G44" i="13"/>
  <c r="G56" i="13" s="1"/>
  <c r="I9" i="45" s="1"/>
  <c r="F44" i="13"/>
  <c r="F56" i="13" s="1"/>
  <c r="H9" i="45" s="1"/>
  <c r="E44" i="13"/>
  <c r="E56" i="13" s="1"/>
  <c r="G9" i="45" s="1"/>
  <c r="D44" i="13"/>
  <c r="D56" i="13" s="1"/>
  <c r="F9" i="45" s="1"/>
  <c r="J44" i="12"/>
  <c r="J56" i="12" s="1"/>
  <c r="L8" i="45" s="1"/>
  <c r="C44" i="12"/>
  <c r="I44" i="12"/>
  <c r="I56" i="12" s="1"/>
  <c r="K8" i="45" s="1"/>
  <c r="H44" i="12"/>
  <c r="H56" i="12" s="1"/>
  <c r="J8" i="45" s="1"/>
  <c r="G44" i="12"/>
  <c r="G56" i="12" s="1"/>
  <c r="F44" i="12"/>
  <c r="F56" i="12" s="1"/>
  <c r="H8" i="45" s="1"/>
  <c r="E44" i="12"/>
  <c r="E56" i="12" s="1"/>
  <c r="G8" i="45" s="1"/>
  <c r="D44" i="12"/>
  <c r="D56" i="12" s="1"/>
  <c r="F8" i="45" s="1"/>
  <c r="J44" i="11"/>
  <c r="J56" i="11" s="1"/>
  <c r="L7" i="45" s="1"/>
  <c r="R13" i="59" s="1"/>
  <c r="C44" i="11"/>
  <c r="I44" i="11"/>
  <c r="I56" i="11" s="1"/>
  <c r="K7" i="45" s="1"/>
  <c r="P13" i="59" s="1"/>
  <c r="G44" i="11"/>
  <c r="G56" i="11" s="1"/>
  <c r="I7" i="45" s="1"/>
  <c r="M13" i="59" s="1"/>
  <c r="F44" i="11"/>
  <c r="F56" i="11" s="1"/>
  <c r="H7" i="45" s="1"/>
  <c r="K13" i="59" s="1"/>
  <c r="L13" i="59" s="1"/>
  <c r="E44" i="11"/>
  <c r="E56" i="11" s="1"/>
  <c r="G7" i="45" s="1"/>
  <c r="J13" i="59" s="1"/>
  <c r="N13" i="59" s="1"/>
  <c r="D44" i="11"/>
  <c r="D56" i="11" s="1"/>
  <c r="F7" i="45" s="1"/>
  <c r="H13" i="59" s="1"/>
  <c r="J44" i="10"/>
  <c r="J56" i="10" s="1"/>
  <c r="L5" i="45" s="1"/>
  <c r="C44" i="10"/>
  <c r="I44" i="10"/>
  <c r="I56" i="10" s="1"/>
  <c r="K5" i="45" s="1"/>
  <c r="G44" i="10"/>
  <c r="G56" i="10" s="1"/>
  <c r="I5" i="45" s="1"/>
  <c r="F44" i="10"/>
  <c r="F56" i="10" s="1"/>
  <c r="H5" i="45" s="1"/>
  <c r="E44" i="10"/>
  <c r="E56" i="10" s="1"/>
  <c r="G5" i="45" s="1"/>
  <c r="N20" i="59" l="1"/>
  <c r="Q44" i="59"/>
  <c r="N44" i="59"/>
  <c r="Q43" i="59"/>
  <c r="N41" i="59"/>
  <c r="Q40" i="59"/>
  <c r="Q39" i="59"/>
  <c r="Q38" i="59"/>
  <c r="Q37" i="59"/>
  <c r="Q36" i="59"/>
  <c r="Q35" i="59"/>
  <c r="Q33" i="59"/>
  <c r="N32" i="59"/>
  <c r="Q31" i="59"/>
  <c r="N30" i="59"/>
  <c r="Q29" i="59"/>
  <c r="N28" i="59"/>
  <c r="Q27" i="59"/>
  <c r="Q25" i="59"/>
  <c r="Q24" i="59"/>
  <c r="Q23" i="59"/>
  <c r="Q22" i="59"/>
  <c r="N21" i="59"/>
  <c r="S5" i="59"/>
  <c r="L21" i="59"/>
  <c r="S6" i="59" s="1"/>
  <c r="Q21" i="59"/>
  <c r="Q20" i="59"/>
  <c r="Q19" i="59"/>
  <c r="N17" i="59"/>
  <c r="Q17" i="59"/>
  <c r="N16" i="59"/>
  <c r="Q16" i="59"/>
  <c r="J15" i="59"/>
  <c r="K15" i="59"/>
  <c r="L15" i="59" s="1"/>
  <c r="O15" i="59"/>
  <c r="Q15" i="59" s="1"/>
  <c r="M15" i="59"/>
  <c r="P15" i="59"/>
  <c r="R15" i="59"/>
  <c r="H15" i="59"/>
  <c r="H14" i="59"/>
  <c r="J14" i="59"/>
  <c r="K14" i="59"/>
  <c r="L14" i="59" s="1"/>
  <c r="O14" i="59"/>
  <c r="Q14" i="59" s="1"/>
  <c r="P14" i="59"/>
  <c r="R14" i="59"/>
  <c r="P11" i="59"/>
  <c r="K11" i="59"/>
  <c r="J11" i="59"/>
  <c r="M11" i="59"/>
  <c r="R11" i="59"/>
  <c r="C56" i="44"/>
  <c r="K44" i="44"/>
  <c r="C56" i="43"/>
  <c r="C62" i="43" s="1"/>
  <c r="K44" i="43"/>
  <c r="C56" i="42"/>
  <c r="C62" i="42" s="1"/>
  <c r="C56" i="41"/>
  <c r="C62" i="41" s="1"/>
  <c r="C56" i="40"/>
  <c r="C62" i="40" s="1"/>
  <c r="K44" i="40"/>
  <c r="C56" i="39"/>
  <c r="C62" i="39" s="1"/>
  <c r="K44" i="39"/>
  <c r="C56" i="38"/>
  <c r="C62" i="38" s="1"/>
  <c r="K44" i="38"/>
  <c r="C56" i="37"/>
  <c r="K44" i="37"/>
  <c r="C56" i="36"/>
  <c r="C62" i="36" s="1"/>
  <c r="K44" i="36"/>
  <c r="C56" i="35"/>
  <c r="C62" i="35" s="1"/>
  <c r="K44" i="35"/>
  <c r="C56" i="34"/>
  <c r="C62" i="34" s="1"/>
  <c r="K44" i="34"/>
  <c r="G27" i="45"/>
  <c r="J33" i="59" s="1"/>
  <c r="C66" i="32"/>
  <c r="H27" i="45"/>
  <c r="K33" i="59" s="1"/>
  <c r="L33" i="59" s="1"/>
  <c r="C67" i="32"/>
  <c r="I27" i="45"/>
  <c r="M33" i="59" s="1"/>
  <c r="C68" i="32"/>
  <c r="C56" i="32"/>
  <c r="C62" i="32" s="1"/>
  <c r="K44" i="32"/>
  <c r="C56" i="30"/>
  <c r="C62" i="30" s="1"/>
  <c r="K44" i="30"/>
  <c r="C56" i="29"/>
  <c r="K44" i="29"/>
  <c r="C56" i="26"/>
  <c r="C62" i="26" s="1"/>
  <c r="K44" i="26"/>
  <c r="C56" i="28"/>
  <c r="C62" i="28" s="1"/>
  <c r="K44" i="28"/>
  <c r="C56" i="27"/>
  <c r="C62" i="27" s="1"/>
  <c r="K44" i="27"/>
  <c r="C56" i="25"/>
  <c r="C62" i="25" s="1"/>
  <c r="K44" i="25"/>
  <c r="K26" i="46"/>
  <c r="C56" i="24"/>
  <c r="K44" i="24"/>
  <c r="C56" i="23"/>
  <c r="C62" i="23" s="1"/>
  <c r="K44" i="23"/>
  <c r="C56" i="22"/>
  <c r="C62" i="22" s="1"/>
  <c r="K44" i="22"/>
  <c r="C56" i="21"/>
  <c r="K44" i="21"/>
  <c r="C56" i="19"/>
  <c r="C62" i="19" s="1"/>
  <c r="K44" i="19"/>
  <c r="C56" i="18"/>
  <c r="K44" i="18"/>
  <c r="C56" i="17"/>
  <c r="C62" i="17" s="1"/>
  <c r="K44" i="17"/>
  <c r="C56" i="14"/>
  <c r="C62" i="14" s="1"/>
  <c r="K44" i="14"/>
  <c r="C56" i="20"/>
  <c r="K44" i="20"/>
  <c r="C56" i="12"/>
  <c r="K44" i="12"/>
  <c r="C56" i="13"/>
  <c r="K44" i="13"/>
  <c r="C56" i="15"/>
  <c r="C62" i="15" s="1"/>
  <c r="K44" i="15"/>
  <c r="C56" i="16"/>
  <c r="C62" i="16" s="1"/>
  <c r="K44" i="16"/>
  <c r="E44" i="46"/>
  <c r="E56" i="46" s="1"/>
  <c r="B38" i="49" s="1"/>
  <c r="K7" i="46"/>
  <c r="K7" i="11"/>
  <c r="H44" i="11"/>
  <c r="H56" i="11" s="1"/>
  <c r="J7" i="45" s="1"/>
  <c r="O13" i="59" s="1"/>
  <c r="Q13" i="59" s="1"/>
  <c r="C56" i="11"/>
  <c r="C62" i="11" s="1"/>
  <c r="K12" i="46"/>
  <c r="K12" i="10"/>
  <c r="I44" i="46"/>
  <c r="I56" i="46" s="1"/>
  <c r="B11" i="50" s="1"/>
  <c r="K14" i="10"/>
  <c r="C56" i="10"/>
  <c r="C61" i="10" s="1"/>
  <c r="K25" i="46"/>
  <c r="K25" i="10"/>
  <c r="L30" i="45"/>
  <c r="R36" i="59" s="1"/>
  <c r="H44" i="10"/>
  <c r="H56" i="10" s="1"/>
  <c r="J5" i="45" s="1"/>
  <c r="C68" i="46"/>
  <c r="D44" i="10"/>
  <c r="D56" i="10" s="1"/>
  <c r="F5" i="45" s="1"/>
  <c r="C63" i="44"/>
  <c r="C66" i="44"/>
  <c r="C68" i="44"/>
  <c r="C72" i="44"/>
  <c r="C75" i="44"/>
  <c r="C67" i="44"/>
  <c r="C71" i="44"/>
  <c r="C62" i="44"/>
  <c r="C63" i="43"/>
  <c r="C66" i="43"/>
  <c r="C68" i="43"/>
  <c r="C72" i="43"/>
  <c r="C75" i="43"/>
  <c r="C67" i="43"/>
  <c r="C71" i="43"/>
  <c r="C66" i="42"/>
  <c r="C68" i="42"/>
  <c r="C72" i="42"/>
  <c r="C75" i="42"/>
  <c r="C67" i="42"/>
  <c r="C71" i="42"/>
  <c r="D44" i="42"/>
  <c r="D56" i="42" s="1"/>
  <c r="F37" i="45" s="1"/>
  <c r="H43" i="59" s="1"/>
  <c r="C66" i="41"/>
  <c r="C68" i="41"/>
  <c r="C72" i="41"/>
  <c r="C75" i="41"/>
  <c r="C67" i="41"/>
  <c r="C71" i="41"/>
  <c r="D44" i="41"/>
  <c r="D56" i="41" s="1"/>
  <c r="F36" i="45" s="1"/>
  <c r="H42" i="59" s="1"/>
  <c r="C63" i="40"/>
  <c r="C66" i="40"/>
  <c r="C68" i="40"/>
  <c r="C72" i="40"/>
  <c r="C75" i="40"/>
  <c r="C67" i="40"/>
  <c r="C71" i="40"/>
  <c r="C63" i="39"/>
  <c r="C66" i="39"/>
  <c r="C68" i="39"/>
  <c r="C72" i="39"/>
  <c r="C75" i="39"/>
  <c r="C67" i="39"/>
  <c r="C71" i="39"/>
  <c r="C63" i="38"/>
  <c r="C66" i="38"/>
  <c r="C68" i="38"/>
  <c r="C72" i="38"/>
  <c r="C75" i="38"/>
  <c r="C67" i="38"/>
  <c r="C71" i="38"/>
  <c r="C63" i="37"/>
  <c r="C66" i="37"/>
  <c r="C68" i="37"/>
  <c r="C72" i="37"/>
  <c r="C75" i="37"/>
  <c r="C67" i="37"/>
  <c r="C71" i="37"/>
  <c r="C62" i="37"/>
  <c r="C63" i="36"/>
  <c r="C66" i="36"/>
  <c r="C68" i="36"/>
  <c r="C72" i="36"/>
  <c r="C75" i="36"/>
  <c r="C67" i="36"/>
  <c r="C71" i="36"/>
  <c r="C63" i="35"/>
  <c r="C66" i="35"/>
  <c r="C68" i="35"/>
  <c r="C72" i="35"/>
  <c r="C75" i="35"/>
  <c r="C67" i="35"/>
  <c r="C71" i="35"/>
  <c r="C63" i="34"/>
  <c r="C66" i="34"/>
  <c r="C68" i="34"/>
  <c r="C72" i="34"/>
  <c r="C75" i="34"/>
  <c r="C67" i="34"/>
  <c r="C71" i="34"/>
  <c r="C63" i="32"/>
  <c r="C72" i="32"/>
  <c r="C75" i="32"/>
  <c r="C71" i="32"/>
  <c r="C63" i="30"/>
  <c r="C66" i="30"/>
  <c r="C68" i="30"/>
  <c r="C72" i="30"/>
  <c r="C75" i="30"/>
  <c r="C67" i="30"/>
  <c r="C71" i="30"/>
  <c r="C63" i="29"/>
  <c r="C66" i="29"/>
  <c r="C68" i="29"/>
  <c r="C72" i="29"/>
  <c r="C75" i="29"/>
  <c r="C67" i="29"/>
  <c r="C71" i="29"/>
  <c r="C62" i="29"/>
  <c r="C63" i="28"/>
  <c r="C66" i="28"/>
  <c r="C68" i="28"/>
  <c r="C72" i="28"/>
  <c r="C75" i="28"/>
  <c r="C67" i="28"/>
  <c r="C71" i="28"/>
  <c r="C63" i="27"/>
  <c r="C66" i="27"/>
  <c r="C68" i="27"/>
  <c r="C72" i="27"/>
  <c r="C75" i="27"/>
  <c r="C67" i="27"/>
  <c r="C71" i="27"/>
  <c r="C63" i="26"/>
  <c r="C66" i="26"/>
  <c r="C68" i="26"/>
  <c r="C72" i="26"/>
  <c r="C75" i="26"/>
  <c r="C67" i="26"/>
  <c r="C71" i="26"/>
  <c r="C63" i="25"/>
  <c r="C66" i="25"/>
  <c r="C68" i="25"/>
  <c r="C72" i="25"/>
  <c r="C75" i="25"/>
  <c r="C67" i="25"/>
  <c r="C71" i="25"/>
  <c r="C63" i="24"/>
  <c r="C66" i="24"/>
  <c r="C68" i="24"/>
  <c r="C72" i="24"/>
  <c r="C75" i="24"/>
  <c r="C67" i="24"/>
  <c r="C71" i="24"/>
  <c r="C62" i="24"/>
  <c r="C63" i="23"/>
  <c r="C66" i="23"/>
  <c r="C68" i="23"/>
  <c r="C72" i="23"/>
  <c r="C75" i="23"/>
  <c r="C67" i="23"/>
  <c r="C71" i="23"/>
  <c r="C63" i="22"/>
  <c r="C66" i="22"/>
  <c r="C68" i="22"/>
  <c r="C72" i="22"/>
  <c r="C75" i="22"/>
  <c r="C67" i="22"/>
  <c r="C71" i="22"/>
  <c r="C63" i="21"/>
  <c r="C66" i="21"/>
  <c r="C68" i="21"/>
  <c r="C72" i="21"/>
  <c r="C75" i="21"/>
  <c r="C67" i="21"/>
  <c r="C71" i="21"/>
  <c r="C63" i="20"/>
  <c r="C66" i="20"/>
  <c r="C68" i="20"/>
  <c r="C72" i="20"/>
  <c r="C75" i="20"/>
  <c r="C67" i="20"/>
  <c r="C71" i="20"/>
  <c r="C62" i="20"/>
  <c r="C63" i="19"/>
  <c r="C66" i="19"/>
  <c r="C68" i="19"/>
  <c r="C72" i="19"/>
  <c r="C75" i="19"/>
  <c r="C67" i="19"/>
  <c r="C71" i="19"/>
  <c r="C63" i="18"/>
  <c r="C66" i="18"/>
  <c r="C68" i="18"/>
  <c r="C72" i="18"/>
  <c r="C75" i="18"/>
  <c r="C67" i="18"/>
  <c r="C71" i="18"/>
  <c r="C62" i="18"/>
  <c r="C63" i="17"/>
  <c r="C66" i="17"/>
  <c r="C68" i="17"/>
  <c r="C72" i="17"/>
  <c r="C75" i="17"/>
  <c r="C67" i="17"/>
  <c r="C71" i="17"/>
  <c r="C63" i="16"/>
  <c r="C66" i="16"/>
  <c r="C68" i="16"/>
  <c r="C72" i="16"/>
  <c r="C75" i="16"/>
  <c r="C67" i="16"/>
  <c r="C71" i="16"/>
  <c r="C63" i="15"/>
  <c r="C66" i="15"/>
  <c r="C68" i="15"/>
  <c r="C72" i="15"/>
  <c r="C75" i="15"/>
  <c r="C67" i="15"/>
  <c r="C71" i="15"/>
  <c r="C67" i="14"/>
  <c r="C63" i="14"/>
  <c r="C66" i="14"/>
  <c r="C68" i="14"/>
  <c r="C72" i="14"/>
  <c r="C75" i="14"/>
  <c r="C71" i="14"/>
  <c r="C73" i="14" s="1"/>
  <c r="C63" i="13"/>
  <c r="C66" i="13"/>
  <c r="C68" i="13"/>
  <c r="C72" i="13"/>
  <c r="C75" i="13"/>
  <c r="C67" i="13"/>
  <c r="C71" i="13"/>
  <c r="C62" i="13"/>
  <c r="C71" i="12"/>
  <c r="C62" i="12"/>
  <c r="C63" i="12"/>
  <c r="C66" i="12"/>
  <c r="C68" i="12"/>
  <c r="C72" i="12"/>
  <c r="C75" i="12"/>
  <c r="C67" i="12"/>
  <c r="C63" i="11"/>
  <c r="C66" i="11"/>
  <c r="C68" i="11"/>
  <c r="C72" i="11"/>
  <c r="C75" i="11"/>
  <c r="C67" i="11"/>
  <c r="C65" i="10"/>
  <c r="C67" i="10"/>
  <c r="C71" i="10"/>
  <c r="C74" i="10"/>
  <c r="C66" i="10"/>
  <c r="N33" i="59" l="1"/>
  <c r="N15" i="59"/>
  <c r="N14" i="59"/>
  <c r="H11" i="59"/>
  <c r="N11" i="59"/>
  <c r="L11" i="59"/>
  <c r="O11" i="59"/>
  <c r="C73" i="27"/>
  <c r="C64" i="15"/>
  <c r="C73" i="16"/>
  <c r="C64" i="18"/>
  <c r="C64" i="19"/>
  <c r="C64" i="22"/>
  <c r="C71" i="11"/>
  <c r="C73" i="11"/>
  <c r="K44" i="11"/>
  <c r="C64" i="17"/>
  <c r="C73" i="26"/>
  <c r="E39" i="45"/>
  <c r="K56" i="44"/>
  <c r="D66" i="44" s="1"/>
  <c r="E38" i="45"/>
  <c r="K56" i="43"/>
  <c r="D66" i="43" s="1"/>
  <c r="K44" i="42"/>
  <c r="E37" i="45"/>
  <c r="K56" i="42"/>
  <c r="D63" i="42" s="1"/>
  <c r="K44" i="41"/>
  <c r="E36" i="45"/>
  <c r="K56" i="41"/>
  <c r="D63" i="41" s="1"/>
  <c r="E35" i="45"/>
  <c r="K56" i="40"/>
  <c r="D66" i="40" s="1"/>
  <c r="E34" i="45"/>
  <c r="K56" i="39"/>
  <c r="D67" i="39" s="1"/>
  <c r="E33" i="45"/>
  <c r="K56" i="38"/>
  <c r="D75" i="38" s="1"/>
  <c r="C64" i="37"/>
  <c r="E32" i="45"/>
  <c r="K56" i="37"/>
  <c r="D66" i="37" s="1"/>
  <c r="E31" i="45"/>
  <c r="K56" i="36"/>
  <c r="D72" i="36" s="1"/>
  <c r="E30" i="45"/>
  <c r="K56" i="35"/>
  <c r="D68" i="35" s="1"/>
  <c r="E29" i="45"/>
  <c r="K56" i="34"/>
  <c r="D67" i="34" s="1"/>
  <c r="C64" i="32"/>
  <c r="E27" i="45"/>
  <c r="K56" i="32"/>
  <c r="D62" i="32" s="1"/>
  <c r="E26" i="45"/>
  <c r="K56" i="30"/>
  <c r="D66" i="30" s="1"/>
  <c r="E25" i="45"/>
  <c r="K56" i="29"/>
  <c r="D67" i="29" s="1"/>
  <c r="E21" i="45"/>
  <c r="K56" i="25"/>
  <c r="D63" i="25" s="1"/>
  <c r="E23" i="45"/>
  <c r="K56" i="27"/>
  <c r="D63" i="27" s="1"/>
  <c r="E22" i="45"/>
  <c r="K56" i="26"/>
  <c r="D62" i="26" s="1"/>
  <c r="E24" i="45"/>
  <c r="K56" i="28"/>
  <c r="D63" i="28" s="1"/>
  <c r="C73" i="23"/>
  <c r="C73" i="24"/>
  <c r="E18" i="45"/>
  <c r="K56" i="22"/>
  <c r="D63" i="22" s="1"/>
  <c r="E17" i="45"/>
  <c r="K56" i="21"/>
  <c r="D62" i="21" s="1"/>
  <c r="E19" i="45"/>
  <c r="K56" i="23"/>
  <c r="D62" i="23" s="1"/>
  <c r="C62" i="21"/>
  <c r="C64" i="21" s="1"/>
  <c r="E20" i="45"/>
  <c r="K56" i="24"/>
  <c r="D63" i="24" s="1"/>
  <c r="C73" i="17"/>
  <c r="E12" i="45"/>
  <c r="K56" i="14"/>
  <c r="D66" i="14" s="1"/>
  <c r="E13" i="45"/>
  <c r="K56" i="17"/>
  <c r="D63" i="17" s="1"/>
  <c r="E14" i="45"/>
  <c r="K56" i="18"/>
  <c r="D63" i="18" s="1"/>
  <c r="E16" i="45"/>
  <c r="K56" i="20"/>
  <c r="E15" i="45"/>
  <c r="K56" i="19"/>
  <c r="D63" i="19" s="1"/>
  <c r="C64" i="13"/>
  <c r="C64" i="16"/>
  <c r="E10" i="45"/>
  <c r="K56" i="16"/>
  <c r="D63" i="16" s="1"/>
  <c r="E11" i="45"/>
  <c r="K56" i="15"/>
  <c r="D63" i="15" s="1"/>
  <c r="E9" i="45"/>
  <c r="K56" i="13"/>
  <c r="D63" i="13" s="1"/>
  <c r="C73" i="15"/>
  <c r="E8" i="45"/>
  <c r="K56" i="12"/>
  <c r="D71" i="12" s="1"/>
  <c r="C64" i="11"/>
  <c r="E7" i="45"/>
  <c r="K56" i="11"/>
  <c r="D63" i="11" s="1"/>
  <c r="K27" i="46"/>
  <c r="K27" i="8"/>
  <c r="H44" i="46"/>
  <c r="H56" i="46" s="1"/>
  <c r="H38" i="49" s="1"/>
  <c r="C72" i="46"/>
  <c r="K44" i="10"/>
  <c r="E5" i="45"/>
  <c r="K56" i="10"/>
  <c r="D62" i="10" s="1"/>
  <c r="K14" i="46"/>
  <c r="H39" i="49"/>
  <c r="C62" i="10"/>
  <c r="C63" i="10" s="1"/>
  <c r="C73" i="19"/>
  <c r="C64" i="36"/>
  <c r="C73" i="25"/>
  <c r="C73" i="28"/>
  <c r="D62" i="20"/>
  <c r="C73" i="22"/>
  <c r="C64" i="35"/>
  <c r="C64" i="39"/>
  <c r="C64" i="14"/>
  <c r="D75" i="14"/>
  <c r="C70" i="10"/>
  <c r="C72" i="10" s="1"/>
  <c r="C73" i="20"/>
  <c r="C73" i="21"/>
  <c r="C64" i="25"/>
  <c r="C64" i="26"/>
  <c r="B41" i="49"/>
  <c r="C66" i="46"/>
  <c r="C69" i="46" s="1"/>
  <c r="C73" i="13"/>
  <c r="C73" i="29"/>
  <c r="C73" i="30"/>
  <c r="C73" i="32"/>
  <c r="C73" i="34"/>
  <c r="C73" i="35"/>
  <c r="C73" i="36"/>
  <c r="C73" i="37"/>
  <c r="C73" i="38"/>
  <c r="C73" i="39"/>
  <c r="C73" i="40"/>
  <c r="C73" i="43"/>
  <c r="C73" i="44"/>
  <c r="C73" i="42"/>
  <c r="C73" i="41"/>
  <c r="C73" i="18"/>
  <c r="C64" i="44"/>
  <c r="C64" i="40"/>
  <c r="C64" i="38"/>
  <c r="C64" i="30"/>
  <c r="C64" i="29"/>
  <c r="C64" i="28"/>
  <c r="C64" i="27"/>
  <c r="C64" i="24"/>
  <c r="C64" i="23"/>
  <c r="C64" i="20"/>
  <c r="D67" i="13"/>
  <c r="C69" i="44"/>
  <c r="C64" i="43"/>
  <c r="C69" i="43"/>
  <c r="C63" i="42"/>
  <c r="C64" i="42" s="1"/>
  <c r="C69" i="42"/>
  <c r="C63" i="41"/>
  <c r="C64" i="41" s="1"/>
  <c r="C69" i="41"/>
  <c r="C69" i="40"/>
  <c r="C69" i="39"/>
  <c r="C69" i="38"/>
  <c r="C69" i="37"/>
  <c r="C69" i="36"/>
  <c r="C69" i="35"/>
  <c r="C64" i="34"/>
  <c r="C69" i="34"/>
  <c r="C69" i="32"/>
  <c r="C69" i="30"/>
  <c r="C69" i="29"/>
  <c r="C69" i="28"/>
  <c r="C69" i="27"/>
  <c r="C69" i="26"/>
  <c r="C69" i="25"/>
  <c r="C69" i="24"/>
  <c r="C69" i="23"/>
  <c r="C69" i="22"/>
  <c r="C69" i="21"/>
  <c r="C69" i="20"/>
  <c r="C69" i="19"/>
  <c r="C69" i="18"/>
  <c r="C69" i="17"/>
  <c r="C69" i="16"/>
  <c r="C69" i="15"/>
  <c r="C69" i="14"/>
  <c r="C76" i="14" s="1"/>
  <c r="C69" i="13"/>
  <c r="C69" i="12"/>
  <c r="C64" i="12"/>
  <c r="C73" i="12"/>
  <c r="C69" i="11"/>
  <c r="C68" i="10"/>
  <c r="M39" i="45" l="1"/>
  <c r="S45" i="59" s="1"/>
  <c r="T45" i="59" s="1"/>
  <c r="F45" i="59"/>
  <c r="M38" i="45"/>
  <c r="S44" i="59" s="1"/>
  <c r="T44" i="59" s="1"/>
  <c r="D8" i="59" s="1"/>
  <c r="F44" i="59"/>
  <c r="M37" i="45"/>
  <c r="S43" i="59" s="1"/>
  <c r="T43" i="59" s="1"/>
  <c r="F43" i="59"/>
  <c r="M36" i="45"/>
  <c r="S42" i="59" s="1"/>
  <c r="T42" i="59" s="1"/>
  <c r="F42" i="59"/>
  <c r="M35" i="45"/>
  <c r="S41" i="59" s="1"/>
  <c r="T41" i="59" s="1"/>
  <c r="F41" i="59"/>
  <c r="M34" i="45"/>
  <c r="S40" i="59" s="1"/>
  <c r="T40" i="59" s="1"/>
  <c r="F40" i="59"/>
  <c r="M33" i="45"/>
  <c r="S39" i="59" s="1"/>
  <c r="T39" i="59" s="1"/>
  <c r="F39" i="59"/>
  <c r="M32" i="45"/>
  <c r="S38" i="59" s="1"/>
  <c r="T38" i="59" s="1"/>
  <c r="F38" i="59"/>
  <c r="M31" i="45"/>
  <c r="S37" i="59" s="1"/>
  <c r="T37" i="59" s="1"/>
  <c r="F37" i="59"/>
  <c r="M30" i="45"/>
  <c r="S36" i="59" s="1"/>
  <c r="T36" i="59" s="1"/>
  <c r="F36" i="59"/>
  <c r="M29" i="45"/>
  <c r="F35" i="59"/>
  <c r="M27" i="45"/>
  <c r="S33" i="59" s="1"/>
  <c r="T33" i="59" s="1"/>
  <c r="E8" i="59" s="1"/>
  <c r="F33" i="59"/>
  <c r="M26" i="45"/>
  <c r="S32" i="59" s="1"/>
  <c r="T32" i="59" s="1"/>
  <c r="F32" i="59"/>
  <c r="M25" i="45"/>
  <c r="S31" i="59" s="1"/>
  <c r="T31" i="59" s="1"/>
  <c r="F31" i="59"/>
  <c r="M24" i="45"/>
  <c r="S30" i="59" s="1"/>
  <c r="T30" i="59" s="1"/>
  <c r="F30" i="59"/>
  <c r="M23" i="45"/>
  <c r="S29" i="59" s="1"/>
  <c r="T29" i="59" s="1"/>
  <c r="F29" i="59"/>
  <c r="M22" i="45"/>
  <c r="S28" i="59" s="1"/>
  <c r="T28" i="59" s="1"/>
  <c r="F28" i="59"/>
  <c r="M21" i="45"/>
  <c r="S27" i="59" s="1"/>
  <c r="T27" i="59" s="1"/>
  <c r="F27" i="59"/>
  <c r="M20" i="45"/>
  <c r="S26" i="59" s="1"/>
  <c r="T26" i="59" s="1"/>
  <c r="F26" i="59"/>
  <c r="M19" i="45"/>
  <c r="S25" i="59" s="1"/>
  <c r="T25" i="59" s="1"/>
  <c r="F25" i="59"/>
  <c r="M18" i="45"/>
  <c r="S24" i="59" s="1"/>
  <c r="T24" i="59" s="1"/>
  <c r="F24" i="59"/>
  <c r="M17" i="45"/>
  <c r="S23" i="59" s="1"/>
  <c r="T23" i="59" s="1"/>
  <c r="F23" i="59"/>
  <c r="M16" i="45"/>
  <c r="S22" i="59" s="1"/>
  <c r="T22" i="59" s="1"/>
  <c r="F22" i="59"/>
  <c r="M15" i="45"/>
  <c r="S21" i="59" s="1"/>
  <c r="T21" i="59" s="1"/>
  <c r="F21" i="59"/>
  <c r="M14" i="45"/>
  <c r="S20" i="59" s="1"/>
  <c r="T20" i="59" s="1"/>
  <c r="F20" i="59"/>
  <c r="M13" i="45"/>
  <c r="S19" i="59" s="1"/>
  <c r="F19" i="59"/>
  <c r="M12" i="45"/>
  <c r="S18" i="59" s="1"/>
  <c r="T18" i="59" s="1"/>
  <c r="F18" i="59"/>
  <c r="M11" i="45"/>
  <c r="S17" i="59" s="1"/>
  <c r="T17" i="59" s="1"/>
  <c r="F17" i="59"/>
  <c r="M10" i="45"/>
  <c r="S16" i="59" s="1"/>
  <c r="T16" i="59" s="1"/>
  <c r="F16" i="59"/>
  <c r="M7" i="45"/>
  <c r="S13" i="59" s="1"/>
  <c r="T13" i="59" s="1"/>
  <c r="F13" i="59"/>
  <c r="M9" i="45"/>
  <c r="F15" i="59"/>
  <c r="M8" i="45"/>
  <c r="F14" i="59"/>
  <c r="Q11" i="59"/>
  <c r="M5" i="45"/>
  <c r="F11" i="59"/>
  <c r="D66" i="24"/>
  <c r="D72" i="24"/>
  <c r="D68" i="24"/>
  <c r="D62" i="24"/>
  <c r="D64" i="24" s="1"/>
  <c r="D67" i="24"/>
  <c r="D72" i="30"/>
  <c r="D71" i="30"/>
  <c r="D62" i="30"/>
  <c r="D72" i="37"/>
  <c r="D62" i="37"/>
  <c r="D67" i="37"/>
  <c r="D71" i="37"/>
  <c r="D62" i="39"/>
  <c r="D68" i="39"/>
  <c r="D72" i="39"/>
  <c r="D75" i="39"/>
  <c r="C76" i="39"/>
  <c r="D66" i="39"/>
  <c r="C76" i="36"/>
  <c r="D62" i="36"/>
  <c r="D66" i="36"/>
  <c r="D71" i="36"/>
  <c r="D73" i="36" s="1"/>
  <c r="D62" i="27"/>
  <c r="D64" i="27" s="1"/>
  <c r="C76" i="15"/>
  <c r="D75" i="15"/>
  <c r="D72" i="15"/>
  <c r="D67" i="15"/>
  <c r="D68" i="15"/>
  <c r="D71" i="15"/>
  <c r="D62" i="15"/>
  <c r="D64" i="15" s="1"/>
  <c r="D66" i="15"/>
  <c r="D67" i="35"/>
  <c r="D66" i="35"/>
  <c r="D72" i="35"/>
  <c r="D75" i="35"/>
  <c r="D62" i="35"/>
  <c r="D75" i="16"/>
  <c r="D71" i="16"/>
  <c r="D66" i="16"/>
  <c r="D68" i="16"/>
  <c r="C76" i="16"/>
  <c r="D62" i="16"/>
  <c r="D64" i="16" s="1"/>
  <c r="D72" i="16"/>
  <c r="D67" i="16"/>
  <c r="D68" i="18"/>
  <c r="D66" i="18"/>
  <c r="D72" i="34"/>
  <c r="D66" i="34"/>
  <c r="D75" i="34"/>
  <c r="D62" i="34"/>
  <c r="D72" i="21"/>
  <c r="D66" i="21"/>
  <c r="D75" i="21"/>
  <c r="D72" i="14"/>
  <c r="D68" i="14"/>
  <c r="D62" i="14"/>
  <c r="D63" i="14"/>
  <c r="D67" i="19"/>
  <c r="D71" i="19"/>
  <c r="D62" i="19"/>
  <c r="D64" i="19" s="1"/>
  <c r="C76" i="19"/>
  <c r="D66" i="19"/>
  <c r="D68" i="19"/>
  <c r="D72" i="19"/>
  <c r="D75" i="19"/>
  <c r="D63" i="12"/>
  <c r="D62" i="12"/>
  <c r="D66" i="12"/>
  <c r="D68" i="12"/>
  <c r="D75" i="12"/>
  <c r="D72" i="12"/>
  <c r="D73" i="12" s="1"/>
  <c r="D67" i="12"/>
  <c r="D68" i="25"/>
  <c r="D71" i="25"/>
  <c r="D62" i="25"/>
  <c r="D64" i="25" s="1"/>
  <c r="D72" i="25"/>
  <c r="D75" i="25"/>
  <c r="D66" i="25"/>
  <c r="D67" i="38"/>
  <c r="D72" i="38"/>
  <c r="D66" i="38"/>
  <c r="D62" i="38"/>
  <c r="D62" i="22"/>
  <c r="D64" i="22" s="1"/>
  <c r="C76" i="22"/>
  <c r="D66" i="22"/>
  <c r="D68" i="22"/>
  <c r="D72" i="22"/>
  <c r="D75" i="22"/>
  <c r="D67" i="22"/>
  <c r="D71" i="22"/>
  <c r="C76" i="11"/>
  <c r="D66" i="11"/>
  <c r="D68" i="11"/>
  <c r="D75" i="11"/>
  <c r="D67" i="11"/>
  <c r="D71" i="11"/>
  <c r="D72" i="11"/>
  <c r="D62" i="11"/>
  <c r="D64" i="11" s="1"/>
  <c r="C76" i="32"/>
  <c r="D71" i="32"/>
  <c r="D72" i="32"/>
  <c r="D68" i="23"/>
  <c r="D75" i="23"/>
  <c r="C76" i="23"/>
  <c r="D67" i="44"/>
  <c r="D72" i="44"/>
  <c r="D62" i="44"/>
  <c r="D75" i="44"/>
  <c r="D68" i="17"/>
  <c r="D72" i="17"/>
  <c r="D75" i="17"/>
  <c r="D67" i="17"/>
  <c r="D62" i="17"/>
  <c r="D64" i="17" s="1"/>
  <c r="D71" i="17"/>
  <c r="D66" i="17"/>
  <c r="C76" i="17"/>
  <c r="D66" i="26"/>
  <c r="D72" i="26"/>
  <c r="D68" i="26"/>
  <c r="C76" i="26"/>
  <c r="D62" i="28"/>
  <c r="D64" i="28" s="1"/>
  <c r="D72" i="29"/>
  <c r="D62" i="29"/>
  <c r="D75" i="29"/>
  <c r="D66" i="29"/>
  <c r="D68" i="29"/>
  <c r="D63" i="44"/>
  <c r="D68" i="44"/>
  <c r="D71" i="44"/>
  <c r="D72" i="43"/>
  <c r="D62" i="43"/>
  <c r="D67" i="43"/>
  <c r="D63" i="43"/>
  <c r="D71" i="43"/>
  <c r="D68" i="43"/>
  <c r="D75" i="43"/>
  <c r="D62" i="40"/>
  <c r="D67" i="40"/>
  <c r="D63" i="40"/>
  <c r="D71" i="40"/>
  <c r="D68" i="40"/>
  <c r="D75" i="40"/>
  <c r="D72" i="40"/>
  <c r="D71" i="39"/>
  <c r="D63" i="39"/>
  <c r="D68" i="38"/>
  <c r="D63" i="38"/>
  <c r="D71" i="38"/>
  <c r="D73" i="38" s="1"/>
  <c r="D63" i="37"/>
  <c r="D68" i="37"/>
  <c r="D75" i="37"/>
  <c r="D75" i="36"/>
  <c r="D68" i="36"/>
  <c r="D67" i="36"/>
  <c r="D63" i="36"/>
  <c r="C76" i="35"/>
  <c r="D71" i="35"/>
  <c r="D73" i="35" s="1"/>
  <c r="D63" i="35"/>
  <c r="D68" i="34"/>
  <c r="D71" i="34"/>
  <c r="D63" i="34"/>
  <c r="D66" i="32"/>
  <c r="D67" i="32"/>
  <c r="D68" i="32"/>
  <c r="D75" i="32"/>
  <c r="D63" i="32"/>
  <c r="D64" i="32" s="1"/>
  <c r="D68" i="30"/>
  <c r="D75" i="30"/>
  <c r="D63" i="30"/>
  <c r="D67" i="30"/>
  <c r="D63" i="29"/>
  <c r="D64" i="29" s="1"/>
  <c r="D71" i="29"/>
  <c r="D71" i="26"/>
  <c r="D67" i="26"/>
  <c r="D63" i="26"/>
  <c r="D64" i="26" s="1"/>
  <c r="D68" i="28"/>
  <c r="D67" i="27"/>
  <c r="D72" i="28"/>
  <c r="C76" i="27"/>
  <c r="D66" i="27"/>
  <c r="D75" i="28"/>
  <c r="D67" i="25"/>
  <c r="D67" i="28"/>
  <c r="D68" i="27"/>
  <c r="D75" i="27"/>
  <c r="D66" i="28"/>
  <c r="D71" i="28"/>
  <c r="D71" i="27"/>
  <c r="D72" i="27"/>
  <c r="D75" i="26"/>
  <c r="D71" i="23"/>
  <c r="D66" i="23"/>
  <c r="D72" i="23"/>
  <c r="D71" i="24"/>
  <c r="D73" i="24" s="1"/>
  <c r="D75" i="24"/>
  <c r="D63" i="23"/>
  <c r="D64" i="23" s="1"/>
  <c r="D67" i="23"/>
  <c r="D68" i="21"/>
  <c r="D63" i="21"/>
  <c r="D64" i="21" s="1"/>
  <c r="D71" i="21"/>
  <c r="D67" i="21"/>
  <c r="D72" i="18"/>
  <c r="D75" i="18"/>
  <c r="D67" i="18"/>
  <c r="D71" i="18"/>
  <c r="D62" i="18"/>
  <c r="D64" i="18" s="1"/>
  <c r="C76" i="18"/>
  <c r="D63" i="20"/>
  <c r="D64" i="20" s="1"/>
  <c r="D71" i="20"/>
  <c r="D68" i="20"/>
  <c r="C76" i="20"/>
  <c r="D67" i="20"/>
  <c r="D66" i="20"/>
  <c r="D75" i="20"/>
  <c r="D67" i="14"/>
  <c r="D69" i="14" s="1"/>
  <c r="D71" i="14"/>
  <c r="D72" i="20"/>
  <c r="D62" i="13"/>
  <c r="D64" i="13" s="1"/>
  <c r="D66" i="13"/>
  <c r="D68" i="13"/>
  <c r="D71" i="13"/>
  <c r="D72" i="13"/>
  <c r="D75" i="13"/>
  <c r="B10" i="50"/>
  <c r="H40" i="49"/>
  <c r="C71" i="46"/>
  <c r="C73" i="46" s="1"/>
  <c r="D44" i="46"/>
  <c r="K44" i="46" s="1"/>
  <c r="D67" i="10"/>
  <c r="D71" i="10"/>
  <c r="D65" i="10"/>
  <c r="C76" i="37"/>
  <c r="D74" i="10"/>
  <c r="C75" i="10"/>
  <c r="D66" i="10"/>
  <c r="C76" i="21"/>
  <c r="C76" i="30"/>
  <c r="D70" i="10"/>
  <c r="C76" i="13"/>
  <c r="C76" i="25"/>
  <c r="D61" i="10"/>
  <c r="D63" i="10" s="1"/>
  <c r="C76" i="44"/>
  <c r="C76" i="29"/>
  <c r="C76" i="28"/>
  <c r="C76" i="24"/>
  <c r="C76" i="38"/>
  <c r="C76" i="34"/>
  <c r="C76" i="42"/>
  <c r="C76" i="41"/>
  <c r="C76" i="40"/>
  <c r="D69" i="17"/>
  <c r="C76" i="43"/>
  <c r="D68" i="42"/>
  <c r="D72" i="42"/>
  <c r="D75" i="42"/>
  <c r="D67" i="42"/>
  <c r="D71" i="42"/>
  <c r="D62" i="42"/>
  <c r="D64" i="42" s="1"/>
  <c r="D66" i="42"/>
  <c r="D68" i="41"/>
  <c r="D72" i="41"/>
  <c r="D75" i="41"/>
  <c r="D67" i="41"/>
  <c r="D71" i="41"/>
  <c r="D62" i="41"/>
  <c r="D64" i="41" s="1"/>
  <c r="D66" i="41"/>
  <c r="C76" i="12"/>
  <c r="C44" i="8"/>
  <c r="J44" i="8"/>
  <c r="J56" i="8" s="1"/>
  <c r="I44" i="8"/>
  <c r="I56" i="8" s="1"/>
  <c r="K6" i="45" s="1"/>
  <c r="G44" i="8"/>
  <c r="G56" i="8" s="1"/>
  <c r="F44" i="8"/>
  <c r="F56" i="8" s="1"/>
  <c r="H6" i="45" s="1"/>
  <c r="D69" i="18" l="1"/>
  <c r="G45" i="59"/>
  <c r="S8" i="59" s="1"/>
  <c r="I45" i="59"/>
  <c r="G44" i="59"/>
  <c r="I44" i="59"/>
  <c r="I43" i="59"/>
  <c r="G43" i="59"/>
  <c r="I42" i="59"/>
  <c r="G42" i="59"/>
  <c r="I41" i="59"/>
  <c r="G41" i="59"/>
  <c r="I40" i="59"/>
  <c r="G40" i="59"/>
  <c r="I39" i="59"/>
  <c r="G39" i="59"/>
  <c r="I38" i="59"/>
  <c r="G38" i="59"/>
  <c r="I37" i="59"/>
  <c r="G37" i="59"/>
  <c r="I36" i="59"/>
  <c r="G36" i="59"/>
  <c r="I35" i="59"/>
  <c r="G35" i="59"/>
  <c r="T29" i="45"/>
  <c r="S35" i="59"/>
  <c r="T35" i="59" s="1"/>
  <c r="I33" i="59"/>
  <c r="G33" i="59"/>
  <c r="T8" i="59" s="1"/>
  <c r="I32" i="59"/>
  <c r="G32" i="59"/>
  <c r="I31" i="59"/>
  <c r="G31" i="59"/>
  <c r="I30" i="59"/>
  <c r="G30" i="59"/>
  <c r="I29" i="59"/>
  <c r="G29" i="59"/>
  <c r="I28" i="59"/>
  <c r="G28" i="59"/>
  <c r="I27" i="59"/>
  <c r="G27" i="59"/>
  <c r="I26" i="59"/>
  <c r="G26" i="59"/>
  <c r="I25" i="59"/>
  <c r="G25" i="59"/>
  <c r="I24" i="59"/>
  <c r="G24" i="59"/>
  <c r="I23" i="59"/>
  <c r="G23" i="59"/>
  <c r="G22" i="59"/>
  <c r="I22" i="59"/>
  <c r="G21" i="59"/>
  <c r="I21" i="59"/>
  <c r="I20" i="59"/>
  <c r="G20" i="59"/>
  <c r="I19" i="59"/>
  <c r="S7" i="59"/>
  <c r="G19" i="59"/>
  <c r="D7" i="59"/>
  <c r="T19" i="59"/>
  <c r="G18" i="59"/>
  <c r="I18" i="59"/>
  <c r="G17" i="59"/>
  <c r="I17" i="59"/>
  <c r="I16" i="59"/>
  <c r="G16" i="59"/>
  <c r="G13" i="59"/>
  <c r="I13" i="59"/>
  <c r="I15" i="59"/>
  <c r="G15" i="59"/>
  <c r="S15" i="59"/>
  <c r="T15" i="59" s="1"/>
  <c r="G14" i="59"/>
  <c r="I14" i="59"/>
  <c r="S14" i="59"/>
  <c r="T14" i="59" s="1"/>
  <c r="K40" i="45"/>
  <c r="P12" i="59"/>
  <c r="P46" i="59" s="1"/>
  <c r="H40" i="45"/>
  <c r="K12" i="59"/>
  <c r="I11" i="59"/>
  <c r="G11" i="59"/>
  <c r="S11" i="59"/>
  <c r="D69" i="24"/>
  <c r="D76" i="24" s="1"/>
  <c r="D73" i="40"/>
  <c r="D64" i="30"/>
  <c r="D73" i="30"/>
  <c r="D69" i="30"/>
  <c r="D73" i="37"/>
  <c r="D64" i="37"/>
  <c r="D69" i="37"/>
  <c r="D69" i="39"/>
  <c r="D73" i="39"/>
  <c r="D64" i="39"/>
  <c r="D69" i="13"/>
  <c r="D73" i="13"/>
  <c r="D64" i="36"/>
  <c r="D69" i="36"/>
  <c r="D69" i="43"/>
  <c r="D73" i="43"/>
  <c r="D69" i="15"/>
  <c r="D73" i="15"/>
  <c r="D69" i="35"/>
  <c r="D64" i="35"/>
  <c r="D69" i="16"/>
  <c r="D73" i="16"/>
  <c r="D73" i="18"/>
  <c r="D76" i="18" s="1"/>
  <c r="D73" i="20"/>
  <c r="D69" i="20"/>
  <c r="D73" i="34"/>
  <c r="D69" i="34"/>
  <c r="D64" i="34"/>
  <c r="D73" i="21"/>
  <c r="D69" i="21"/>
  <c r="D64" i="14"/>
  <c r="D73" i="14"/>
  <c r="D73" i="19"/>
  <c r="D69" i="19"/>
  <c r="D69" i="12"/>
  <c r="D64" i="12"/>
  <c r="D69" i="25"/>
  <c r="D73" i="25"/>
  <c r="D69" i="38"/>
  <c r="D64" i="38"/>
  <c r="D73" i="22"/>
  <c r="D69" i="22"/>
  <c r="D69" i="11"/>
  <c r="D73" i="11"/>
  <c r="D69" i="32"/>
  <c r="D73" i="32"/>
  <c r="D73" i="23"/>
  <c r="D69" i="23"/>
  <c r="D73" i="44"/>
  <c r="D69" i="44"/>
  <c r="D64" i="44"/>
  <c r="D73" i="17"/>
  <c r="D69" i="26"/>
  <c r="D73" i="26"/>
  <c r="D73" i="28"/>
  <c r="D73" i="29"/>
  <c r="D69" i="29"/>
  <c r="D72" i="10"/>
  <c r="C56" i="8"/>
  <c r="D64" i="43"/>
  <c r="D69" i="40"/>
  <c r="D64" i="40"/>
  <c r="D76" i="40" s="1"/>
  <c r="D69" i="28"/>
  <c r="D76" i="28" s="1"/>
  <c r="D73" i="27"/>
  <c r="D69" i="27"/>
  <c r="D76" i="27" s="1"/>
  <c r="D56" i="46"/>
  <c r="K56" i="46" s="1"/>
  <c r="D68" i="10"/>
  <c r="D75" i="10" s="1"/>
  <c r="C75" i="8"/>
  <c r="L6" i="45"/>
  <c r="C62" i="8"/>
  <c r="E6" i="45"/>
  <c r="C68" i="8"/>
  <c r="I6" i="45"/>
  <c r="D69" i="42"/>
  <c r="D73" i="42"/>
  <c r="D69" i="41"/>
  <c r="D73" i="41"/>
  <c r="D76" i="17"/>
  <c r="G6" i="45"/>
  <c r="H44" i="8"/>
  <c r="H56" i="8" s="1"/>
  <c r="J6" i="45" s="1"/>
  <c r="D44" i="8"/>
  <c r="D56" i="8" s="1"/>
  <c r="F6" i="45" s="1"/>
  <c r="C67" i="8"/>
  <c r="C72" i="8"/>
  <c r="F12" i="59" l="1"/>
  <c r="G40" i="45"/>
  <c r="J12" i="59"/>
  <c r="L40" i="45"/>
  <c r="H49" i="56" s="1"/>
  <c r="R12" i="59"/>
  <c r="R46" i="59" s="1"/>
  <c r="L12" i="59"/>
  <c r="K46" i="59"/>
  <c r="F40" i="45"/>
  <c r="H48" i="56" s="1"/>
  <c r="H12" i="59"/>
  <c r="H46" i="59" s="1"/>
  <c r="I40" i="45"/>
  <c r="M12" i="59"/>
  <c r="M46" i="59" s="1"/>
  <c r="J40" i="45"/>
  <c r="H45" i="56" s="1"/>
  <c r="O12" i="59"/>
  <c r="T11" i="59"/>
  <c r="D76" i="30"/>
  <c r="D76" i="37"/>
  <c r="D76" i="39"/>
  <c r="D76" i="13"/>
  <c r="D76" i="36"/>
  <c r="D76" i="43"/>
  <c r="D76" i="15"/>
  <c r="D76" i="35"/>
  <c r="D76" i="16"/>
  <c r="D76" i="20"/>
  <c r="D76" i="34"/>
  <c r="D76" i="21"/>
  <c r="D76" i="14"/>
  <c r="D76" i="19"/>
  <c r="D76" i="12"/>
  <c r="D76" i="25"/>
  <c r="D76" i="38"/>
  <c r="D76" i="22"/>
  <c r="D76" i="11"/>
  <c r="D76" i="32"/>
  <c r="D76" i="23"/>
  <c r="D76" i="44"/>
  <c r="D76" i="26"/>
  <c r="D76" i="29"/>
  <c r="K44" i="8"/>
  <c r="K56" i="8"/>
  <c r="C63" i="46"/>
  <c r="H45" i="49" s="1"/>
  <c r="H46" i="49" s="1"/>
  <c r="E40" i="45"/>
  <c r="M6" i="45"/>
  <c r="D67" i="46"/>
  <c r="D62" i="46"/>
  <c r="D75" i="46"/>
  <c r="D72" i="46"/>
  <c r="D68" i="46"/>
  <c r="D71" i="46"/>
  <c r="D66" i="46"/>
  <c r="D63" i="46"/>
  <c r="D76" i="42"/>
  <c r="D76" i="41"/>
  <c r="C66" i="8"/>
  <c r="C69" i="8" s="1"/>
  <c r="C71" i="8"/>
  <c r="C73" i="8" s="1"/>
  <c r="C63" i="8"/>
  <c r="C64" i="8" s="1"/>
  <c r="H44" i="56" l="1"/>
  <c r="B45" i="49"/>
  <c r="B46" i="49" s="1"/>
  <c r="E49" i="49" s="1"/>
  <c r="Q12" i="59"/>
  <c r="Q46" i="59" s="1"/>
  <c r="O46" i="59"/>
  <c r="N12" i="59"/>
  <c r="N46" i="59" s="1"/>
  <c r="J46" i="59"/>
  <c r="S12" i="59"/>
  <c r="I12" i="59"/>
  <c r="I46" i="59" s="1"/>
  <c r="G12" i="59"/>
  <c r="F46" i="59"/>
  <c r="M40" i="45"/>
  <c r="H47" i="56"/>
  <c r="C64" i="46"/>
  <c r="C76" i="46" s="1"/>
  <c r="D73" i="46"/>
  <c r="D69" i="46"/>
  <c r="D64" i="46"/>
  <c r="C76" i="8"/>
  <c r="D72" i="8"/>
  <c r="D71" i="8"/>
  <c r="D75" i="8"/>
  <c r="D62" i="8"/>
  <c r="D68" i="8"/>
  <c r="D67" i="8"/>
  <c r="D63" i="8"/>
  <c r="D66" i="8"/>
  <c r="H50" i="56" l="1"/>
  <c r="T12" i="59"/>
  <c r="S46" i="59"/>
  <c r="D76" i="46"/>
  <c r="D64" i="8"/>
  <c r="D69" i="8"/>
  <c r="D73" i="8"/>
  <c r="D76" i="8" l="1"/>
</calcChain>
</file>

<file path=xl/comments1.xml><?xml version="1.0" encoding="utf-8"?>
<comments xmlns="http://schemas.openxmlformats.org/spreadsheetml/2006/main">
  <authors>
    <author>Messer, Charles G  (DOH)</author>
  </authors>
  <commentList>
    <comment ref="H44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DO NOT INPUT - TABULATES OFF THE 35 INDIVIDUAL LHJ WORKSHEETS</t>
        </r>
      </text>
    </comment>
  </commentList>
</comments>
</file>

<file path=xl/comments10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8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9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0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8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9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0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8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9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sharedStrings.xml><?xml version="1.0" encoding="utf-8"?>
<sst xmlns="http://schemas.openxmlformats.org/spreadsheetml/2006/main" count="3494" uniqueCount="192">
  <si>
    <t>Total Expenditures</t>
  </si>
  <si>
    <t>State from DOH</t>
  </si>
  <si>
    <t>County Public Health Assistance</t>
  </si>
  <si>
    <t xml:space="preserve">State from Other </t>
  </si>
  <si>
    <t>Federal through DOH</t>
  </si>
  <si>
    <t>Federal from Other</t>
  </si>
  <si>
    <t>Licenses, Permits &amp; Fees</t>
  </si>
  <si>
    <t>FTE Count</t>
  </si>
  <si>
    <t>Misc/Fund Balance/ Other</t>
  </si>
  <si>
    <t>Administration/Policy Development</t>
  </si>
  <si>
    <t>Child Death Review</t>
  </si>
  <si>
    <t>Oral Health</t>
  </si>
  <si>
    <t>Immunization</t>
  </si>
  <si>
    <t>Tuberculosis</t>
  </si>
  <si>
    <t>HIV/AIDS</t>
  </si>
  <si>
    <t>Other Communicable Disease</t>
  </si>
  <si>
    <t>Cardiovascular Risk Reduction</t>
  </si>
  <si>
    <t>Obesity</t>
  </si>
  <si>
    <t>Drinking Water Quality</t>
  </si>
  <si>
    <t>Vector</t>
  </si>
  <si>
    <t>Food</t>
  </si>
  <si>
    <t>Environmental Water Quality</t>
  </si>
  <si>
    <t>Vital Records</t>
  </si>
  <si>
    <t>Laboratory</t>
  </si>
  <si>
    <t>General Health Education</t>
  </si>
  <si>
    <t>Pharmacy</t>
  </si>
  <si>
    <t>Epidemiology</t>
  </si>
  <si>
    <t>Assessment Activities</t>
  </si>
  <si>
    <t>Miscellaneous</t>
  </si>
  <si>
    <t>CHILD Profile</t>
  </si>
  <si>
    <t>Public Health Sub-Total</t>
  </si>
  <si>
    <t>Corrections Services</t>
  </si>
  <si>
    <t>Emergency Services</t>
  </si>
  <si>
    <t>Juvenile Services</t>
  </si>
  <si>
    <t>Medicaid Outreach</t>
  </si>
  <si>
    <t>Aging Services</t>
  </si>
  <si>
    <t>Coroner Services</t>
  </si>
  <si>
    <t>Mental/Physical Health</t>
  </si>
  <si>
    <t>Substance Abuse</t>
  </si>
  <si>
    <t>Developmental Disabilities</t>
  </si>
  <si>
    <t>Percentage</t>
  </si>
  <si>
    <t>State from Other</t>
  </si>
  <si>
    <t>Total</t>
  </si>
  <si>
    <t>Amount</t>
  </si>
  <si>
    <t>Family Planning Non-Title X</t>
  </si>
  <si>
    <t>Family Planning Title X</t>
  </si>
  <si>
    <t>Other Family &amp; Individual Health</t>
  </si>
  <si>
    <t>Other Non-Communicable Disease</t>
  </si>
  <si>
    <t>Living Environment</t>
  </si>
  <si>
    <t>Other Environmental Health</t>
  </si>
  <si>
    <t>Services Performed by Other Agency</t>
  </si>
  <si>
    <t>Emergency Preparedness and Response</t>
  </si>
  <si>
    <t>Maternal/Infant/Child/Adolescent Health</t>
  </si>
  <si>
    <t>Children with Special Health Care Needs</t>
  </si>
  <si>
    <t>Women, Infant, Children (WIC)</t>
  </si>
  <si>
    <t>Sexually Transmitted Diseases</t>
  </si>
  <si>
    <t>Cancer Prevention and Control</t>
  </si>
  <si>
    <t>Tobacco Prevention and Control</t>
  </si>
  <si>
    <t>Violence and Injury Prevention</t>
  </si>
  <si>
    <t>Solid and Hazardous Waste</t>
  </si>
  <si>
    <t>OSS and Land Development</t>
  </si>
  <si>
    <t>Chemical and Physical</t>
  </si>
  <si>
    <t>CPS/EIP/ARS/MAA</t>
  </si>
  <si>
    <t>Local Government Contributions</t>
  </si>
  <si>
    <t>Federal  from Other</t>
  </si>
  <si>
    <t>562</t>
  </si>
  <si>
    <t>Expenditure Code Title</t>
  </si>
  <si>
    <t>Exp. Code</t>
  </si>
  <si>
    <t>Other Classified Expenditures</t>
  </si>
  <si>
    <t>State</t>
  </si>
  <si>
    <t>Federal</t>
  </si>
  <si>
    <t>Local</t>
  </si>
  <si>
    <t>Other</t>
  </si>
  <si>
    <t>Total - State Funded Expenditures</t>
  </si>
  <si>
    <t>Total - Federal Funded Expenditures</t>
  </si>
  <si>
    <t>Total - Local Funded Expenditures</t>
  </si>
  <si>
    <t>EXPENDITURE SUMMARY</t>
  </si>
  <si>
    <t>Total - Other Funded Expenditures</t>
  </si>
  <si>
    <t>Adams</t>
  </si>
  <si>
    <t>Benton-Franklin</t>
  </si>
  <si>
    <t>Chelan-Douglas</t>
  </si>
  <si>
    <t>Basis of Accounting</t>
  </si>
  <si>
    <t>FTE's</t>
  </si>
  <si>
    <t>Asotin</t>
  </si>
  <si>
    <t>Clallam</t>
  </si>
  <si>
    <t>Clark</t>
  </si>
  <si>
    <t>Columbia</t>
  </si>
  <si>
    <t>Cowlitz</t>
  </si>
  <si>
    <t>Garfield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</si>
  <si>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</si>
  <si>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</si>
  <si>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</si>
  <si>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</si>
  <si>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</si>
  <si>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</si>
  <si>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</si>
  <si>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</si>
  <si>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</si>
  <si>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</si>
  <si>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 xml:space="preserve">NE Tri </t>
  </si>
  <si>
    <t>Okanogan</t>
  </si>
  <si>
    <t>Pacific</t>
  </si>
  <si>
    <t>San Juan</t>
  </si>
  <si>
    <t>Seattle-King</t>
  </si>
  <si>
    <t>Skagit</t>
  </si>
  <si>
    <t>Skamania</t>
  </si>
  <si>
    <t>Snohomish</t>
  </si>
  <si>
    <t>Spokane</t>
  </si>
  <si>
    <t>Tacoma-Pierce</t>
  </si>
  <si>
    <t>Thurston</t>
  </si>
  <si>
    <t>Wahkiakim</t>
  </si>
  <si>
    <t>Walla Walla</t>
  </si>
  <si>
    <t>Whatcom</t>
  </si>
  <si>
    <t>Whitman</t>
  </si>
  <si>
    <t>Yakima</t>
  </si>
  <si>
    <t>Misc/Fund Balance/Other</t>
  </si>
  <si>
    <t>Total - Other</t>
  </si>
  <si>
    <t>Revenue from State</t>
  </si>
  <si>
    <t>Revenue from Federal</t>
  </si>
  <si>
    <t>Revenue from Local</t>
  </si>
  <si>
    <t>334.04.91</t>
  </si>
  <si>
    <t>336.04.24</t>
  </si>
  <si>
    <t>334's (not DOH)</t>
  </si>
  <si>
    <t>333's</t>
  </si>
  <si>
    <t>331's</t>
  </si>
  <si>
    <t>310's</t>
  </si>
  <si>
    <t>320's</t>
  </si>
  <si>
    <t>200's</t>
  </si>
  <si>
    <t>334.04.93</t>
  </si>
  <si>
    <t>335's</t>
  </si>
  <si>
    <t>339's</t>
  </si>
  <si>
    <t>332's</t>
  </si>
  <si>
    <t>340's (Includes 338 when used)</t>
  </si>
  <si>
    <t>308.00</t>
  </si>
  <si>
    <t>334.04.94</t>
  </si>
  <si>
    <t>336's (except MVET)</t>
  </si>
  <si>
    <t>333's (not DOH)</t>
  </si>
  <si>
    <t>390's</t>
  </si>
  <si>
    <t>350's</t>
  </si>
  <si>
    <t>360's (except 368)</t>
  </si>
  <si>
    <t>334.04.95</t>
  </si>
  <si>
    <t>339's (not DOH)</t>
  </si>
  <si>
    <t>370's</t>
  </si>
  <si>
    <t>*338</t>
  </si>
  <si>
    <t>380's</t>
  </si>
  <si>
    <t>334.04.96</t>
  </si>
  <si>
    <t>334.04.97</t>
  </si>
  <si>
    <t>334.04.98</t>
  </si>
  <si>
    <t>Local Government Contribution</t>
  </si>
  <si>
    <t>Licenses Permits &amp; Fees</t>
  </si>
  <si>
    <t>Federal from DOH</t>
  </si>
  <si>
    <t>Cash</t>
  </si>
  <si>
    <t>Accrual</t>
  </si>
  <si>
    <t>OFM April 2016 Population Estimate</t>
  </si>
  <si>
    <t>Revenue Source Type</t>
  </si>
  <si>
    <t xml:space="preserve">Revenue from State </t>
  </si>
  <si>
    <t>Ranges</t>
  </si>
  <si>
    <t>From</t>
  </si>
  <si>
    <t xml:space="preserve">To  </t>
  </si>
  <si>
    <t>Jurisdiction Population:</t>
  </si>
  <si>
    <t>LHJ Full-time Equivalents Staffing:</t>
  </si>
  <si>
    <t>County Public Health Assistance per Capita:</t>
  </si>
  <si>
    <t>Expenditures:</t>
  </si>
  <si>
    <t>LHJ Local Contribution:</t>
  </si>
  <si>
    <t>Expenditures per Capita:</t>
  </si>
  <si>
    <t>LHJ Local Contribution per Capita:</t>
  </si>
  <si>
    <t>LHJ</t>
  </si>
  <si>
    <t>Population</t>
  </si>
  <si>
    <t>FTEs</t>
  </si>
  <si>
    <t>Pop/FTE</t>
  </si>
  <si>
    <t>Federal thru DOH</t>
  </si>
  <si>
    <t>Local Gov't Contr</t>
  </si>
  <si>
    <t>Licenses, Permits, Fees</t>
  </si>
  <si>
    <t>Northeast Tri</t>
  </si>
  <si>
    <t>Wahkiakum</t>
  </si>
  <si>
    <t>Totals</t>
  </si>
  <si>
    <t>N.A.</t>
  </si>
  <si>
    <t>Local Health Jurisdictions Public Health Expenditures</t>
  </si>
  <si>
    <t>Calendar Year 2016</t>
  </si>
  <si>
    <t>Local Gov't Contr/Pop</t>
  </si>
  <si>
    <t>TOTAL FROM LOCAL</t>
  </si>
  <si>
    <t>CPHA/Pop</t>
  </si>
  <si>
    <t>TOTAL FROM STATE</t>
  </si>
  <si>
    <t>TOTAL FROM FEDERAL</t>
  </si>
  <si>
    <t>Misc, Fund Balance, Other</t>
  </si>
  <si>
    <t>TOTAL EXPENDITURES</t>
  </si>
  <si>
    <t>Expenditures/Pop</t>
  </si>
  <si>
    <t>Basis of Accounting:</t>
  </si>
  <si>
    <t xml:space="preserve">Basis of Accounting: </t>
  </si>
  <si>
    <t>NOTE:  Effective 2013, SAO eliminated BARS revenue code 338.  Fees-for-service revenue is now recorded under BARS revenue code 340.</t>
  </si>
  <si>
    <t>Data source: BARS A Reports.  Compiled by DOH</t>
  </si>
  <si>
    <t xml:space="preserve">Total All Expenditues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</si>
</sst>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Arial Narrow"/>
      <family val="2"/>
    </font>
    <font>
      <b/>
      <sz val="20"/>
      <color theme="1"/>
      <name val="Arial"/>
      <family val="2"/>
    </font>
    <font>
      <b/>
      <u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5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Fill="0" applyBorder="0" applyAlignment="0" applyProtection="0"/>
    <xf numFmtId="0" fontId="8" fillId="26" borderId="0" applyNumberFormat="0" applyBorder="0" applyAlignment="0" applyProtection="0"/>
    <xf numFmtId="0" fontId="9" fillId="27" borderId="49" applyNumberFormat="0" applyAlignment="0" applyProtection="0"/>
    <xf numFmtId="0" fontId="10" fillId="28" borderId="50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1" applyNumberFormat="0" applyFill="0" applyAlignment="0" applyProtection="0"/>
    <xf numFmtId="0" fontId="14" fillId="0" borderId="52" applyNumberFormat="0" applyFill="0" applyAlignment="0" applyProtection="0"/>
    <xf numFmtId="0" fontId="15" fillId="0" borderId="5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49" applyNumberFormat="0" applyAlignment="0" applyProtection="0"/>
    <xf numFmtId="0" fontId="18" fillId="0" borderId="54" applyNumberFormat="0" applyFill="0" applyAlignment="0" applyProtection="0"/>
    <xf numFmtId="0" fontId="19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6" fillId="32" borderId="55" applyNumberFormat="0" applyFont="0" applyAlignment="0" applyProtection="0"/>
    <xf numFmtId="0" fontId="20" fillId="27" borderId="56" applyNumberForma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7" applyNumberFormat="0" applyFill="0" applyAlignment="0" applyProtection="0"/>
    <xf numFmtId="0" fontId="2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</cellStyleXfs>
  <cellXfs count="445">
    <xf numFmtId="0" fontId="0" fillId="0" borderId="0" xfId="0"/>
    <xf numFmtId="0" fontId="1" fillId="0" borderId="0" xfId="43"/>
    <xf numFmtId="3" fontId="1" fillId="0" borderId="0" xfId="43" applyNumberFormat="1"/>
    <xf numFmtId="0" fontId="1" fillId="0" borderId="0" xfId="43" applyBorder="1"/>
    <xf numFmtId="0" fontId="3" fillId="0" borderId="0" xfId="43" applyFont="1" applyBorder="1"/>
    <xf numFmtId="3" fontId="1" fillId="0" borderId="9" xfId="43" applyNumberFormat="1" applyBorder="1"/>
    <xf numFmtId="10" fontId="2" fillId="0" borderId="10" xfId="43" applyNumberFormat="1" applyFont="1" applyBorder="1" applyAlignment="1">
      <alignment horizontal="left" indent="2"/>
    </xf>
    <xf numFmtId="164" fontId="1" fillId="0" borderId="11" xfId="43" applyNumberFormat="1" applyBorder="1"/>
    <xf numFmtId="10" fontId="2" fillId="0" borderId="10" xfId="43" applyNumberFormat="1" applyFont="1" applyFill="1" applyBorder="1" applyAlignment="1">
      <alignment horizontal="left" indent="2"/>
    </xf>
    <xf numFmtId="3" fontId="1" fillId="0" borderId="12" xfId="43" applyNumberFormat="1" applyBorder="1"/>
    <xf numFmtId="164" fontId="1" fillId="0" borderId="13" xfId="43" applyNumberFormat="1" applyBorder="1"/>
    <xf numFmtId="3" fontId="1" fillId="33" borderId="9" xfId="43" applyNumberFormat="1" applyFill="1" applyBorder="1" applyAlignment="1">
      <alignment horizontal="center"/>
    </xf>
    <xf numFmtId="164" fontId="1" fillId="0" borderId="11" xfId="43" applyNumberFormat="1" applyBorder="1" applyAlignment="1">
      <alignment horizontal="center"/>
    </xf>
    <xf numFmtId="3" fontId="3" fillId="0" borderId="0" xfId="43" applyNumberFormat="1" applyFont="1" applyBorder="1"/>
    <xf numFmtId="0" fontId="1" fillId="0" borderId="2" xfId="43" applyFill="1" applyBorder="1"/>
    <xf numFmtId="0" fontId="1" fillId="0" borderId="14" xfId="43" applyFill="1" applyBorder="1"/>
    <xf numFmtId="0" fontId="1" fillId="0" borderId="0" xfId="43" applyFill="1" applyBorder="1"/>
    <xf numFmtId="3" fontId="1" fillId="0" borderId="18" xfId="43" applyNumberFormat="1" applyFill="1" applyBorder="1" applyAlignment="1">
      <alignment horizontal="center"/>
    </xf>
    <xf numFmtId="164" fontId="1" fillId="0" borderId="19" xfId="43" applyNumberFormat="1" applyFill="1" applyBorder="1" applyAlignment="1">
      <alignment horizontal="center"/>
    </xf>
    <xf numFmtId="3" fontId="2" fillId="0" borderId="9" xfId="43" applyNumberFormat="1" applyFont="1" applyFill="1" applyBorder="1"/>
    <xf numFmtId="164" fontId="1" fillId="0" borderId="11" xfId="43" applyNumberFormat="1" applyFill="1" applyBorder="1"/>
    <xf numFmtId="3" fontId="1" fillId="0" borderId="9" xfId="43" applyNumberFormat="1" applyFill="1" applyBorder="1"/>
    <xf numFmtId="3" fontId="1" fillId="0" borderId="12" xfId="43" applyNumberFormat="1" applyFill="1" applyBorder="1"/>
    <xf numFmtId="164" fontId="3" fillId="0" borderId="21" xfId="43" applyNumberFormat="1" applyFont="1" applyFill="1" applyBorder="1"/>
    <xf numFmtId="3" fontId="1" fillId="0" borderId="9" xfId="43" applyNumberFormat="1" applyFill="1" applyBorder="1" applyAlignment="1">
      <alignment horizontal="center"/>
    </xf>
    <xf numFmtId="164" fontId="1" fillId="0" borderId="11" xfId="43" applyNumberFormat="1" applyFill="1" applyBorder="1" applyAlignment="1">
      <alignment horizontal="center"/>
    </xf>
    <xf numFmtId="10" fontId="2" fillId="0" borderId="22" xfId="43" applyNumberFormat="1" applyFont="1" applyFill="1" applyBorder="1" applyAlignment="1">
      <alignment horizontal="left" indent="2"/>
    </xf>
    <xf numFmtId="10" fontId="2" fillId="0" borderId="22" xfId="43" applyNumberFormat="1" applyFont="1" applyBorder="1" applyAlignment="1">
      <alignment horizontal="left" indent="2"/>
    </xf>
    <xf numFmtId="0" fontId="2" fillId="0" borderId="0" xfId="43" applyFont="1" applyFill="1" applyBorder="1"/>
    <xf numFmtId="0" fontId="3" fillId="0" borderId="27" xfId="43" applyFont="1" applyFill="1" applyBorder="1" applyAlignment="1"/>
    <xf numFmtId="0" fontId="1" fillId="0" borderId="22" xfId="43" applyFill="1" applyBorder="1" applyAlignment="1">
      <alignment horizontal="right"/>
    </xf>
    <xf numFmtId="3" fontId="3" fillId="0" borderId="12" xfId="43" applyNumberFormat="1" applyFont="1" applyFill="1" applyBorder="1" applyAlignment="1">
      <alignment horizontal="center"/>
    </xf>
    <xf numFmtId="3" fontId="3" fillId="0" borderId="13" xfId="43" applyNumberFormat="1" applyFont="1" applyFill="1" applyBorder="1" applyAlignment="1">
      <alignment horizontal="center"/>
    </xf>
    <xf numFmtId="0" fontId="1" fillId="0" borderId="25" xfId="43" applyFont="1" applyFill="1" applyBorder="1" applyAlignment="1">
      <alignment horizontal="left"/>
    </xf>
    <xf numFmtId="10" fontId="1" fillId="0" borderId="10" xfId="43" applyNumberFormat="1" applyFont="1" applyFill="1" applyBorder="1" applyAlignment="1">
      <alignment horizontal="left"/>
    </xf>
    <xf numFmtId="0" fontId="24" fillId="0" borderId="38" xfId="0" applyFont="1" applyBorder="1"/>
    <xf numFmtId="3" fontId="24" fillId="0" borderId="39" xfId="0" applyNumberFormat="1" applyFont="1" applyBorder="1"/>
    <xf numFmtId="164" fontId="24" fillId="0" borderId="40" xfId="0" applyNumberFormat="1" applyFont="1" applyBorder="1"/>
    <xf numFmtId="0" fontId="2" fillId="0" borderId="32" xfId="43" applyFont="1" applyFill="1" applyBorder="1" applyAlignment="1">
      <alignment horizontal="center" wrapText="1"/>
    </xf>
    <xf numFmtId="0" fontId="3" fillId="34" borderId="23" xfId="43" applyFont="1" applyFill="1" applyBorder="1"/>
    <xf numFmtId="0" fontId="1" fillId="33" borderId="0" xfId="43" applyFill="1"/>
    <xf numFmtId="0" fontId="2" fillId="33" borderId="24" xfId="43" applyFont="1" applyFill="1" applyBorder="1" applyAlignment="1">
      <alignment horizontal="center" wrapText="1"/>
    </xf>
    <xf numFmtId="0" fontId="0" fillId="33" borderId="0" xfId="0" applyFill="1"/>
    <xf numFmtId="0" fontId="2" fillId="33" borderId="32" xfId="43" applyFont="1" applyFill="1" applyBorder="1" applyAlignment="1">
      <alignment horizontal="center" wrapText="1"/>
    </xf>
    <xf numFmtId="38" fontId="1" fillId="33" borderId="5" xfId="43" applyNumberFormat="1" applyFill="1" applyBorder="1" applyAlignment="1">
      <alignment horizontal="right"/>
    </xf>
    <xf numFmtId="0" fontId="1" fillId="33" borderId="24" xfId="43" applyFont="1" applyFill="1" applyBorder="1" applyAlignment="1">
      <alignment horizontal="center" wrapText="1"/>
    </xf>
    <xf numFmtId="0" fontId="1" fillId="33" borderId="32" xfId="43" applyFill="1" applyBorder="1" applyAlignment="1">
      <alignment horizontal="center" wrapText="1"/>
    </xf>
    <xf numFmtId="0" fontId="0" fillId="33" borderId="0" xfId="0" applyFill="1" applyAlignment="1"/>
    <xf numFmtId="0" fontId="1" fillId="33" borderId="35" xfId="43" applyFont="1" applyFill="1" applyBorder="1" applyAlignment="1">
      <alignment horizontal="center" wrapText="1"/>
    </xf>
    <xf numFmtId="0" fontId="1" fillId="33" borderId="34" xfId="43" applyFont="1" applyFill="1" applyBorder="1" applyAlignment="1">
      <alignment horizontal="center" wrapText="1"/>
    </xf>
    <xf numFmtId="0" fontId="1" fillId="33" borderId="37" xfId="43" applyFill="1" applyBorder="1" applyAlignment="1">
      <alignment horizontal="center" wrapText="1"/>
    </xf>
    <xf numFmtId="38" fontId="1" fillId="33" borderId="41" xfId="43" applyNumberFormat="1" applyFill="1" applyBorder="1" applyAlignment="1">
      <alignment horizontal="right"/>
    </xf>
    <xf numFmtId="38" fontId="1" fillId="0" borderId="60" xfId="43" applyNumberFormat="1" applyFill="1" applyBorder="1" applyAlignment="1">
      <alignment horizontal="right"/>
    </xf>
    <xf numFmtId="3" fontId="3" fillId="0" borderId="64" xfId="43" applyNumberFormat="1" applyFont="1" applyBorder="1"/>
    <xf numFmtId="164" fontId="3" fillId="0" borderId="48" xfId="43" applyNumberFormat="1" applyFont="1" applyBorder="1"/>
    <xf numFmtId="164" fontId="1" fillId="0" borderId="65" xfId="43" applyNumberFormat="1" applyFill="1" applyBorder="1"/>
    <xf numFmtId="0" fontId="1" fillId="33" borderId="0" xfId="43" applyFill="1" applyBorder="1"/>
    <xf numFmtId="2" fontId="3" fillId="0" borderId="0" xfId="43" applyNumberFormat="1" applyFont="1" applyBorder="1"/>
    <xf numFmtId="165" fontId="0" fillId="0" borderId="0" xfId="50" applyNumberFormat="1" applyFont="1"/>
    <xf numFmtId="38" fontId="25" fillId="33" borderId="75" xfId="43" applyNumberFormat="1" applyFont="1" applyFill="1" applyBorder="1" applyAlignment="1">
      <alignment horizontal="right"/>
    </xf>
    <xf numFmtId="38" fontId="25" fillId="33" borderId="73" xfId="43" applyNumberFormat="1" applyFont="1" applyFill="1" applyBorder="1" applyAlignment="1">
      <alignment horizontal="right"/>
    </xf>
    <xf numFmtId="38" fontId="25" fillId="33" borderId="72" xfId="43" applyNumberFormat="1" applyFont="1" applyFill="1" applyBorder="1" applyAlignment="1">
      <alignment horizontal="right"/>
    </xf>
    <xf numFmtId="38" fontId="25" fillId="0" borderId="75" xfId="43" applyNumberFormat="1" applyFont="1" applyFill="1" applyBorder="1" applyAlignment="1">
      <alignment horizontal="right"/>
    </xf>
    <xf numFmtId="38" fontId="25" fillId="33" borderId="76" xfId="43" applyNumberFormat="1" applyFont="1" applyFill="1" applyBorder="1" applyAlignment="1">
      <alignment horizontal="right"/>
    </xf>
    <xf numFmtId="38" fontId="1" fillId="33" borderId="77" xfId="43" applyNumberFormat="1" applyFill="1" applyBorder="1" applyAlignment="1">
      <alignment horizontal="right"/>
    </xf>
    <xf numFmtId="38" fontId="1" fillId="33" borderId="60" xfId="43" applyNumberFormat="1" applyFill="1" applyBorder="1" applyAlignment="1">
      <alignment horizontal="right"/>
    </xf>
    <xf numFmtId="38" fontId="1" fillId="33" borderId="11" xfId="43" applyNumberFormat="1" applyFill="1" applyBorder="1" applyAlignment="1">
      <alignment horizontal="right"/>
    </xf>
    <xf numFmtId="38" fontId="1" fillId="0" borderId="79" xfId="43" applyNumberFormat="1" applyFill="1" applyBorder="1" applyAlignment="1">
      <alignment horizontal="right"/>
    </xf>
    <xf numFmtId="0" fontId="1" fillId="0" borderId="80" xfId="43" applyBorder="1"/>
    <xf numFmtId="165" fontId="1" fillId="0" borderId="80" xfId="50" applyNumberFormat="1" applyFont="1" applyBorder="1"/>
    <xf numFmtId="0" fontId="1" fillId="0" borderId="81" xfId="43" applyBorder="1"/>
    <xf numFmtId="0" fontId="1" fillId="0" borderId="82" xfId="43" applyBorder="1"/>
    <xf numFmtId="41" fontId="1" fillId="0" borderId="1" xfId="50" applyNumberFormat="1" applyFont="1" applyFill="1" applyBorder="1" applyAlignment="1">
      <alignment horizontal="left"/>
    </xf>
    <xf numFmtId="0" fontId="3" fillId="33" borderId="69" xfId="43" applyFont="1" applyFill="1" applyBorder="1" applyAlignment="1">
      <alignment horizontal="center"/>
    </xf>
    <xf numFmtId="0" fontId="1" fillId="0" borderId="83" xfId="43" applyFill="1" applyBorder="1" applyAlignment="1">
      <alignment horizontal="center" wrapText="1"/>
    </xf>
    <xf numFmtId="0" fontId="1" fillId="0" borderId="0" xfId="43" applyFill="1" applyBorder="1" applyAlignment="1">
      <alignment horizontal="center" wrapText="1"/>
    </xf>
    <xf numFmtId="165" fontId="1" fillId="0" borderId="0" xfId="50" applyNumberFormat="1" applyFont="1" applyFill="1" applyBorder="1" applyAlignment="1">
      <alignment horizontal="center" wrapText="1"/>
    </xf>
    <xf numFmtId="0" fontId="1" fillId="0" borderId="84" xfId="43" applyFill="1" applyBorder="1" applyAlignment="1">
      <alignment horizontal="center"/>
    </xf>
    <xf numFmtId="41" fontId="1" fillId="0" borderId="43" xfId="50" applyNumberFormat="1" applyFont="1" applyFill="1" applyBorder="1" applyAlignment="1">
      <alignment horizontal="left"/>
    </xf>
    <xf numFmtId="2" fontId="1" fillId="0" borderId="5" xfId="43" applyNumberFormat="1" applyFill="1" applyBorder="1" applyAlignment="1">
      <alignment horizontal="left"/>
    </xf>
    <xf numFmtId="0" fontId="1" fillId="0" borderId="78" xfId="43" applyFill="1" applyBorder="1"/>
    <xf numFmtId="0" fontId="1" fillId="33" borderId="85" xfId="43" applyFill="1" applyBorder="1" applyAlignment="1">
      <alignment horizontal="center" wrapText="1"/>
    </xf>
    <xf numFmtId="38" fontId="25" fillId="0" borderId="86" xfId="43" applyNumberFormat="1" applyFont="1" applyFill="1" applyBorder="1" applyAlignment="1">
      <alignment horizontal="right"/>
    </xf>
    <xf numFmtId="0" fontId="1" fillId="33" borderId="69" xfId="43" applyFill="1" applyBorder="1" applyAlignment="1">
      <alignment horizontal="center"/>
    </xf>
    <xf numFmtId="0" fontId="1" fillId="33" borderId="59" xfId="43" applyFill="1" applyBorder="1" applyAlignment="1">
      <alignment horizontal="center" wrapText="1"/>
    </xf>
    <xf numFmtId="0" fontId="3" fillId="0" borderId="3" xfId="43" applyFont="1" applyBorder="1"/>
    <xf numFmtId="0" fontId="1" fillId="0" borderId="89" xfId="43" applyBorder="1"/>
    <xf numFmtId="0" fontId="1" fillId="0" borderId="90" xfId="43" applyBorder="1"/>
    <xf numFmtId="0" fontId="1" fillId="0" borderId="21" xfId="43" applyFill="1" applyBorder="1"/>
    <xf numFmtId="0" fontId="3" fillId="33" borderId="0" xfId="43" applyFont="1" applyFill="1" applyBorder="1" applyAlignment="1">
      <alignment horizontal="right"/>
    </xf>
    <xf numFmtId="0" fontId="1" fillId="0" borderId="91" xfId="43" applyFill="1" applyBorder="1"/>
    <xf numFmtId="38" fontId="1" fillId="0" borderId="77" xfId="43" applyNumberFormat="1" applyFill="1" applyBorder="1" applyAlignment="1">
      <alignment horizontal="right"/>
    </xf>
    <xf numFmtId="2" fontId="1" fillId="0" borderId="92" xfId="43" applyNumberFormat="1" applyFill="1" applyBorder="1" applyAlignment="1">
      <alignment horizontal="left"/>
    </xf>
    <xf numFmtId="2" fontId="1" fillId="0" borderId="93" xfId="43" applyNumberFormat="1" applyFill="1" applyBorder="1" applyAlignment="1">
      <alignment horizontal="left"/>
    </xf>
    <xf numFmtId="2" fontId="1" fillId="0" borderId="95" xfId="43" applyNumberFormat="1" applyFill="1" applyBorder="1" applyAlignment="1">
      <alignment horizontal="left"/>
    </xf>
    <xf numFmtId="2" fontId="1" fillId="0" borderId="96" xfId="43" applyNumberFormat="1" applyFill="1" applyBorder="1" applyAlignment="1">
      <alignment horizontal="left"/>
    </xf>
    <xf numFmtId="2" fontId="3" fillId="34" borderId="97" xfId="43" quotePrefix="1" applyNumberFormat="1" applyFont="1" applyFill="1" applyBorder="1" applyAlignment="1">
      <alignment horizontal="left"/>
    </xf>
    <xf numFmtId="2" fontId="3" fillId="0" borderId="94" xfId="43" applyNumberFormat="1" applyFont="1" applyFill="1" applyBorder="1" applyAlignment="1">
      <alignment horizontal="left"/>
    </xf>
    <xf numFmtId="0" fontId="1" fillId="0" borderId="96" xfId="43" applyFill="1" applyBorder="1" applyAlignment="1">
      <alignment horizontal="center" wrapText="1"/>
    </xf>
    <xf numFmtId="43" fontId="3" fillId="0" borderId="0" xfId="50" applyFont="1" applyBorder="1"/>
    <xf numFmtId="3" fontId="1" fillId="33" borderId="5" xfId="43" applyNumberFormat="1" applyFill="1" applyBorder="1" applyAlignment="1">
      <alignment horizontal="right"/>
    </xf>
    <xf numFmtId="3" fontId="1" fillId="33" borderId="1" xfId="43" applyNumberFormat="1" applyFill="1" applyBorder="1" applyAlignment="1">
      <alignment horizontal="right"/>
    </xf>
    <xf numFmtId="3" fontId="1" fillId="33" borderId="6" xfId="43" applyNumberFormat="1" applyFill="1" applyBorder="1" applyAlignment="1">
      <alignment horizontal="right"/>
    </xf>
    <xf numFmtId="3" fontId="1" fillId="0" borderId="5" xfId="43" applyNumberFormat="1" applyFill="1" applyBorder="1" applyAlignment="1">
      <alignment horizontal="right"/>
    </xf>
    <xf numFmtId="3" fontId="1" fillId="33" borderId="41" xfId="43" applyNumberFormat="1" applyFill="1" applyBorder="1" applyAlignment="1">
      <alignment horizontal="right"/>
    </xf>
    <xf numFmtId="3" fontId="0" fillId="35" borderId="5" xfId="0" applyNumberFormat="1" applyFill="1" applyBorder="1"/>
    <xf numFmtId="3" fontId="1" fillId="33" borderId="3" xfId="43" applyNumberFormat="1" applyFill="1" applyBorder="1" applyAlignment="1">
      <alignment horizontal="right"/>
    </xf>
    <xf numFmtId="3" fontId="1" fillId="33" borderId="4" xfId="43" applyNumberFormat="1" applyFill="1" applyBorder="1" applyAlignment="1">
      <alignment horizontal="right"/>
    </xf>
    <xf numFmtId="3" fontId="1" fillId="33" borderId="7" xfId="43" applyNumberFormat="1" applyFill="1" applyBorder="1" applyAlignment="1">
      <alignment horizontal="right"/>
    </xf>
    <xf numFmtId="3" fontId="1" fillId="33" borderId="8" xfId="43" applyNumberFormat="1" applyFill="1" applyBorder="1" applyAlignment="1">
      <alignment horizontal="right"/>
    </xf>
    <xf numFmtId="3" fontId="1" fillId="33" borderId="42" xfId="43" applyNumberFormat="1" applyFill="1" applyBorder="1" applyAlignment="1">
      <alignment horizontal="right"/>
    </xf>
    <xf numFmtId="3" fontId="3" fillId="33" borderId="46" xfId="43" applyNumberFormat="1" applyFont="1" applyFill="1" applyBorder="1" applyAlignment="1">
      <alignment horizontal="right"/>
    </xf>
    <xf numFmtId="3" fontId="3" fillId="33" borderId="67" xfId="43" applyNumberFormat="1" applyFont="1" applyFill="1" applyBorder="1" applyAlignment="1">
      <alignment horizontal="right"/>
    </xf>
    <xf numFmtId="3" fontId="3" fillId="33" borderId="45" xfId="43" applyNumberFormat="1" applyFont="1" applyFill="1" applyBorder="1" applyAlignment="1">
      <alignment horizontal="right"/>
    </xf>
    <xf numFmtId="3" fontId="3" fillId="33" borderId="66" xfId="43" applyNumberFormat="1" applyFont="1" applyFill="1" applyBorder="1" applyAlignment="1">
      <alignment horizontal="right"/>
    </xf>
    <xf numFmtId="3" fontId="3" fillId="34" borderId="46" xfId="43" applyNumberFormat="1" applyFont="1" applyFill="1" applyBorder="1" applyAlignment="1">
      <alignment horizontal="right"/>
    </xf>
    <xf numFmtId="3" fontId="3" fillId="33" borderId="68" xfId="43" applyNumberFormat="1" applyFont="1" applyFill="1" applyBorder="1" applyAlignment="1">
      <alignment horizontal="right"/>
    </xf>
    <xf numFmtId="3" fontId="1" fillId="33" borderId="31" xfId="43" applyNumberFormat="1" applyFill="1" applyBorder="1" applyAlignment="1">
      <alignment horizontal="right"/>
    </xf>
    <xf numFmtId="3" fontId="1" fillId="33" borderId="43" xfId="43" applyNumberFormat="1" applyFill="1" applyBorder="1" applyAlignment="1">
      <alignment horizontal="right"/>
    </xf>
    <xf numFmtId="3" fontId="1" fillId="33" borderId="47" xfId="43" applyNumberFormat="1" applyFill="1" applyBorder="1" applyAlignment="1">
      <alignment horizontal="right"/>
    </xf>
    <xf numFmtId="3" fontId="1" fillId="33" borderId="33" xfId="43" applyNumberFormat="1" applyFill="1" applyBorder="1" applyAlignment="1">
      <alignment horizontal="right"/>
    </xf>
    <xf numFmtId="3" fontId="1" fillId="0" borderId="4" xfId="43" applyNumberFormat="1" applyFill="1" applyBorder="1" applyAlignment="1">
      <alignment horizontal="right"/>
    </xf>
    <xf numFmtId="3" fontId="3" fillId="33" borderId="28" xfId="43" applyNumberFormat="1" applyFont="1" applyFill="1" applyBorder="1" applyAlignment="1">
      <alignment horizontal="right"/>
    </xf>
    <xf numFmtId="3" fontId="3" fillId="33" borderId="26" xfId="43" applyNumberFormat="1" applyFont="1" applyFill="1" applyBorder="1" applyAlignment="1">
      <alignment horizontal="right"/>
    </xf>
    <xf numFmtId="3" fontId="3" fillId="33" borderId="29" xfId="43" applyNumberFormat="1" applyFont="1" applyFill="1" applyBorder="1" applyAlignment="1">
      <alignment horizontal="right"/>
    </xf>
    <xf numFmtId="3" fontId="3" fillId="33" borderId="30" xfId="43" applyNumberFormat="1" applyFont="1" applyFill="1" applyBorder="1" applyAlignment="1">
      <alignment horizontal="right"/>
    </xf>
    <xf numFmtId="3" fontId="3" fillId="0" borderId="28" xfId="43" applyNumberFormat="1" applyFont="1" applyFill="1" applyBorder="1" applyAlignment="1">
      <alignment horizontal="right"/>
    </xf>
    <xf numFmtId="3" fontId="3" fillId="33" borderId="27" xfId="43" applyNumberFormat="1" applyFont="1" applyFill="1" applyBorder="1" applyAlignment="1">
      <alignment horizontal="right"/>
    </xf>
    <xf numFmtId="3" fontId="3" fillId="33" borderId="58" xfId="43" applyNumberFormat="1" applyFont="1" applyFill="1" applyBorder="1" applyAlignment="1">
      <alignment horizontal="right"/>
    </xf>
    <xf numFmtId="3" fontId="1" fillId="0" borderId="60" xfId="43" applyNumberFormat="1" applyFill="1" applyBorder="1" applyAlignment="1">
      <alignment horizontal="right"/>
    </xf>
    <xf numFmtId="3" fontId="3" fillId="34" borderId="61" xfId="43" applyNumberFormat="1" applyFont="1" applyFill="1" applyBorder="1" applyAlignment="1">
      <alignment horizontal="right"/>
    </xf>
    <xf numFmtId="3" fontId="1" fillId="0" borderId="44" xfId="43" applyNumberFormat="1" applyFill="1" applyBorder="1" applyAlignment="1">
      <alignment horizontal="right"/>
    </xf>
    <xf numFmtId="3" fontId="3" fillId="0" borderId="62" xfId="43" applyNumberFormat="1" applyFont="1" applyFill="1" applyBorder="1" applyAlignment="1">
      <alignment horizontal="right"/>
    </xf>
    <xf numFmtId="0" fontId="1" fillId="0" borderId="101" xfId="43" applyBorder="1"/>
    <xf numFmtId="0" fontId="1" fillId="0" borderId="32" xfId="43" applyFill="1" applyBorder="1" applyAlignment="1">
      <alignment horizontal="center" wrapText="1"/>
    </xf>
    <xf numFmtId="2" fontId="1" fillId="0" borderId="102" xfId="43" applyNumberFormat="1" applyFill="1" applyBorder="1" applyAlignment="1">
      <alignment horizontal="left"/>
    </xf>
    <xf numFmtId="2" fontId="1" fillId="0" borderId="4" xfId="43" applyNumberFormat="1" applyFill="1" applyBorder="1" applyAlignment="1">
      <alignment horizontal="left"/>
    </xf>
    <xf numFmtId="2" fontId="3" fillId="34" borderId="46" xfId="43" quotePrefix="1" applyNumberFormat="1" applyFont="1" applyFill="1" applyBorder="1" applyAlignment="1">
      <alignment horizontal="left"/>
    </xf>
    <xf numFmtId="0" fontId="1" fillId="0" borderId="103" xfId="43" applyFill="1" applyBorder="1"/>
    <xf numFmtId="0" fontId="3" fillId="35" borderId="15" xfId="43" applyFont="1" applyFill="1" applyBorder="1" applyAlignment="1">
      <alignment horizontal="centerContinuous"/>
    </xf>
    <xf numFmtId="0" fontId="1" fillId="35" borderId="16" xfId="43" applyFill="1" applyBorder="1" applyAlignment="1">
      <alignment horizontal="centerContinuous"/>
    </xf>
    <xf numFmtId="3" fontId="1" fillId="35" borderId="17" xfId="43" applyNumberFormat="1" applyFill="1" applyBorder="1" applyAlignment="1">
      <alignment horizontal="centerContinuous"/>
    </xf>
    <xf numFmtId="10" fontId="3" fillId="35" borderId="36" xfId="43" applyNumberFormat="1" applyFont="1" applyFill="1" applyBorder="1" applyAlignment="1">
      <alignment horizontal="left"/>
    </xf>
    <xf numFmtId="10" fontId="3" fillId="35" borderId="22" xfId="43" applyNumberFormat="1" applyFont="1" applyFill="1" applyBorder="1" applyAlignment="1">
      <alignment horizontal="left" wrapText="1"/>
    </xf>
    <xf numFmtId="3" fontId="3" fillId="35" borderId="20" xfId="43" applyNumberFormat="1" applyFont="1" applyFill="1" applyBorder="1"/>
    <xf numFmtId="164" fontId="3" fillId="35" borderId="21" xfId="43" applyNumberFormat="1" applyFont="1" applyFill="1" applyBorder="1"/>
    <xf numFmtId="3" fontId="3" fillId="35" borderId="63" xfId="43" applyNumberFormat="1" applyFont="1" applyFill="1" applyBorder="1"/>
    <xf numFmtId="0" fontId="0" fillId="0" borderId="0" xfId="0" applyAlignment="1">
      <alignment horizontal="center"/>
    </xf>
    <xf numFmtId="4" fontId="1" fillId="0" borderId="19" xfId="43" applyNumberFormat="1" applyFill="1" applyBorder="1"/>
    <xf numFmtId="4" fontId="1" fillId="0" borderId="0" xfId="43" applyNumberFormat="1" applyFill="1" applyBorder="1"/>
    <xf numFmtId="4" fontId="2" fillId="0" borderId="0" xfId="43" applyNumberFormat="1" applyFont="1" applyFill="1" applyBorder="1"/>
    <xf numFmtId="4" fontId="25" fillId="0" borderId="74" xfId="43" applyNumberFormat="1" applyFont="1" applyFill="1" applyBorder="1"/>
    <xf numFmtId="2" fontId="1" fillId="0" borderId="43" xfId="43" applyNumberFormat="1" applyFill="1" applyBorder="1" applyAlignment="1">
      <alignment horizontal="center"/>
    </xf>
    <xf numFmtId="2" fontId="1" fillId="0" borderId="1" xfId="43" applyNumberFormat="1" applyFill="1" applyBorder="1" applyAlignment="1">
      <alignment horizontal="center"/>
    </xf>
    <xf numFmtId="2" fontId="1" fillId="0" borderId="0" xfId="51" applyNumberFormat="1" applyFont="1"/>
    <xf numFmtId="2" fontId="3" fillId="0" borderId="104" xfId="51" applyNumberFormat="1" applyFont="1" applyBorder="1"/>
    <xf numFmtId="2" fontId="1" fillId="0" borderId="104" xfId="51" applyNumberFormat="1" applyFont="1" applyBorder="1" applyAlignment="1">
      <alignment horizontal="center"/>
    </xf>
    <xf numFmtId="2" fontId="1" fillId="0" borderId="104" xfId="51" applyNumberFormat="1" applyFont="1" applyBorder="1"/>
    <xf numFmtId="43" fontId="1" fillId="0" borderId="0" xfId="50" applyFont="1"/>
    <xf numFmtId="166" fontId="1" fillId="0" borderId="104" xfId="50" applyNumberFormat="1" applyFont="1" applyBorder="1"/>
    <xf numFmtId="166" fontId="3" fillId="0" borderId="104" xfId="50" applyNumberFormat="1" applyFont="1" applyBorder="1"/>
    <xf numFmtId="166" fontId="1" fillId="0" borderId="0" xfId="50" applyNumberFormat="1" applyFont="1"/>
    <xf numFmtId="166" fontId="1" fillId="0" borderId="104" xfId="5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1" fillId="0" borderId="105" xfId="42" applyFont="1" applyBorder="1" applyAlignment="1">
      <alignment horizontal="center" wrapText="1"/>
    </xf>
    <xf numFmtId="0" fontId="1" fillId="0" borderId="4" xfId="42" applyFont="1" applyBorder="1" applyAlignment="1">
      <alignment horizontal="center" wrapText="1"/>
    </xf>
    <xf numFmtId="0" fontId="1" fillId="0" borderId="7" xfId="42" applyFont="1" applyBorder="1" applyAlignment="1">
      <alignment horizontal="center" wrapText="1"/>
    </xf>
    <xf numFmtId="0" fontId="1" fillId="0" borderId="8" xfId="42" applyFont="1" applyBorder="1" applyAlignment="1">
      <alignment horizontal="center" wrapText="1"/>
    </xf>
    <xf numFmtId="0" fontId="1" fillId="33" borderId="7" xfId="42" applyFont="1" applyFill="1" applyBorder="1" applyAlignment="1">
      <alignment horizontal="center" wrapText="1"/>
    </xf>
    <xf numFmtId="0" fontId="26" fillId="0" borderId="110" xfId="0" applyFont="1" applyBorder="1" applyAlignment="1">
      <alignment vertical="center"/>
    </xf>
    <xf numFmtId="0" fontId="1" fillId="0" borderId="96" xfId="42" applyFont="1" applyBorder="1" applyAlignment="1">
      <alignment horizontal="center" wrapText="1"/>
    </xf>
    <xf numFmtId="0" fontId="1" fillId="0" borderId="100" xfId="42" applyFont="1" applyBorder="1" applyAlignment="1">
      <alignment horizontal="center" wrapText="1"/>
    </xf>
    <xf numFmtId="43" fontId="1" fillId="0" borderId="100" xfId="50" applyFont="1" applyBorder="1" applyAlignment="1">
      <alignment horizontal="center" wrapText="1"/>
    </xf>
    <xf numFmtId="0" fontId="1" fillId="0" borderId="111" xfId="42" applyFont="1" applyBorder="1" applyAlignment="1">
      <alignment horizontal="center" wrapText="1"/>
    </xf>
    <xf numFmtId="0" fontId="1" fillId="33" borderId="112" xfId="42" applyFont="1" applyFill="1" applyBorder="1" applyAlignment="1">
      <alignment horizontal="center" wrapText="1"/>
    </xf>
    <xf numFmtId="0" fontId="1" fillId="0" borderId="113" xfId="42" applyFont="1" applyBorder="1" applyAlignment="1">
      <alignment horizontal="center" wrapText="1"/>
    </xf>
    <xf numFmtId="0" fontId="1" fillId="0" borderId="114" xfId="42" applyFont="1" applyBorder="1" applyAlignment="1">
      <alignment horizontal="center" wrapText="1"/>
    </xf>
    <xf numFmtId="0" fontId="1" fillId="0" borderId="112" xfId="42" applyFont="1" applyBorder="1" applyAlignment="1">
      <alignment horizontal="center" wrapText="1"/>
    </xf>
    <xf numFmtId="0" fontId="1" fillId="0" borderId="115" xfId="42" applyFont="1" applyBorder="1" applyAlignment="1">
      <alignment horizontal="center" wrapText="1"/>
    </xf>
    <xf numFmtId="0" fontId="1" fillId="0" borderId="116" xfId="42" applyFont="1" applyBorder="1" applyAlignment="1">
      <alignment horizontal="center" wrapText="1"/>
    </xf>
    <xf numFmtId="10" fontId="1" fillId="0" borderId="11" xfId="43" applyNumberFormat="1" applyFill="1" applyBorder="1"/>
    <xf numFmtId="10" fontId="3" fillId="33" borderId="22" xfId="43" applyNumberFormat="1" applyFont="1" applyFill="1" applyBorder="1" applyAlignment="1">
      <alignment horizontal="left" wrapText="1"/>
    </xf>
    <xf numFmtId="10" fontId="3" fillId="33" borderId="36" xfId="43" applyNumberFormat="1" applyFont="1" applyFill="1" applyBorder="1" applyAlignment="1">
      <alignment horizontal="left"/>
    </xf>
    <xf numFmtId="41" fontId="25" fillId="0" borderId="117" xfId="50" applyNumberFormat="1" applyFont="1" applyFill="1" applyBorder="1" applyAlignment="1">
      <alignment horizontal="left"/>
    </xf>
    <xf numFmtId="2" fontId="1" fillId="0" borderId="83" xfId="43" applyNumberFormat="1" applyFill="1" applyBorder="1" applyAlignment="1">
      <alignment horizontal="left"/>
    </xf>
    <xf numFmtId="2" fontId="25" fillId="0" borderId="118" xfId="43" applyNumberFormat="1" applyFont="1" applyFill="1" applyBorder="1" applyAlignment="1">
      <alignment horizontal="left"/>
    </xf>
    <xf numFmtId="0" fontId="0" fillId="0" borderId="0" xfId="0" applyBorder="1"/>
    <xf numFmtId="0" fontId="0" fillId="0" borderId="80" xfId="0" applyBorder="1"/>
    <xf numFmtId="165" fontId="0" fillId="0" borderId="119" xfId="50" applyNumberFormat="1" applyFont="1" applyBorder="1"/>
    <xf numFmtId="165" fontId="0" fillId="0" borderId="0" xfId="50" applyNumberFormat="1" applyFont="1" applyBorder="1"/>
    <xf numFmtId="166" fontId="0" fillId="0" borderId="0" xfId="50" applyNumberFormat="1" applyFont="1"/>
    <xf numFmtId="0" fontId="22" fillId="0" borderId="0" xfId="0" applyFont="1"/>
    <xf numFmtId="166" fontId="22" fillId="0" borderId="0" xfId="50" applyNumberFormat="1" applyFont="1"/>
    <xf numFmtId="2" fontId="25" fillId="0" borderId="111" xfId="43" applyNumberFormat="1" applyFont="1" applyFill="1" applyBorder="1" applyAlignment="1">
      <alignment horizontal="center"/>
    </xf>
    <xf numFmtId="3" fontId="3" fillId="35" borderId="17" xfId="43" applyNumberFormat="1" applyFont="1" applyFill="1" applyBorder="1" applyAlignment="1">
      <alignment horizontal="centerContinuous"/>
    </xf>
    <xf numFmtId="0" fontId="3" fillId="35" borderId="120" xfId="43" applyFont="1" applyFill="1" applyBorder="1" applyAlignment="1">
      <alignment horizontal="centerContinuous"/>
    </xf>
    <xf numFmtId="0" fontId="24" fillId="0" borderId="121" xfId="0" applyFont="1" applyBorder="1"/>
    <xf numFmtId="0" fontId="1" fillId="0" borderId="0" xfId="42"/>
    <xf numFmtId="0" fontId="1" fillId="0" borderId="122" xfId="42" applyFont="1" applyBorder="1"/>
    <xf numFmtId="0" fontId="1" fillId="0" borderId="14" xfId="42" applyBorder="1"/>
    <xf numFmtId="0" fontId="1" fillId="0" borderId="123" xfId="42" applyFont="1" applyBorder="1" applyAlignment="1">
      <alignment horizontal="center"/>
    </xf>
    <xf numFmtId="0" fontId="1" fillId="0" borderId="68" xfId="42" applyFont="1" applyBorder="1" applyAlignment="1">
      <alignment horizontal="left" indent="2"/>
    </xf>
    <xf numFmtId="0" fontId="1" fillId="0" borderId="23" xfId="42" applyFont="1" applyBorder="1"/>
    <xf numFmtId="0" fontId="1" fillId="0" borderId="23" xfId="42" applyBorder="1"/>
    <xf numFmtId="37" fontId="1" fillId="0" borderId="124" xfId="42" applyNumberFormat="1" applyBorder="1" applyAlignment="1">
      <alignment horizontal="right"/>
    </xf>
    <xf numFmtId="0" fontId="1" fillId="0" borderId="68" xfId="42" applyFont="1" applyBorder="1" applyAlignment="1">
      <alignment horizontal="left" indent="4"/>
    </xf>
    <xf numFmtId="0" fontId="3" fillId="0" borderId="37" xfId="42" applyFont="1" applyFill="1" applyBorder="1"/>
    <xf numFmtId="0" fontId="1" fillId="0" borderId="125" xfId="42" applyBorder="1"/>
    <xf numFmtId="38" fontId="3" fillId="0" borderId="126" xfId="42" applyNumberFormat="1" applyFont="1" applyBorder="1" applyAlignment="1">
      <alignment horizontal="right"/>
    </xf>
    <xf numFmtId="0" fontId="29" fillId="0" borderId="0" xfId="42" applyFont="1"/>
    <xf numFmtId="3" fontId="1" fillId="0" borderId="0" xfId="42" applyNumberFormat="1" applyBorder="1"/>
    <xf numFmtId="0" fontId="1" fillId="0" borderId="0" xfId="42" applyBorder="1"/>
    <xf numFmtId="0" fontId="30" fillId="0" borderId="0" xfId="55" applyFont="1"/>
    <xf numFmtId="41" fontId="30" fillId="0" borderId="0" xfId="55" applyNumberFormat="1" applyFont="1"/>
    <xf numFmtId="38" fontId="1" fillId="0" borderId="5" xfId="50" applyNumberFormat="1" applyFont="1" applyFill="1" applyBorder="1" applyAlignment="1">
      <alignment horizontal="right"/>
    </xf>
    <xf numFmtId="38" fontId="1" fillId="33" borderId="6" xfId="50" applyNumberFormat="1" applyFont="1" applyFill="1" applyBorder="1" applyAlignment="1">
      <alignment horizontal="right"/>
    </xf>
    <xf numFmtId="38" fontId="1" fillId="33" borderId="5" xfId="50" applyNumberFormat="1" applyFont="1" applyFill="1" applyBorder="1" applyAlignment="1">
      <alignment horizontal="right"/>
    </xf>
    <xf numFmtId="38" fontId="1" fillId="33" borderId="1" xfId="50" applyNumberFormat="1" applyFont="1" applyFill="1" applyBorder="1" applyAlignment="1">
      <alignment horizontal="right"/>
    </xf>
    <xf numFmtId="38" fontId="1" fillId="33" borderId="41" xfId="50" applyNumberFormat="1" applyFont="1" applyFill="1" applyBorder="1" applyAlignment="1">
      <alignment horizontal="right"/>
    </xf>
    <xf numFmtId="38" fontId="1" fillId="0" borderId="79" xfId="50" applyNumberFormat="1" applyFont="1" applyFill="1" applyBorder="1" applyAlignment="1">
      <alignment horizontal="right"/>
    </xf>
    <xf numFmtId="38" fontId="27" fillId="0" borderId="79" xfId="50" applyNumberFormat="1" applyFont="1" applyFill="1" applyBorder="1" applyAlignment="1">
      <alignment horizontal="right"/>
    </xf>
    <xf numFmtId="38" fontId="0" fillId="35" borderId="5" xfId="50" applyNumberFormat="1" applyFont="1" applyFill="1" applyBorder="1"/>
    <xf numFmtId="38" fontId="1" fillId="33" borderId="3" xfId="50" applyNumberFormat="1" applyFont="1" applyFill="1" applyBorder="1" applyAlignment="1">
      <alignment horizontal="right"/>
    </xf>
    <xf numFmtId="38" fontId="1" fillId="33" borderId="4" xfId="50" applyNumberFormat="1" applyFont="1" applyFill="1" applyBorder="1" applyAlignment="1">
      <alignment horizontal="right"/>
    </xf>
    <xf numFmtId="38" fontId="1" fillId="33" borderId="7" xfId="50" applyNumberFormat="1" applyFont="1" applyFill="1" applyBorder="1" applyAlignment="1">
      <alignment horizontal="right"/>
    </xf>
    <xf numFmtId="38" fontId="1" fillId="33" borderId="8" xfId="50" applyNumberFormat="1" applyFont="1" applyFill="1" applyBorder="1" applyAlignment="1">
      <alignment horizontal="right"/>
    </xf>
    <xf numFmtId="38" fontId="1" fillId="33" borderId="42" xfId="50" applyNumberFormat="1" applyFont="1" applyFill="1" applyBorder="1" applyAlignment="1">
      <alignment horizontal="right"/>
    </xf>
    <xf numFmtId="38" fontId="3" fillId="34" borderId="46" xfId="50" applyNumberFormat="1" applyFont="1" applyFill="1" applyBorder="1" applyAlignment="1">
      <alignment horizontal="right"/>
    </xf>
    <xf numFmtId="38" fontId="3" fillId="33" borderId="45" xfId="50" applyNumberFormat="1" applyFont="1" applyFill="1" applyBorder="1" applyAlignment="1">
      <alignment horizontal="right"/>
    </xf>
    <xf numFmtId="38" fontId="3" fillId="33" borderId="46" xfId="50" applyNumberFormat="1" applyFont="1" applyFill="1" applyBorder="1" applyAlignment="1">
      <alignment horizontal="right"/>
    </xf>
    <xf numFmtId="38" fontId="3" fillId="33" borderId="67" xfId="50" applyNumberFormat="1" applyFont="1" applyFill="1" applyBorder="1" applyAlignment="1">
      <alignment horizontal="right"/>
    </xf>
    <xf numFmtId="38" fontId="3" fillId="33" borderId="66" xfId="50" applyNumberFormat="1" applyFont="1" applyFill="1" applyBorder="1" applyAlignment="1">
      <alignment horizontal="right"/>
    </xf>
    <xf numFmtId="38" fontId="3" fillId="33" borderId="68" xfId="50" applyNumberFormat="1" applyFont="1" applyFill="1" applyBorder="1" applyAlignment="1">
      <alignment horizontal="right"/>
    </xf>
    <xf numFmtId="38" fontId="3" fillId="34" borderId="99" xfId="50" applyNumberFormat="1" applyFont="1" applyFill="1" applyBorder="1" applyAlignment="1">
      <alignment horizontal="right"/>
    </xf>
    <xf numFmtId="38" fontId="1" fillId="0" borderId="5" xfId="43" applyNumberFormat="1" applyFill="1" applyBorder="1" applyAlignment="1">
      <alignment horizontal="right"/>
    </xf>
    <xf numFmtId="38" fontId="1" fillId="33" borderId="6" xfId="43" applyNumberFormat="1" applyFill="1" applyBorder="1" applyAlignment="1">
      <alignment horizontal="right"/>
    </xf>
    <xf numFmtId="38" fontId="1" fillId="33" borderId="1" xfId="43" applyNumberFormat="1" applyFill="1" applyBorder="1" applyAlignment="1">
      <alignment horizontal="right"/>
    </xf>
    <xf numFmtId="38" fontId="27" fillId="0" borderId="79" xfId="43" applyNumberFormat="1" applyFont="1" applyFill="1" applyBorder="1" applyAlignment="1">
      <alignment horizontal="right"/>
    </xf>
    <xf numFmtId="38" fontId="0" fillId="35" borderId="5" xfId="0" applyNumberFormat="1" applyFill="1" applyBorder="1"/>
    <xf numFmtId="38" fontId="1" fillId="33" borderId="3" xfId="43" applyNumberFormat="1" applyFill="1" applyBorder="1" applyAlignment="1">
      <alignment horizontal="right"/>
    </xf>
    <xf numFmtId="38" fontId="1" fillId="33" borderId="4" xfId="43" applyNumberFormat="1" applyFill="1" applyBorder="1" applyAlignment="1">
      <alignment horizontal="right"/>
    </xf>
    <xf numFmtId="38" fontId="1" fillId="33" borderId="7" xfId="43" applyNumberFormat="1" applyFill="1" applyBorder="1" applyAlignment="1">
      <alignment horizontal="right"/>
    </xf>
    <xf numFmtId="38" fontId="1" fillId="33" borderId="8" xfId="43" applyNumberFormat="1" applyFill="1" applyBorder="1" applyAlignment="1">
      <alignment horizontal="right"/>
    </xf>
    <xf numFmtId="38" fontId="1" fillId="33" borderId="42" xfId="43" applyNumberFormat="1" applyFill="1" applyBorder="1" applyAlignment="1">
      <alignment horizontal="right"/>
    </xf>
    <xf numFmtId="38" fontId="3" fillId="34" borderId="46" xfId="43" applyNumberFormat="1" applyFont="1" applyFill="1" applyBorder="1" applyAlignment="1">
      <alignment horizontal="right"/>
    </xf>
    <xf numFmtId="38" fontId="3" fillId="33" borderId="45" xfId="43" applyNumberFormat="1" applyFont="1" applyFill="1" applyBorder="1" applyAlignment="1">
      <alignment horizontal="right"/>
    </xf>
    <xf numFmtId="38" fontId="3" fillId="33" borderId="46" xfId="43" applyNumberFormat="1" applyFont="1" applyFill="1" applyBorder="1" applyAlignment="1">
      <alignment horizontal="right"/>
    </xf>
    <xf numFmtId="38" fontId="3" fillId="33" borderId="67" xfId="43" applyNumberFormat="1" applyFont="1" applyFill="1" applyBorder="1" applyAlignment="1">
      <alignment horizontal="right"/>
    </xf>
    <xf numFmtId="38" fontId="3" fillId="33" borderId="66" xfId="43" applyNumberFormat="1" applyFont="1" applyFill="1" applyBorder="1" applyAlignment="1">
      <alignment horizontal="right"/>
    </xf>
    <xf numFmtId="38" fontId="3" fillId="33" borderId="68" xfId="43" applyNumberFormat="1" applyFont="1" applyFill="1" applyBorder="1" applyAlignment="1">
      <alignment horizontal="right"/>
    </xf>
    <xf numFmtId="38" fontId="3" fillId="34" borderId="99" xfId="43" applyNumberFormat="1" applyFont="1" applyFill="1" applyBorder="1" applyAlignment="1">
      <alignment horizontal="right"/>
    </xf>
    <xf numFmtId="38" fontId="28" fillId="33" borderId="6" xfId="43" applyNumberFormat="1" applyFont="1" applyFill="1" applyBorder="1" applyAlignment="1">
      <alignment horizontal="right"/>
    </xf>
    <xf numFmtId="38" fontId="1" fillId="36" borderId="79" xfId="43" applyNumberFormat="1" applyFill="1" applyBorder="1" applyAlignment="1">
      <alignment horizontal="right"/>
    </xf>
    <xf numFmtId="38" fontId="1" fillId="0" borderId="79" xfId="43" applyNumberFormat="1" applyFont="1" applyFill="1" applyBorder="1" applyAlignment="1">
      <alignment horizontal="right"/>
    </xf>
    <xf numFmtId="38" fontId="1" fillId="33" borderId="31" xfId="50" applyNumberFormat="1" applyFont="1" applyFill="1" applyBorder="1" applyAlignment="1">
      <alignment horizontal="right"/>
    </xf>
    <xf numFmtId="38" fontId="1" fillId="33" borderId="43" xfId="50" applyNumberFormat="1" applyFont="1" applyFill="1" applyBorder="1" applyAlignment="1">
      <alignment horizontal="right"/>
    </xf>
    <xf numFmtId="38" fontId="1" fillId="33" borderId="47" xfId="50" applyNumberFormat="1" applyFont="1" applyFill="1" applyBorder="1" applyAlignment="1">
      <alignment horizontal="right"/>
    </xf>
    <xf numFmtId="38" fontId="1" fillId="33" borderId="33" xfId="50" applyNumberFormat="1" applyFont="1" applyFill="1" applyBorder="1" applyAlignment="1">
      <alignment horizontal="right"/>
    </xf>
    <xf numFmtId="38" fontId="1" fillId="0" borderId="4" xfId="50" applyNumberFormat="1" applyFont="1" applyFill="1" applyBorder="1" applyAlignment="1">
      <alignment horizontal="right"/>
    </xf>
    <xf numFmtId="38" fontId="1" fillId="0" borderId="100" xfId="50" applyNumberFormat="1" applyFont="1" applyFill="1" applyBorder="1" applyAlignment="1">
      <alignment horizontal="right"/>
    </xf>
    <xf numFmtId="38" fontId="3" fillId="0" borderId="28" xfId="50" applyNumberFormat="1" applyFont="1" applyFill="1" applyBorder="1" applyAlignment="1">
      <alignment horizontal="right"/>
    </xf>
    <xf numFmtId="38" fontId="3" fillId="33" borderId="27" xfId="50" applyNumberFormat="1" applyFont="1" applyFill="1" applyBorder="1" applyAlignment="1">
      <alignment horizontal="right"/>
    </xf>
    <xf numFmtId="38" fontId="3" fillId="33" borderId="28" xfId="50" applyNumberFormat="1" applyFont="1" applyFill="1" applyBorder="1" applyAlignment="1">
      <alignment horizontal="right"/>
    </xf>
    <xf numFmtId="38" fontId="3" fillId="33" borderId="26" xfId="50" applyNumberFormat="1" applyFont="1" applyFill="1" applyBorder="1" applyAlignment="1">
      <alignment horizontal="right"/>
    </xf>
    <xf numFmtId="38" fontId="3" fillId="33" borderId="29" xfId="50" applyNumberFormat="1" applyFont="1" applyFill="1" applyBorder="1" applyAlignment="1">
      <alignment horizontal="right"/>
    </xf>
    <xf numFmtId="38" fontId="3" fillId="33" borderId="30" xfId="50" applyNumberFormat="1" applyFont="1" applyFill="1" applyBorder="1" applyAlignment="1">
      <alignment horizontal="right"/>
    </xf>
    <xf numFmtId="38" fontId="3" fillId="33" borderId="58" xfId="50" applyNumberFormat="1" applyFont="1" applyFill="1" applyBorder="1" applyAlignment="1">
      <alignment horizontal="right"/>
    </xf>
    <xf numFmtId="38" fontId="3" fillId="0" borderId="98" xfId="50" applyNumberFormat="1" applyFont="1" applyFill="1" applyBorder="1" applyAlignment="1">
      <alignment horizontal="right"/>
    </xf>
    <xf numFmtId="38" fontId="1" fillId="33" borderId="31" xfId="43" applyNumberFormat="1" applyFill="1" applyBorder="1" applyAlignment="1">
      <alignment horizontal="right"/>
    </xf>
    <xf numFmtId="38" fontId="1" fillId="33" borderId="43" xfId="43" applyNumberFormat="1" applyFill="1" applyBorder="1" applyAlignment="1">
      <alignment horizontal="right"/>
    </xf>
    <xf numFmtId="38" fontId="1" fillId="33" borderId="47" xfId="43" applyNumberFormat="1" applyFill="1" applyBorder="1" applyAlignment="1">
      <alignment horizontal="right"/>
    </xf>
    <xf numFmtId="38" fontId="1" fillId="33" borderId="33" xfId="43" applyNumberFormat="1" applyFill="1" applyBorder="1" applyAlignment="1">
      <alignment horizontal="right"/>
    </xf>
    <xf numFmtId="38" fontId="1" fillId="0" borderId="4" xfId="43" applyNumberFormat="1" applyFill="1" applyBorder="1" applyAlignment="1">
      <alignment horizontal="right"/>
    </xf>
    <xf numFmtId="38" fontId="1" fillId="0" borderId="100" xfId="43" applyNumberFormat="1" applyFill="1" applyBorder="1" applyAlignment="1">
      <alignment horizontal="right"/>
    </xf>
    <xf numFmtId="38" fontId="3" fillId="0" borderId="28" xfId="43" applyNumberFormat="1" applyFont="1" applyFill="1" applyBorder="1" applyAlignment="1">
      <alignment horizontal="right"/>
    </xf>
    <xf numFmtId="38" fontId="3" fillId="33" borderId="27" xfId="43" applyNumberFormat="1" applyFont="1" applyFill="1" applyBorder="1" applyAlignment="1">
      <alignment horizontal="right"/>
    </xf>
    <xf numFmtId="38" fontId="3" fillId="33" borderId="28" xfId="43" applyNumberFormat="1" applyFont="1" applyFill="1" applyBorder="1" applyAlignment="1">
      <alignment horizontal="right"/>
    </xf>
    <xf numFmtId="38" fontId="3" fillId="33" borderId="26" xfId="43" applyNumberFormat="1" applyFont="1" applyFill="1" applyBorder="1" applyAlignment="1">
      <alignment horizontal="right"/>
    </xf>
    <xf numFmtId="38" fontId="3" fillId="33" borderId="29" xfId="43" applyNumberFormat="1" applyFont="1" applyFill="1" applyBorder="1" applyAlignment="1">
      <alignment horizontal="right"/>
    </xf>
    <xf numFmtId="38" fontId="3" fillId="33" borderId="30" xfId="43" applyNumberFormat="1" applyFont="1" applyFill="1" applyBorder="1" applyAlignment="1">
      <alignment horizontal="right"/>
    </xf>
    <xf numFmtId="38" fontId="3" fillId="33" borderId="58" xfId="43" applyNumberFormat="1" applyFont="1" applyFill="1" applyBorder="1" applyAlignment="1">
      <alignment horizontal="right"/>
    </xf>
    <xf numFmtId="38" fontId="3" fillId="0" borderId="98" xfId="43" applyNumberFormat="1" applyFont="1" applyFill="1" applyBorder="1" applyAlignment="1">
      <alignment horizontal="right"/>
    </xf>
    <xf numFmtId="38" fontId="1" fillId="0" borderId="9" xfId="43" applyNumberFormat="1" applyFill="1" applyBorder="1" applyAlignment="1">
      <alignment horizontal="center"/>
    </xf>
    <xf numFmtId="38" fontId="1" fillId="0" borderId="9" xfId="43" applyNumberFormat="1" applyBorder="1"/>
    <xf numFmtId="38" fontId="1" fillId="0" borderId="12" xfId="43" applyNumberFormat="1" applyBorder="1"/>
    <xf numFmtId="38" fontId="3" fillId="0" borderId="63" xfId="43" applyNumberFormat="1" applyFont="1" applyBorder="1"/>
    <xf numFmtId="38" fontId="1" fillId="0" borderId="18" xfId="43" applyNumberFormat="1" applyFill="1" applyBorder="1" applyAlignment="1">
      <alignment horizontal="center"/>
    </xf>
    <xf numFmtId="38" fontId="2" fillId="0" borderId="9" xfId="43" applyNumberFormat="1" applyFont="1" applyFill="1" applyBorder="1"/>
    <xf numFmtId="38" fontId="1" fillId="0" borderId="9" xfId="43" applyNumberFormat="1" applyFill="1" applyBorder="1"/>
    <xf numFmtId="38" fontId="1" fillId="0" borderId="12" xfId="43" applyNumberFormat="1" applyFill="1" applyBorder="1"/>
    <xf numFmtId="38" fontId="3" fillId="0" borderId="20" xfId="43" applyNumberFormat="1" applyFont="1" applyFill="1" applyBorder="1"/>
    <xf numFmtId="38" fontId="1" fillId="33" borderId="9" xfId="43" applyNumberFormat="1" applyFill="1" applyBorder="1" applyAlignment="1">
      <alignment horizontal="center"/>
    </xf>
    <xf numFmtId="38" fontId="3" fillId="0" borderId="64" xfId="43" applyNumberFormat="1" applyFont="1" applyBorder="1"/>
    <xf numFmtId="38" fontId="24" fillId="0" borderId="39" xfId="0" applyNumberFormat="1" applyFont="1" applyBorder="1"/>
    <xf numFmtId="38" fontId="3" fillId="0" borderId="12" xfId="43" applyNumberFormat="1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0" fontId="1" fillId="33" borderId="0" xfId="43" applyFill="1" applyBorder="1" applyAlignment="1">
      <alignment horizontal="right"/>
    </xf>
    <xf numFmtId="0" fontId="26" fillId="0" borderId="0" xfId="0" applyFont="1" applyAlignment="1">
      <alignment wrapText="1"/>
    </xf>
    <xf numFmtId="0" fontId="1" fillId="33" borderId="162" xfId="43" applyFill="1" applyBorder="1" applyAlignment="1">
      <alignment horizontal="center" wrapText="1"/>
    </xf>
    <xf numFmtId="0" fontId="26" fillId="0" borderId="0" xfId="55" applyFont="1"/>
    <xf numFmtId="0" fontId="32" fillId="0" borderId="0" xfId="55" applyFont="1" applyAlignment="1">
      <alignment horizontal="left"/>
    </xf>
    <xf numFmtId="0" fontId="24" fillId="0" borderId="0" xfId="55" applyFont="1" applyAlignment="1">
      <alignment horizontal="center"/>
    </xf>
    <xf numFmtId="0" fontId="32" fillId="0" borderId="0" xfId="55" applyFont="1" applyBorder="1" applyAlignment="1">
      <alignment horizontal="right"/>
    </xf>
    <xf numFmtId="0" fontId="32" fillId="0" borderId="0" xfId="55" applyFont="1" applyAlignment="1">
      <alignment horizontal="right"/>
    </xf>
    <xf numFmtId="0" fontId="26" fillId="0" borderId="0" xfId="55" applyFont="1" applyAlignment="1">
      <alignment horizontal="left"/>
    </xf>
    <xf numFmtId="0" fontId="26" fillId="0" borderId="0" xfId="55" applyFont="1" applyAlignment="1">
      <alignment horizontal="center"/>
    </xf>
    <xf numFmtId="3" fontId="26" fillId="0" borderId="0" xfId="55" applyNumberFormat="1" applyFont="1" applyAlignment="1">
      <alignment horizontal="right"/>
    </xf>
    <xf numFmtId="6" fontId="26" fillId="0" borderId="0" xfId="55" applyNumberFormat="1" applyFont="1" applyAlignment="1">
      <alignment horizontal="right"/>
    </xf>
    <xf numFmtId="6" fontId="26" fillId="0" borderId="0" xfId="55" applyNumberFormat="1" applyFont="1" applyFill="1" applyAlignment="1">
      <alignment horizontal="right"/>
    </xf>
    <xf numFmtId="4" fontId="26" fillId="0" borderId="0" xfId="55" applyNumberFormat="1" applyFont="1" applyAlignment="1">
      <alignment horizontal="right"/>
    </xf>
    <xf numFmtId="8" fontId="26" fillId="0" borderId="0" xfId="55" applyNumberFormat="1" applyFont="1" applyFill="1" applyAlignment="1">
      <alignment horizontal="right"/>
    </xf>
    <xf numFmtId="38" fontId="26" fillId="0" borderId="0" xfId="55" applyNumberFormat="1" applyFont="1" applyAlignment="1">
      <alignment horizontal="right"/>
    </xf>
    <xf numFmtId="6" fontId="26" fillId="0" borderId="0" xfId="55" applyNumberFormat="1" applyFont="1" applyAlignment="1"/>
    <xf numFmtId="0" fontId="26" fillId="0" borderId="0" xfId="55" applyFont="1" applyAlignment="1">
      <alignment wrapText="1"/>
    </xf>
    <xf numFmtId="0" fontId="26" fillId="0" borderId="0" xfId="55" applyFont="1" applyBorder="1" applyAlignment="1">
      <alignment wrapText="1"/>
    </xf>
    <xf numFmtId="0" fontId="26" fillId="0" borderId="0" xfId="55" applyFont="1" applyBorder="1"/>
    <xf numFmtId="0" fontId="26" fillId="0" borderId="68" xfId="55" applyFont="1" applyBorder="1"/>
    <xf numFmtId="0" fontId="24" fillId="0" borderId="45" xfId="55" applyFont="1" applyBorder="1" applyAlignment="1">
      <alignment horizontal="center"/>
    </xf>
    <xf numFmtId="0" fontId="24" fillId="0" borderId="133" xfId="55" applyFont="1" applyBorder="1" applyAlignment="1">
      <alignment horizontal="center" wrapText="1"/>
    </xf>
    <xf numFmtId="0" fontId="24" fillId="0" borderId="134" xfId="55" applyFont="1" applyBorder="1" applyAlignment="1">
      <alignment horizontal="center" wrapText="1"/>
    </xf>
    <xf numFmtId="0" fontId="24" fillId="0" borderId="135" xfId="55" applyFont="1" applyFill="1" applyBorder="1" applyAlignment="1">
      <alignment horizontal="center" wrapText="1"/>
    </xf>
    <xf numFmtId="0" fontId="24" fillId="38" borderId="136" xfId="55" applyFont="1" applyFill="1" applyBorder="1" applyAlignment="1">
      <alignment horizontal="center" wrapText="1"/>
    </xf>
    <xf numFmtId="0" fontId="24" fillId="38" borderId="137" xfId="55" applyFont="1" applyFill="1" applyBorder="1" applyAlignment="1">
      <alignment horizontal="center" wrapText="1"/>
    </xf>
    <xf numFmtId="0" fontId="24" fillId="38" borderId="138" xfId="55" applyFont="1" applyFill="1" applyBorder="1" applyAlignment="1">
      <alignment horizontal="center" wrapText="1"/>
    </xf>
    <xf numFmtId="0" fontId="24" fillId="38" borderId="139" xfId="55" applyFont="1" applyFill="1" applyBorder="1" applyAlignment="1">
      <alignment horizontal="center" wrapText="1"/>
    </xf>
    <xf numFmtId="0" fontId="24" fillId="37" borderId="136" xfId="55" applyFont="1" applyFill="1" applyBorder="1" applyAlignment="1">
      <alignment horizontal="center" wrapText="1"/>
    </xf>
    <xf numFmtId="0" fontId="24" fillId="37" borderId="138" xfId="55" applyFont="1" applyFill="1" applyBorder="1" applyAlignment="1">
      <alignment horizontal="center" wrapText="1"/>
    </xf>
    <xf numFmtId="0" fontId="24" fillId="37" borderId="137" xfId="55" applyFont="1" applyFill="1" applyBorder="1" applyAlignment="1">
      <alignment horizontal="center" wrapText="1"/>
    </xf>
    <xf numFmtId="0" fontId="24" fillId="37" borderId="139" xfId="55" applyFont="1" applyFill="1" applyBorder="1" applyAlignment="1">
      <alignment horizontal="center" wrapText="1"/>
    </xf>
    <xf numFmtId="0" fontId="24" fillId="39" borderId="136" xfId="55" applyFont="1" applyFill="1" applyBorder="1" applyAlignment="1">
      <alignment horizontal="center" wrapText="1"/>
    </xf>
    <xf numFmtId="0" fontId="24" fillId="39" borderId="138" xfId="55" applyFont="1" applyFill="1" applyBorder="1" applyAlignment="1">
      <alignment horizontal="center" wrapText="1"/>
    </xf>
    <xf numFmtId="0" fontId="24" fillId="39" borderId="139" xfId="55" applyFont="1" applyFill="1" applyBorder="1" applyAlignment="1">
      <alignment horizontal="center" wrapText="1"/>
    </xf>
    <xf numFmtId="0" fontId="24" fillId="40" borderId="140" xfId="55" applyFont="1" applyFill="1" applyBorder="1" applyAlignment="1">
      <alignment horizontal="center" wrapText="1"/>
    </xf>
    <xf numFmtId="0" fontId="24" fillId="0" borderId="136" xfId="55" applyFont="1" applyBorder="1" applyAlignment="1">
      <alignment horizontal="center" wrapText="1"/>
    </xf>
    <xf numFmtId="0" fontId="24" fillId="0" borderId="139" xfId="55" applyFont="1" applyFill="1" applyBorder="1" applyAlignment="1">
      <alignment horizontal="center" wrapText="1"/>
    </xf>
    <xf numFmtId="49" fontId="26" fillId="0" borderId="127" xfId="55" applyNumberFormat="1" applyFont="1" applyBorder="1"/>
    <xf numFmtId="0" fontId="26" fillId="33" borderId="141" xfId="55" applyFont="1" applyFill="1" applyBorder="1"/>
    <xf numFmtId="3" fontId="26" fillId="0" borderId="127" xfId="55" applyNumberFormat="1" applyFont="1" applyBorder="1"/>
    <xf numFmtId="4" fontId="26" fillId="0" borderId="128" xfId="55" applyNumberFormat="1" applyFont="1" applyBorder="1"/>
    <xf numFmtId="3" fontId="26" fillId="0" borderId="129" xfId="55" applyNumberFormat="1" applyFont="1" applyBorder="1"/>
    <xf numFmtId="41" fontId="26" fillId="38" borderId="127" xfId="55" applyNumberFormat="1" applyFont="1" applyFill="1" applyBorder="1"/>
    <xf numFmtId="2" fontId="26" fillId="38" borderId="142" xfId="55" applyNumberFormat="1" applyFont="1" applyFill="1" applyBorder="1"/>
    <xf numFmtId="41" fontId="26" fillId="38" borderId="143" xfId="55" applyNumberFormat="1" applyFont="1" applyFill="1" applyBorder="1"/>
    <xf numFmtId="41" fontId="24" fillId="38" borderId="129" xfId="55" applyNumberFormat="1" applyFont="1" applyFill="1" applyBorder="1"/>
    <xf numFmtId="41" fontId="26" fillId="37" borderId="127" xfId="55" applyNumberFormat="1" applyFont="1" applyFill="1" applyBorder="1"/>
    <xf numFmtId="41" fontId="26" fillId="37" borderId="128" xfId="55" applyNumberFormat="1" applyFont="1" applyFill="1" applyBorder="1"/>
    <xf numFmtId="39" fontId="26" fillId="37" borderId="142" xfId="55" applyNumberFormat="1" applyFont="1" applyFill="1" applyBorder="1"/>
    <xf numFmtId="41" fontId="26" fillId="37" borderId="143" xfId="55" applyNumberFormat="1" applyFont="1" applyFill="1" applyBorder="1"/>
    <xf numFmtId="41" fontId="24" fillId="37" borderId="129" xfId="55" applyNumberFormat="1" applyFont="1" applyFill="1" applyBorder="1"/>
    <xf numFmtId="41" fontId="26" fillId="39" borderId="127" xfId="55" applyNumberFormat="1" applyFont="1" applyFill="1" applyBorder="1"/>
    <xf numFmtId="41" fontId="26" fillId="39" borderId="128" xfId="55" applyNumberFormat="1" applyFont="1" applyFill="1" applyBorder="1"/>
    <xf numFmtId="41" fontId="24" fillId="39" borderId="129" xfId="55" applyNumberFormat="1" applyFont="1" applyFill="1" applyBorder="1"/>
    <xf numFmtId="41" fontId="24" fillId="40" borderId="144" xfId="55" applyNumberFormat="1" applyFont="1" applyFill="1" applyBorder="1"/>
    <xf numFmtId="37" fontId="24" fillId="0" borderId="127" xfId="55" applyNumberFormat="1" applyFont="1" applyBorder="1"/>
    <xf numFmtId="39" fontId="26" fillId="0" borderId="129" xfId="55" applyNumberFormat="1" applyFont="1" applyBorder="1"/>
    <xf numFmtId="49" fontId="26" fillId="0" borderId="130" xfId="55" applyNumberFormat="1" applyFont="1" applyBorder="1"/>
    <xf numFmtId="0" fontId="26" fillId="33" borderId="145" xfId="55" applyFont="1" applyFill="1" applyBorder="1"/>
    <xf numFmtId="3" fontId="26" fillId="0" borderId="130" xfId="55" applyNumberFormat="1" applyFont="1" applyBorder="1"/>
    <xf numFmtId="4" fontId="26" fillId="0" borderId="131" xfId="55" applyNumberFormat="1" applyFont="1" applyBorder="1"/>
    <xf numFmtId="3" fontId="26" fillId="0" borderId="132" xfId="55" applyNumberFormat="1" applyFont="1" applyBorder="1"/>
    <xf numFmtId="41" fontId="26" fillId="38" borderId="130" xfId="55" applyNumberFormat="1" applyFont="1" applyFill="1" applyBorder="1"/>
    <xf numFmtId="2" fontId="26" fillId="38" borderId="146" xfId="55" applyNumberFormat="1" applyFont="1" applyFill="1" applyBorder="1"/>
    <xf numFmtId="41" fontId="26" fillId="38" borderId="147" xfId="55" applyNumberFormat="1" applyFont="1" applyFill="1" applyBorder="1"/>
    <xf numFmtId="41" fontId="24" fillId="38" borderId="132" xfId="55" applyNumberFormat="1" applyFont="1" applyFill="1" applyBorder="1"/>
    <xf numFmtId="41" fontId="26" fillId="37" borderId="130" xfId="55" applyNumberFormat="1" applyFont="1" applyFill="1" applyBorder="1"/>
    <xf numFmtId="41" fontId="26" fillId="37" borderId="131" xfId="55" applyNumberFormat="1" applyFont="1" applyFill="1" applyBorder="1"/>
    <xf numFmtId="39" fontId="26" fillId="37" borderId="146" xfId="55" applyNumberFormat="1" applyFont="1" applyFill="1" applyBorder="1"/>
    <xf numFmtId="41" fontId="26" fillId="37" borderId="147" xfId="55" applyNumberFormat="1" applyFont="1" applyFill="1" applyBorder="1"/>
    <xf numFmtId="41" fontId="24" fillId="37" borderId="132" xfId="55" applyNumberFormat="1" applyFont="1" applyFill="1" applyBorder="1"/>
    <xf numFmtId="41" fontId="26" fillId="39" borderId="130" xfId="55" applyNumberFormat="1" applyFont="1" applyFill="1" applyBorder="1"/>
    <xf numFmtId="41" fontId="26" fillId="39" borderId="131" xfId="55" applyNumberFormat="1" applyFont="1" applyFill="1" applyBorder="1"/>
    <xf numFmtId="41" fontId="24" fillId="39" borderId="132" xfId="55" applyNumberFormat="1" applyFont="1" applyFill="1" applyBorder="1"/>
    <xf numFmtId="41" fontId="24" fillId="40" borderId="148" xfId="55" applyNumberFormat="1" applyFont="1" applyFill="1" applyBorder="1"/>
    <xf numFmtId="37" fontId="24" fillId="0" borderId="130" xfId="55" applyNumberFormat="1" applyFont="1" applyBorder="1"/>
    <xf numFmtId="39" fontId="26" fillId="0" borderId="132" xfId="55" applyNumberFormat="1" applyFont="1" applyBorder="1"/>
    <xf numFmtId="3" fontId="26" fillId="33" borderId="130" xfId="55" applyNumberFormat="1" applyFont="1" applyFill="1" applyBorder="1"/>
    <xf numFmtId="4" fontId="26" fillId="33" borderId="131" xfId="55" applyNumberFormat="1" applyFont="1" applyFill="1" applyBorder="1"/>
    <xf numFmtId="3" fontId="26" fillId="33" borderId="132" xfId="55" applyNumberFormat="1" applyFont="1" applyFill="1" applyBorder="1"/>
    <xf numFmtId="37" fontId="24" fillId="33" borderId="130" xfId="55" applyNumberFormat="1" applyFont="1" applyFill="1" applyBorder="1"/>
    <xf numFmtId="39" fontId="26" fillId="33" borderId="132" xfId="55" applyNumberFormat="1" applyFont="1" applyFill="1" applyBorder="1"/>
    <xf numFmtId="49" fontId="26" fillId="0" borderId="42" xfId="55" applyNumberFormat="1" applyFont="1" applyBorder="1"/>
    <xf numFmtId="0" fontId="26" fillId="33" borderId="149" xfId="55" applyFont="1" applyFill="1" applyBorder="1"/>
    <xf numFmtId="41" fontId="26" fillId="38" borderId="42" xfId="55" applyNumberFormat="1" applyFont="1" applyFill="1" applyBorder="1"/>
    <xf numFmtId="2" fontId="26" fillId="38" borderId="150" xfId="55" applyNumberFormat="1" applyFont="1" applyFill="1" applyBorder="1"/>
    <xf numFmtId="41" fontId="26" fillId="38" borderId="2" xfId="55" applyNumberFormat="1" applyFont="1" applyFill="1" applyBorder="1"/>
    <xf numFmtId="41" fontId="24" fillId="38" borderId="151" xfId="55" applyNumberFormat="1" applyFont="1" applyFill="1" applyBorder="1"/>
    <xf numFmtId="39" fontId="26" fillId="37" borderId="150" xfId="55" applyNumberFormat="1" applyFont="1" applyFill="1" applyBorder="1"/>
    <xf numFmtId="41" fontId="26" fillId="37" borderId="2" xfId="55" applyNumberFormat="1" applyFont="1" applyFill="1" applyBorder="1"/>
    <xf numFmtId="41" fontId="26" fillId="39" borderId="42" xfId="55" applyNumberFormat="1" applyFont="1" applyFill="1" applyBorder="1"/>
    <xf numFmtId="41" fontId="26" fillId="39" borderId="152" xfId="55" applyNumberFormat="1" applyFont="1" applyFill="1" applyBorder="1"/>
    <xf numFmtId="41" fontId="24" fillId="39" borderId="11" xfId="55" applyNumberFormat="1" applyFont="1" applyFill="1" applyBorder="1"/>
    <xf numFmtId="41" fontId="24" fillId="40" borderId="44" xfId="55" applyNumberFormat="1" applyFont="1" applyFill="1" applyBorder="1"/>
    <xf numFmtId="37" fontId="24" fillId="0" borderId="42" xfId="55" applyNumberFormat="1" applyFont="1" applyBorder="1"/>
    <xf numFmtId="39" fontId="26" fillId="0" borderId="151" xfId="55" applyNumberFormat="1" applyFont="1" applyBorder="1"/>
    <xf numFmtId="49" fontId="26" fillId="0" borderId="68" xfId="55" applyNumberFormat="1" applyFont="1" applyBorder="1"/>
    <xf numFmtId="0" fontId="24" fillId="0" borderId="23" xfId="55" applyFont="1" applyBorder="1" applyAlignment="1">
      <alignment horizontal="right"/>
    </xf>
    <xf numFmtId="41" fontId="26" fillId="38" borderId="154" xfId="55" applyNumberFormat="1" applyFont="1" applyFill="1" applyBorder="1"/>
    <xf numFmtId="41" fontId="26" fillId="38" borderId="155" xfId="55" applyNumberFormat="1" applyFont="1" applyFill="1" applyBorder="1" applyAlignment="1">
      <alignment horizontal="right"/>
    </xf>
    <xf numFmtId="41" fontId="26" fillId="38" borderId="156" xfId="55" applyNumberFormat="1" applyFont="1" applyFill="1" applyBorder="1"/>
    <xf numFmtId="41" fontId="24" fillId="38" borderId="157" xfId="55" applyNumberFormat="1" applyFont="1" applyFill="1" applyBorder="1"/>
    <xf numFmtId="41" fontId="26" fillId="37" borderId="153" xfId="55" applyNumberFormat="1" applyFont="1" applyFill="1" applyBorder="1"/>
    <xf numFmtId="41" fontId="26" fillId="37" borderId="158" xfId="55" applyNumberFormat="1" applyFont="1" applyFill="1" applyBorder="1"/>
    <xf numFmtId="41" fontId="26" fillId="37" borderId="155" xfId="55" applyNumberFormat="1" applyFont="1" applyFill="1" applyBorder="1" applyAlignment="1">
      <alignment horizontal="right"/>
    </xf>
    <xf numFmtId="41" fontId="26" fillId="37" borderId="156" xfId="55" applyNumberFormat="1" applyFont="1" applyFill="1" applyBorder="1"/>
    <xf numFmtId="41" fontId="24" fillId="37" borderId="157" xfId="55" applyNumberFormat="1" applyFont="1" applyFill="1" applyBorder="1"/>
    <xf numFmtId="41" fontId="26" fillId="39" borderId="154" xfId="55" applyNumberFormat="1" applyFont="1" applyFill="1" applyBorder="1"/>
    <xf numFmtId="41" fontId="26" fillId="39" borderId="159" xfId="55" applyNumberFormat="1" applyFont="1" applyFill="1" applyBorder="1"/>
    <xf numFmtId="41" fontId="24" fillId="39" borderId="160" xfId="55" applyNumberFormat="1" applyFont="1" applyFill="1" applyBorder="1"/>
    <xf numFmtId="41" fontId="24" fillId="40" borderId="161" xfId="55" applyNumberFormat="1" applyFont="1" applyFill="1" applyBorder="1"/>
    <xf numFmtId="41" fontId="24" fillId="0" borderId="154" xfId="55" applyNumberFormat="1" applyFont="1" applyBorder="1"/>
    <xf numFmtId="0" fontId="26" fillId="0" borderId="157" xfId="55" applyFont="1" applyBorder="1" applyAlignment="1">
      <alignment horizontal="right"/>
    </xf>
    <xf numFmtId="49" fontId="26" fillId="0" borderId="0" xfId="55" applyNumberFormat="1" applyFont="1"/>
    <xf numFmtId="37" fontId="26" fillId="0" borderId="0" xfId="55" applyNumberFormat="1" applyFont="1" applyFill="1" applyBorder="1"/>
    <xf numFmtId="41" fontId="26" fillId="0" borderId="0" xfId="55" applyNumberFormat="1" applyFont="1"/>
    <xf numFmtId="0" fontId="26" fillId="0" borderId="0" xfId="55" applyFont="1" applyFill="1"/>
    <xf numFmtId="49" fontId="26" fillId="0" borderId="0" xfId="55" applyNumberFormat="1" applyFont="1" applyAlignment="1">
      <alignment horizontal="left" wrapText="1"/>
    </xf>
    <xf numFmtId="0" fontId="26" fillId="0" borderId="0" xfId="55" applyFont="1" applyAlignment="1"/>
    <xf numFmtId="41" fontId="26" fillId="0" borderId="0" xfId="55" applyNumberFormat="1" applyFont="1" applyAlignment="1"/>
    <xf numFmtId="0" fontId="26" fillId="0" borderId="0" xfId="55" applyFont="1" applyAlignment="1">
      <alignment horizontal="left" wrapText="1"/>
    </xf>
    <xf numFmtId="3" fontId="26" fillId="0" borderId="42" xfId="55" applyNumberFormat="1" applyFont="1" applyBorder="1"/>
    <xf numFmtId="3" fontId="26" fillId="0" borderId="164" xfId="55" applyNumberFormat="1" applyFont="1" applyBorder="1"/>
    <xf numFmtId="4" fontId="26" fillId="0" borderId="152" xfId="55" applyNumberFormat="1" applyFont="1" applyBorder="1"/>
    <xf numFmtId="41" fontId="26" fillId="37" borderId="42" xfId="55" applyNumberFormat="1" applyFont="1" applyFill="1" applyBorder="1"/>
    <xf numFmtId="41" fontId="26" fillId="37" borderId="152" xfId="55" applyNumberFormat="1" applyFont="1" applyFill="1" applyBorder="1"/>
    <xf numFmtId="3" fontId="24" fillId="0" borderId="154" xfId="55" applyNumberFormat="1" applyFont="1" applyBorder="1"/>
    <xf numFmtId="0" fontId="26" fillId="0" borderId="160" xfId="55" applyFont="1" applyBorder="1" applyAlignment="1">
      <alignment horizontal="right"/>
    </xf>
    <xf numFmtId="4" fontId="24" fillId="0" borderId="159" xfId="55" applyNumberFormat="1" applyFont="1" applyBorder="1"/>
    <xf numFmtId="0" fontId="3" fillId="0" borderId="87" xfId="43" applyFont="1" applyBorder="1" applyAlignment="1">
      <alignment horizontal="center"/>
    </xf>
    <xf numFmtId="0" fontId="3" fillId="0" borderId="88" xfId="43" applyFont="1" applyBorder="1" applyAlignment="1">
      <alignment horizontal="center"/>
    </xf>
    <xf numFmtId="0" fontId="3" fillId="0" borderId="71" xfId="43" applyFont="1" applyBorder="1" applyAlignment="1">
      <alignment horizontal="center"/>
    </xf>
    <xf numFmtId="0" fontId="3" fillId="0" borderId="70" xfId="43" applyFont="1" applyBorder="1" applyAlignment="1">
      <alignment horizontal="center"/>
    </xf>
    <xf numFmtId="0" fontId="1" fillId="0" borderId="69" xfId="43" applyFont="1" applyBorder="1" applyAlignment="1">
      <alignment horizontal="center"/>
    </xf>
    <xf numFmtId="0" fontId="1" fillId="0" borderId="69" xfId="43" applyBorder="1" applyAlignment="1">
      <alignment horizontal="center"/>
    </xf>
    <xf numFmtId="0" fontId="1" fillId="0" borderId="70" xfId="43" applyFont="1" applyBorder="1" applyAlignment="1">
      <alignment horizontal="center"/>
    </xf>
    <xf numFmtId="0" fontId="1" fillId="0" borderId="71" xfId="43" applyFont="1" applyBorder="1" applyAlignment="1">
      <alignment horizontal="center"/>
    </xf>
    <xf numFmtId="0" fontId="26" fillId="0" borderId="0" xfId="0" applyFont="1" applyAlignment="1">
      <alignment wrapText="1"/>
    </xf>
    <xf numFmtId="0" fontId="1" fillId="0" borderId="106" xfId="42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1" fillId="0" borderId="109" xfId="42" applyFont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1" fillId="0" borderId="163" xfId="42" applyFont="1" applyBorder="1" applyAlignment="1">
      <alignment horizontal="center" vertical="center"/>
    </xf>
    <xf numFmtId="0" fontId="31" fillId="0" borderId="0" xfId="55" applyFont="1" applyAlignment="1">
      <alignment horizontal="center"/>
    </xf>
    <xf numFmtId="49" fontId="26" fillId="0" borderId="0" xfId="55" applyNumberFormat="1" applyFont="1" applyAlignment="1">
      <alignment horizontal="left" wrapText="1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26"/>
    <cellStyle name="Calculation" xfId="27" builtinId="22" customBuiltin="1"/>
    <cellStyle name="Check Cell" xfId="28" builtinId="23" customBuiltin="1"/>
    <cellStyle name="Comma" xfId="50" builtinId="3"/>
    <cellStyle name="Comma 2" xfId="29"/>
    <cellStyle name="Comma 2 2" xfId="52"/>
    <cellStyle name="Comma 3" xfId="30"/>
    <cellStyle name="Comma 3 2" xfId="53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Hyperlink 2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2 2" xfId="42"/>
    <cellStyle name="Normal 3" xfId="43"/>
    <cellStyle name="Normal 4" xfId="55"/>
    <cellStyle name="Note" xfId="44" builtinId="10" customBuiltin="1"/>
    <cellStyle name="Output" xfId="45" builtinId="21" customBuiltin="1"/>
    <cellStyle name="Percent" xfId="51" builtinId="5"/>
    <cellStyle name="Percent 2" xfId="46"/>
    <cellStyle name="Percent 2 2" xfId="54"/>
    <cellStyle name="Title" xfId="47" builtinId="15" customBuiltin="1"/>
    <cellStyle name="Total" xfId="48" builtinId="25" customBuiltin="1"/>
    <cellStyle name="Warning Text" xfId="49" builtinId="11" customBuiltin="1"/>
  </cellStyles>
  <dxfs count="1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2525"/>
      <color rgb="FFFF0000"/>
      <color rgb="FFA40000"/>
      <color rgb="FF740000"/>
      <color rgb="FF3A1953"/>
      <color rgb="FF481F67"/>
      <color rgb="FF3366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3209124175935"/>
          <c:y val="8.9399399644457228E-2"/>
          <c:w val="0.47209494382822398"/>
          <c:h val="0.7804739758049935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explosion val="2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A1953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4.828417365168064E-2"/>
                  <c:y val="-3.749531308586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866230204370523E-2"/>
                  <c:y val="3.0470950956457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171627422976622E-2"/>
                  <c:y val="2.4736558585198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818322608867424E-2"/>
                  <c:y val="1.9633224980735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440860215053769E-2"/>
                  <c:y val="-1.31233595800524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'PIE Aggregate Pg 4-DO NOT I (2'!$B$44:$B$49</c:f>
              <c:strCache>
                <c:ptCount val="6"/>
                <c:pt idx="0">
                  <c:v>Revenue from State </c:v>
                </c:pt>
                <c:pt idx="1">
                  <c:v>Revenue from Federal</c:v>
                </c:pt>
                <c:pt idx="2">
                  <c:v>Revenue from Local</c:v>
                </c:pt>
                <c:pt idx="3">
                  <c:v>Local Government Contribution</c:v>
                </c:pt>
                <c:pt idx="4">
                  <c:v>Licenses, Permits &amp; Fees</c:v>
                </c:pt>
                <c:pt idx="5">
                  <c:v>Misc/Fund Balance/Other</c:v>
                </c:pt>
              </c:strCache>
            </c:strRef>
          </c:cat>
          <c:val>
            <c:numRef>
              <c:f>'PIE Aggregate Pg 4-DO NOT I (2'!$H$44:$H$49</c:f>
              <c:numCache>
                <c:formatCode>#,##0_);\(#,##0\)</c:formatCode>
                <c:ptCount val="6"/>
                <c:pt idx="0">
                  <c:v>69475255</c:v>
                </c:pt>
                <c:pt idx="1">
                  <c:v>87444035.870000005</c:v>
                </c:pt>
                <c:pt idx="3">
                  <c:v>86381447.349999994</c:v>
                </c:pt>
                <c:pt idx="4">
                  <c:v>147056460</c:v>
                </c:pt>
                <c:pt idx="5">
                  <c:v>12314661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&amp;C&amp;"Arial,Bold"&amp;14PUBLIC HEALTH SERVICES-FUNDING OF LOCAL HEALTH JURISDICTIONS 
2010</c:oddHeader>
      <c:oddFooter>&amp;L07/24/12&amp;CPage 4&amp;R 2011 LHJ Funding Summary
Compiled by DOH
Source: BARS A Reports</c:oddFooter>
    </c:headerFooter>
    <c:pageMargins b="0" l="0.25" r="0.25" t="0" header="0.30000000000000032" footer="0.30000000000000032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3"/>
              <c:layout>
                <c:manualLayout>
                  <c:x val="-1.4347204996894264E-2"/>
                  <c:y val="-3.76541522449287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8694409993788528E-2"/>
                  <c:y val="2.63579065714500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('Columbia Pgs 20-21'!$B$69,'Columbia Pgs 20-21'!$B$73,'Columbia Pgs 20-21'!$B$62,'Columbia Pgs 20-21'!$B$63,'Columbia Pgs 20-21'!$B$75)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('Columbia Pgs 20-21'!$C$69,'Columbia Pgs 20-21'!$C$73,'Columbia Pgs 20-21'!$C$62,'Columbia Pgs 20-21'!$C$63,'Columbia Pgs 20-21'!$C$75)</c:f>
              <c:numCache>
                <c:formatCode>#,##0_);[Red]\(#,##0\)</c:formatCode>
                <c:ptCount val="5"/>
                <c:pt idx="0">
                  <c:v>128690</c:v>
                </c:pt>
                <c:pt idx="1">
                  <c:v>111453</c:v>
                </c:pt>
                <c:pt idx="2">
                  <c:v>85158</c:v>
                </c:pt>
                <c:pt idx="3">
                  <c:v>17178</c:v>
                </c:pt>
                <c:pt idx="4">
                  <c:v>35617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7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4"/>
              <c:layout>
                <c:manualLayout>
                  <c:x val="5.510962022283454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2533844495028"/>
                      <c:h val="0.1947571461715838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('Cowlitz Pgs 22-23'!$B$69,'Cowlitz Pgs 22-23'!$B$73,'Cowlitz Pgs 22-23'!$B$62,'Cowlitz Pgs 22-23'!$B$63,'Cowlitz Pgs 22-23'!$B$75)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('Cowlitz Pgs 22-23'!$C$69,'Cowlitz Pgs 22-23'!$C$73,'Cowlitz Pgs 22-23'!$C$62,'Cowlitz Pgs 22-23'!$C$63,'Cowlitz Pgs 22-23'!$C$75)</c:f>
              <c:numCache>
                <c:formatCode>#,##0_);[Red]\(#,##0\)</c:formatCode>
                <c:ptCount val="5"/>
                <c:pt idx="0">
                  <c:v>565845</c:v>
                </c:pt>
                <c:pt idx="1">
                  <c:v>502173</c:v>
                </c:pt>
                <c:pt idx="2">
                  <c:v>254078</c:v>
                </c:pt>
                <c:pt idx="3">
                  <c:v>1272162</c:v>
                </c:pt>
                <c:pt idx="4">
                  <c:v>317873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2332894418667916"/>
                  <c:y val="-3.39031804429041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1321824495673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450867052023033E-2"/>
                  <c:y val="7.54788299711575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4.151335648413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('Garfield Pgs 24-25'!$B$69,'Garfield Pgs 24-25'!$B$73,'Garfield Pgs 24-25'!$B$62,'Garfield Pgs 24-25'!$B$63,'Garfield Pgs 24-25'!$B$75)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('Garfield Pgs 24-25'!$C$69,'Garfield Pgs 24-25'!$C$73,'Garfield Pgs 24-25'!$C$62,'Garfield Pgs 24-25'!$C$63,'Garfield Pgs 24-25'!$C$75)</c:f>
              <c:numCache>
                <c:formatCode>#,##0_);[Red]\(#,##0\)</c:formatCode>
                <c:ptCount val="5"/>
                <c:pt idx="0">
                  <c:v>93734</c:v>
                </c:pt>
                <c:pt idx="1">
                  <c:v>68040</c:v>
                </c:pt>
                <c:pt idx="2">
                  <c:v>32499</c:v>
                </c:pt>
                <c:pt idx="3">
                  <c:v>15584</c:v>
                </c:pt>
                <c:pt idx="4">
                  <c:v>40450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('Grant Pgs 26-27'!$B$69,'Grant Pgs 26-27'!$B$73,'Grant Pgs 26-27'!$B$62,'Grant Pgs 26-27'!$B$63,'Grant Pgs 26-27'!$B$75)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('Grant Pgs 26-27'!$C$69,'Grant Pgs 26-27'!$C$73,'Grant Pgs 26-27'!$C$62,'Grant Pgs 26-27'!$C$63,'Grant Pgs 26-27'!$C$75)</c:f>
              <c:numCache>
                <c:formatCode>#,##0_);[Red]\(#,##0\)</c:formatCode>
                <c:ptCount val="5"/>
                <c:pt idx="0">
                  <c:v>751210</c:v>
                </c:pt>
                <c:pt idx="1">
                  <c:v>894490</c:v>
                </c:pt>
                <c:pt idx="2">
                  <c:v>270363</c:v>
                </c:pt>
                <c:pt idx="3">
                  <c:v>785548</c:v>
                </c:pt>
                <c:pt idx="4">
                  <c:v>7117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2.7626181876901905E-2"/>
                  <c:y val="6.8098392585775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89257183736735"/>
                      <c:h val="0.1956394816511252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7.2048014108181506E-3"/>
                  <c:y val="-0.11752442281090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('Grays Harbor Pgs 28-29'!$B$69,'Grays Harbor Pgs 28-29'!$B$73,'Grays Harbor Pgs 28-29'!$B$62,'Grays Harbor Pgs 28-29'!$B$63,'Grays Harbor Pgs 28-29'!$B$75)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('Grays Harbor Pgs 28-29'!$C$69,'Grays Harbor Pgs 28-29'!$C$73,'Grays Harbor Pgs 28-29'!$C$62,'Grays Harbor Pgs 28-29'!$C$63,'Grays Harbor Pgs 28-29'!$C$75)</c:f>
              <c:numCache>
                <c:formatCode>#,##0_);[Red]\(#,##0\)</c:formatCode>
                <c:ptCount val="5"/>
                <c:pt idx="0">
                  <c:v>163476</c:v>
                </c:pt>
                <c:pt idx="1">
                  <c:v>1382314</c:v>
                </c:pt>
                <c:pt idx="2">
                  <c:v>849288</c:v>
                </c:pt>
                <c:pt idx="3">
                  <c:v>248864</c:v>
                </c:pt>
                <c:pt idx="4">
                  <c:v>42127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1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Lbls>
            <c:dLbl>
              <c:idx val="0"/>
              <c:layout>
                <c:manualLayout>
                  <c:x val="-9.5785458673759826E-3"/>
                  <c:y val="-2.6598275091388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('Island Pgs 30-31'!$B$69,'Island Pgs 30-31'!$B$73,'Island Pgs 30-31'!$B$62,'Island Pgs 30-31'!$B$63,'Island Pgs 30-31'!$B$75)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('Island Pgs 30-31'!$C$69,'Island Pgs 30-31'!$C$73,'Island Pgs 30-31'!$C$62,'Island Pgs 30-31'!$C$63,'Island Pgs 30-31'!$C$75)</c:f>
              <c:numCache>
                <c:formatCode>#,##0_);[Red]\(#,##0\)</c:formatCode>
                <c:ptCount val="5"/>
                <c:pt idx="0">
                  <c:v>462634</c:v>
                </c:pt>
                <c:pt idx="1">
                  <c:v>1273830</c:v>
                </c:pt>
                <c:pt idx="2">
                  <c:v>458494</c:v>
                </c:pt>
                <c:pt idx="3">
                  <c:v>1665084</c:v>
                </c:pt>
                <c:pt idx="4">
                  <c:v>1476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1.68350200230690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55207706201083"/>
                  <c:y val="-2.64275640979906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('Jefferson Pgs 32-33'!$B$69,'Jefferson Pgs 32-33'!$B$73,'Jefferson Pgs 32-33'!$B$62,'Jefferson Pgs 32-33'!$B$63,'Jefferson Pgs 32-33'!$B$75)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('Jefferson Pgs 32-33'!$C$69,'Jefferson Pgs 32-33'!$C$73,'Jefferson Pgs 32-33'!$C$62,'Jefferson Pgs 32-33'!$C$63,'Jefferson Pgs 32-33'!$C$75)</c:f>
              <c:numCache>
                <c:formatCode>#,##0_);[Red]\(#,##0\)</c:formatCode>
                <c:ptCount val="5"/>
                <c:pt idx="0">
                  <c:v>747858</c:v>
                </c:pt>
                <c:pt idx="1">
                  <c:v>752876</c:v>
                </c:pt>
                <c:pt idx="2">
                  <c:v>862304</c:v>
                </c:pt>
                <c:pt idx="3">
                  <c:v>1725113</c:v>
                </c:pt>
                <c:pt idx="4">
                  <c:v>2325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4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2.656693483897775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20396087429049"/>
                      <c:h val="0.1951973168280769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('Kitsap Pgs 34-35'!$B$69,'Kitsap Pgs 34-35'!$B$73,'Kitsap Pgs 34-35'!$B$62,'Kitsap Pgs 34-35'!$B$63,'Kitsap Pgs 34-35'!$B$75)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('Kitsap Pgs 34-35'!$C$69,'Kitsap Pgs 34-35'!$C$73,'Kitsap Pgs 34-35'!$C$62,'Kitsap Pgs 34-35'!$C$63,'Kitsap Pgs 34-35'!$C$75)</c:f>
              <c:numCache>
                <c:formatCode>#,##0_);[Red]\(#,##0\)</c:formatCode>
                <c:ptCount val="5"/>
                <c:pt idx="0">
                  <c:v>2908383</c:v>
                </c:pt>
                <c:pt idx="1">
                  <c:v>2807303</c:v>
                </c:pt>
                <c:pt idx="2">
                  <c:v>2819018</c:v>
                </c:pt>
                <c:pt idx="3">
                  <c:v>4700577</c:v>
                </c:pt>
                <c:pt idx="4">
                  <c:v>-305805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('Kittitas Pgs 36-37'!$B$69,'Kittitas Pgs 36-37'!$B$73,'Kittitas Pgs 36-37'!$B$62,'Kittitas Pgs 36-37'!$B$63,'Kittitas Pgs 36-37'!$B$75)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('Kittitas Pgs 36-37'!$C$69,'Kittitas Pgs 36-37'!$C$73,'Kittitas Pgs 36-37'!$C$62,'Kittitas Pgs 36-37'!$C$63,'Kittitas Pgs 36-37'!$C$75)</c:f>
              <c:numCache>
                <c:formatCode>#,##0_);[Red]\(#,##0\)</c:formatCode>
                <c:ptCount val="5"/>
                <c:pt idx="0">
                  <c:v>310265</c:v>
                </c:pt>
                <c:pt idx="1">
                  <c:v>218397</c:v>
                </c:pt>
                <c:pt idx="2">
                  <c:v>320749</c:v>
                </c:pt>
                <c:pt idx="3">
                  <c:v>562380</c:v>
                </c:pt>
                <c:pt idx="4">
                  <c:v>62563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10355207706201075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707305626531784"/>
                  <c:y val="-2.060993272118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7694160144493"/>
                      <c:h val="0.1306844531010323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('Klickitat Pgs 38-39'!$B$69,'Klickitat Pgs 38-39'!$B$73,'Klickitat Pgs 38-39'!$B$62,'Klickitat Pgs 38-39'!$B$63,'Klickitat Pgs 38-39'!$B$75)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('Klickitat Pgs 38-39'!$C$69,'Klickitat Pgs 38-39'!$C$73,'Klickitat Pgs 38-39'!$C$62,'Klickitat Pgs 38-39'!$C$63,'Klickitat Pgs 38-39'!$C$75)</c:f>
              <c:numCache>
                <c:formatCode>#,##0_);[Red]\(#,##0\)</c:formatCode>
                <c:ptCount val="5"/>
                <c:pt idx="0">
                  <c:v>351490</c:v>
                </c:pt>
                <c:pt idx="1">
                  <c:v>333932</c:v>
                </c:pt>
                <c:pt idx="2">
                  <c:v>374147</c:v>
                </c:pt>
                <c:pt idx="3">
                  <c:v>398482</c:v>
                </c:pt>
                <c:pt idx="4">
                  <c:v>41850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48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10161236251505"/>
          <c:y val="8.6307524227436483E-2"/>
          <c:w val="0.3703719145956636"/>
          <c:h val="0.822623446699639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rgbClr val="FF2525"/>
              </a:solidFill>
            </c:spPr>
          </c:dPt>
          <c:dPt>
            <c:idx val="4"/>
            <c:bubble3D val="0"/>
            <c:spPr>
              <a:solidFill>
                <a:srgbClr val="A40000"/>
              </a:solidFill>
            </c:spPr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State from DOH
2.5%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County Public Health Assistance</a:t>
                    </a:r>
                  </a:p>
                  <a:p>
                    <a:pPr>
                      <a:defRPr sz="1200"/>
                    </a:pPr>
                    <a:r>
                      <a:rPr lang="en-US" sz="1200" b="1"/>
                      <a:t>9.8%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State from Other
5.5%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Federal from DOH
12.7%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Federal from Other
6.8%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Local Government Contribution</a:t>
                    </a:r>
                    <a:r>
                      <a:rPr lang="en-US" sz="1200"/>
                      <a:t>
</a:t>
                    </a:r>
                    <a:r>
                      <a:rPr lang="en-US" sz="1200" b="1"/>
                      <a:t>23.8%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Licenses Permits &amp; Fees</a:t>
                    </a:r>
                    <a:r>
                      <a:rPr lang="en-US" sz="1200"/>
                      <a:t>
</a:t>
                    </a:r>
                    <a:r>
                      <a:rPr lang="en-US" sz="1200" b="1"/>
                      <a:t>35.9</a:t>
                    </a:r>
                    <a:r>
                      <a:rPr lang="en-US" sz="1200"/>
                      <a:t>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862708981040503E-2"/>
                  <c:y val="2.109704251949261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Misc/Fund Balance/Other
2.9%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Sheet1!$A$1:$A$8</c:f>
              <c:strCache>
                <c:ptCount val="8"/>
                <c:pt idx="0">
                  <c:v>State from DOH</c:v>
                </c:pt>
                <c:pt idx="1">
                  <c:v>County Public Health Assistance</c:v>
                </c:pt>
                <c:pt idx="2">
                  <c:v>State from Other</c:v>
                </c:pt>
                <c:pt idx="3">
                  <c:v>Federal from DOH</c:v>
                </c:pt>
                <c:pt idx="4">
                  <c:v>Federal from Other</c:v>
                </c:pt>
                <c:pt idx="5">
                  <c:v>Local Government Contribution</c:v>
                </c:pt>
                <c:pt idx="6">
                  <c:v>Licenses Permits &amp; Fees</c:v>
                </c:pt>
                <c:pt idx="7">
                  <c:v>Misc/Fund Balance/Other</c:v>
                </c:pt>
              </c:strCache>
            </c:strRef>
          </c:cat>
          <c:val>
            <c:numRef>
              <c:f>Sheet1!$B$1:$B$8</c:f>
              <c:numCache>
                <c:formatCode>_(* #,##0_);_(* \(#,##0\);_(* "-"??_);_(@_)</c:formatCode>
                <c:ptCount val="8"/>
                <c:pt idx="0">
                  <c:v>9261386</c:v>
                </c:pt>
                <c:pt idx="1">
                  <c:v>35965458</c:v>
                </c:pt>
                <c:pt idx="2">
                  <c:v>20196195</c:v>
                </c:pt>
                <c:pt idx="3">
                  <c:v>46727758</c:v>
                </c:pt>
                <c:pt idx="4">
                  <c:v>24881621</c:v>
                </c:pt>
                <c:pt idx="5">
                  <c:v>87220190</c:v>
                </c:pt>
                <c:pt idx="6">
                  <c:v>131876822</c:v>
                </c:pt>
                <c:pt idx="7">
                  <c:v>10813352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30"/>
      </c:pieChart>
    </c:plotArea>
    <c:plotVisOnly val="1"/>
    <c:dispBlanksAs val="gap"/>
    <c:showDLblsOverMax val="0"/>
  </c:chart>
  <c:spPr>
    <a:ln>
      <a:noFill/>
    </a:ln>
  </c:spPr>
  <c:printSettings>
    <c:headerFooter>
      <c:oddHeader>&amp;C&amp;"-,Bold"&amp;18Expenditures by Funding Sources - Detail
2016
All Local Health Jurisdictions
</c:oddHeader>
    </c:headerFooter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5.2480916030534348E-2"/>
                  <c:y val="-5.261675118491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('Lewis Pgs 40-41'!$B$69,'Lewis Pgs 40-41'!$B$73,'Lewis Pgs 40-41'!$B$62,'Lewis Pgs 40-41'!$B$63,'Lewis Pgs 40-41'!$B$75)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('Lewis Pgs 40-41'!$C$69,'Lewis Pgs 40-41'!$C$73,'Lewis Pgs 40-41'!$C$62,'Lewis Pgs 40-41'!$C$63,'Lewis Pgs 40-41'!$C$75)</c:f>
              <c:numCache>
                <c:formatCode>#,##0_);[Red]\(#,##0\)</c:formatCode>
                <c:ptCount val="5"/>
                <c:pt idx="0">
                  <c:v>973318</c:v>
                </c:pt>
                <c:pt idx="1">
                  <c:v>1215603</c:v>
                </c:pt>
                <c:pt idx="2">
                  <c:v>781730</c:v>
                </c:pt>
                <c:pt idx="3">
                  <c:v>1965579</c:v>
                </c:pt>
                <c:pt idx="4">
                  <c:v>13078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('Lincoln Pgs 42-43'!$B$69,'Lincoln Pgs 42-43'!$B$73,'Lincoln Pgs 42-43'!$B$62,'Lincoln Pgs 42-43'!$B$63,'Lincoln Pgs 42-43'!$B$75)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('Lincoln Pgs 42-43'!$C$69,'Lincoln Pgs 42-43'!$C$73,'Lincoln Pgs 42-43'!$C$62,'Lincoln Pgs 42-43'!$C$63,'Lincoln Pgs 42-43'!$C$75)</c:f>
              <c:numCache>
                <c:formatCode>#,##0_);[Red]\(#,##0\)</c:formatCode>
                <c:ptCount val="5"/>
                <c:pt idx="0">
                  <c:v>153874</c:v>
                </c:pt>
                <c:pt idx="1">
                  <c:v>128088</c:v>
                </c:pt>
                <c:pt idx="2">
                  <c:v>95486</c:v>
                </c:pt>
                <c:pt idx="3">
                  <c:v>115594</c:v>
                </c:pt>
                <c:pt idx="4">
                  <c:v>5342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6.7276253705516056E-2"/>
                  <c:y val="-1.8892586964224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283330805685418E-2"/>
                  <c:y val="1.13891207617797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01537437794043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('Mason Pgs 44-45'!$B$69,'Mason Pgs 44-45'!$B$73,'Mason Pgs 44-45'!$B$62,'Mason Pgs 44-45'!$B$63,'Mason Pgs 44-45'!$B$75)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('Mason Pgs 44-45'!$C$69,'Mason Pgs 44-45'!$C$73,'Mason Pgs 44-45'!$C$62,'Mason Pgs 44-45'!$C$63,'Mason Pgs 44-45'!$C$75)</c:f>
              <c:numCache>
                <c:formatCode>#,##0_);[Red]\(#,##0\)</c:formatCode>
                <c:ptCount val="5"/>
                <c:pt idx="0">
                  <c:v>403526</c:v>
                </c:pt>
                <c:pt idx="1">
                  <c:v>579255</c:v>
                </c:pt>
                <c:pt idx="2">
                  <c:v>542276</c:v>
                </c:pt>
                <c:pt idx="3">
                  <c:v>552677</c:v>
                </c:pt>
                <c:pt idx="4">
                  <c:v>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7.913667570447408E-2"/>
                  <c:y val="-5.2955090628259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31720282407763E-3"/>
                  <c:y val="3.706469774322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('Northeast Tri Pgs 46-47'!$B$69,'Northeast Tri Pgs 46-47'!$B$73,'Northeast Tri Pgs 46-47'!$B$62,'Northeast Tri Pgs 46-47'!$B$63,'Northeast Tri Pgs 46-47'!$B$75)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('Northeast Tri Pgs 46-47'!$C$69,'Northeast Tri Pgs 46-47'!$C$73,'Northeast Tri Pgs 46-47'!$C$62,'Northeast Tri Pgs 46-47'!$C$63,'Northeast Tri Pgs 46-47'!$C$75)</c:f>
              <c:numCache>
                <c:formatCode>#,##0_);[Red]\(#,##0\)</c:formatCode>
                <c:ptCount val="5"/>
                <c:pt idx="0">
                  <c:v>381482</c:v>
                </c:pt>
                <c:pt idx="1">
                  <c:v>459949</c:v>
                </c:pt>
                <c:pt idx="2">
                  <c:v>790873</c:v>
                </c:pt>
                <c:pt idx="3">
                  <c:v>382179</c:v>
                </c:pt>
                <c:pt idx="4">
                  <c:v>7645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2.3995200959808258E-3"/>
                  <c:y val="2.9186428310835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226419663397488E-2"/>
                  <c:y val="-4.49817328120489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('Okanogan Pgs 48-49'!$B$69,'Okanogan Pgs 48-49'!$B$73,'Okanogan Pgs 48-49'!$B$62,'Okanogan Pgs 48-49'!$B$63,'Okanogan Pgs 48-49'!$B$75)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('Okanogan Pgs 48-49'!$C$69,'Okanogan Pgs 48-49'!$C$73,'Okanogan Pgs 48-49'!$C$62,'Okanogan Pgs 48-49'!$C$63,'Okanogan Pgs 48-49'!$C$75)</c:f>
              <c:numCache>
                <c:formatCode>#,##0_);[Red]\(#,##0\)</c:formatCode>
                <c:ptCount val="5"/>
                <c:pt idx="0">
                  <c:v>265669</c:v>
                </c:pt>
                <c:pt idx="1">
                  <c:v>211267</c:v>
                </c:pt>
                <c:pt idx="2">
                  <c:v>135000</c:v>
                </c:pt>
                <c:pt idx="3">
                  <c:v>413219</c:v>
                </c:pt>
                <c:pt idx="4">
                  <c:v>15881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0.22303425135621646"/>
                  <c:y val="3.90363702387095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1621676103742116E-2"/>
                  <c:y val="-3.8211565659461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150085813153242E-3"/>
                  <c:y val="9.521090640183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729991625792558E-2"/>
                  <c:y val="4.18767499474418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6604857040316"/>
                      <c:h val="0.1502419466582573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4606181465024731"/>
                  <c:y val="-4.9150827551937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24656059337242"/>
                      <c:h val="0.19652984825029146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('Pacific Pgs 50-51'!$B$69,'Pacific Pgs 50-51'!$B$73,'Pacific Pgs 50-51'!$B$62,'Pacific Pgs 50-51'!$B$63,'Pacific Pgs 50-51'!$B$75)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('Pacific Pgs 50-51'!$C$69,'Pacific Pgs 50-51'!$C$73,'Pacific Pgs 50-51'!$C$62,'Pacific Pgs 50-51'!$C$63,'Pacific Pgs 50-51'!$C$75)</c:f>
              <c:numCache>
                <c:formatCode>#,##0_);[Red]\(#,##0\)</c:formatCode>
                <c:ptCount val="5"/>
                <c:pt idx="0">
                  <c:v>199131</c:v>
                </c:pt>
                <c:pt idx="1">
                  <c:v>425453</c:v>
                </c:pt>
                <c:pt idx="2">
                  <c:v>98650</c:v>
                </c:pt>
                <c:pt idx="3">
                  <c:v>6610</c:v>
                </c:pt>
                <c:pt idx="4">
                  <c:v>1387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11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('San Juan Pgs 52-53'!$B$69,'San Juan Pgs 52-53'!$B$73,'San Juan Pgs 52-53'!$B$62,'San Juan Pgs 52-53'!$B$63,'San Juan Pgs 52-53'!$B$75)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('San Juan Pgs 52-53'!$C$69,'San Juan Pgs 52-53'!$C$73,'San Juan Pgs 52-53'!$C$62,'San Juan Pgs 52-53'!$C$63,'San Juan Pgs 52-53'!$C$75)</c:f>
              <c:numCache>
                <c:formatCode>#,##0_);[Red]\(#,##0\)</c:formatCode>
                <c:ptCount val="5"/>
                <c:pt idx="0">
                  <c:v>971776</c:v>
                </c:pt>
                <c:pt idx="1">
                  <c:v>423795</c:v>
                </c:pt>
                <c:pt idx="2">
                  <c:v>1480415</c:v>
                </c:pt>
                <c:pt idx="3">
                  <c:v>904234</c:v>
                </c:pt>
                <c:pt idx="4">
                  <c:v>8669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5.6282882662425059E-2"/>
                  <c:y val="0.116771841406221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171907500305887"/>
                  <c:y val="-2.636783515624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('Seattle-King Pgs 54-55'!$B$69,'Seattle-King Pgs 54-55'!$B$73,'Seattle-King Pgs 54-55'!$B$62,'Seattle-King Pgs 54-55'!$B$63,'Seattle-King Pgs 54-55'!$B$75)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('Seattle-King Pgs 54-55'!$C$69,'Seattle-King Pgs 54-55'!$C$73,'Seattle-King Pgs 54-55'!$C$62,'Seattle-King Pgs 54-55'!$C$63,'Seattle-King Pgs 54-55'!$C$75)</c:f>
              <c:numCache>
                <c:formatCode>#,##0_);[Red]\(#,##0\)</c:formatCode>
                <c:ptCount val="5"/>
                <c:pt idx="0">
                  <c:v>21335840</c:v>
                </c:pt>
                <c:pt idx="1">
                  <c:v>47346809</c:v>
                </c:pt>
                <c:pt idx="2">
                  <c:v>55620104</c:v>
                </c:pt>
                <c:pt idx="3">
                  <c:v>78642924</c:v>
                </c:pt>
                <c:pt idx="4">
                  <c:v>9476571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7.1744589262226471E-3"/>
                  <c:y val="4.5202003124988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('Skagit Pgs 56-57'!$B$69,'Skagit Pgs 56-57'!$B$73,'Skagit Pgs 56-57'!$B$62,'Skagit Pgs 56-57'!$B$63,'Skagit Pgs 56-57'!$B$75)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('Skagit Pgs 56-57'!$C$69,'Skagit Pgs 56-57'!$C$73,'Skagit Pgs 56-57'!$C$62,'Skagit Pgs 56-57'!$C$63,'Skagit Pgs 56-57'!$C$75)</c:f>
              <c:numCache>
                <c:formatCode>#,##0_);[Red]\(#,##0\)</c:formatCode>
                <c:ptCount val="5"/>
                <c:pt idx="0">
                  <c:v>676638</c:v>
                </c:pt>
                <c:pt idx="1">
                  <c:v>934489.87</c:v>
                </c:pt>
                <c:pt idx="2">
                  <c:v>1401980</c:v>
                </c:pt>
                <c:pt idx="3">
                  <c:v>1007589</c:v>
                </c:pt>
                <c:pt idx="4">
                  <c:v>102765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5739606363215209E-3"/>
                  <c:y val="-7.4827833673895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06371451957094"/>
                      <c:h val="0.1489851496232609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573960636321608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('Skamania Pgs 58-59'!$B$69,'Skamania Pgs 58-59'!$B$73,'Skamania Pgs 58-59'!$B$62,'Skamania Pgs 58-59'!$B$63,'Skamania Pgs 58-59'!$B$75)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('Skamania Pgs 58-59'!$C$69,'Skamania Pgs 58-59'!$C$73,'Skamania Pgs 58-59'!$C$62,'Skamania Pgs 58-59'!$C$63,'Skamania Pgs 58-59'!$C$75)</c:f>
              <c:numCache>
                <c:formatCode>#,##0_);[Red]\(#,##0\)</c:formatCode>
                <c:ptCount val="5"/>
                <c:pt idx="0">
                  <c:v>396125</c:v>
                </c:pt>
                <c:pt idx="1">
                  <c:v>118546</c:v>
                </c:pt>
                <c:pt idx="2">
                  <c:v>115699</c:v>
                </c:pt>
                <c:pt idx="3">
                  <c:v>936724</c:v>
                </c:pt>
                <c:pt idx="4">
                  <c:v>6282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52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45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989935018806395E-2"/>
          <c:y val="0.13765945547674635"/>
          <c:w val="0.82276846804405857"/>
          <c:h val="0.79232483200028403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3.472025932655854E-2"/>
                  <c:y val="5.6369785794813977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511653991968954E-2"/>
                  <c:y val="-6.856696464238475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496474265503134E-2"/>
                  <c:y val="-4.31603180380355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('Exp Code Ag Pgs 6&amp;7 Do Not Inpt'!$B$69,'Exp Code Ag Pgs 6&amp;7 Do Not Inpt'!$B$73,'Exp Code Ag Pgs 6&amp;7 Do Not Inpt'!$B$62,'Exp Code Ag Pgs 6&amp;7 Do Not Inpt'!$B$63,'Exp Code Ag Pgs 6&amp;7 Do Not Inpt'!$B$75)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('Exp Code Ag Pgs 6&amp;7 Do Not Inpt'!$C$69,'Exp Code Ag Pgs 6&amp;7 Do Not Inpt'!$C$73,'Exp Code Ag Pgs 6&amp;7 Do Not Inpt'!$C$62,'Exp Code Ag Pgs 6&amp;7 Do Not Inpt'!$C$63,'Exp Code Ag Pgs 6&amp;7 Do Not Inpt'!$C$75)</c:f>
              <c:numCache>
                <c:formatCode>#,##0</c:formatCode>
                <c:ptCount val="5"/>
                <c:pt idx="0">
                  <c:v>69475255</c:v>
                </c:pt>
                <c:pt idx="1">
                  <c:v>87444035.870000005</c:v>
                </c:pt>
                <c:pt idx="2">
                  <c:v>86381447.349999994</c:v>
                </c:pt>
                <c:pt idx="3">
                  <c:v>147056460</c:v>
                </c:pt>
                <c:pt idx="4">
                  <c:v>12314661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3"/>
              <c:layout>
                <c:manualLayout>
                  <c:x val="5.0311451844753149E-2"/>
                  <c:y val="3.75833937035090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('Snohomish Pgs 60-61'!$B$69,'Snohomish Pgs 60-61'!$B$73,'Snohomish Pgs 60-61'!$B$62,'Snohomish Pgs 60-61'!$B$63,'Snohomish Pgs 60-61'!$B$75)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('Snohomish Pgs 60-61'!$C$69,'Snohomish Pgs 60-61'!$C$73,'Snohomish Pgs 60-61'!$C$62,'Snohomish Pgs 60-61'!$C$63,'Snohomish Pgs 60-61'!$C$75)</c:f>
              <c:numCache>
                <c:formatCode>#,##0_);[Red]\(#,##0\)</c:formatCode>
                <c:ptCount val="5"/>
                <c:pt idx="0">
                  <c:v>4315412</c:v>
                </c:pt>
                <c:pt idx="1">
                  <c:v>3217859</c:v>
                </c:pt>
                <c:pt idx="2">
                  <c:v>2694913</c:v>
                </c:pt>
                <c:pt idx="3">
                  <c:v>6416304</c:v>
                </c:pt>
                <c:pt idx="4">
                  <c:v>-707932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3.5642159454601995E-2"/>
                  <c:y val="-7.49976673953855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522879272802656E-3"/>
                  <c:y val="2.99990669581536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3748950327922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('Spokane Pgs 62-63'!$B$69,'Spokane Pgs 62-63'!$B$73,'Spokane Pgs 62-63'!$B$62,'Spokane Pgs 62-63'!$B$63,'Spokane Pgs 62-63'!$B$75)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('Spokane Pgs 62-63'!$C$69,'Spokane Pgs 62-63'!$C$73,'Spokane Pgs 62-63'!$C$62,'Spokane Pgs 62-63'!$C$63,'Spokane Pgs 62-63'!$C$75)</c:f>
              <c:numCache>
                <c:formatCode>#,##0_);[Red]\(#,##0\)</c:formatCode>
                <c:ptCount val="5"/>
                <c:pt idx="0">
                  <c:v>8920206</c:v>
                </c:pt>
                <c:pt idx="1">
                  <c:v>7094159</c:v>
                </c:pt>
                <c:pt idx="2">
                  <c:v>2503150</c:v>
                </c:pt>
                <c:pt idx="3">
                  <c:v>7104475</c:v>
                </c:pt>
                <c:pt idx="4">
                  <c:v>207634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8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('Tacoma-Pierce Pgs 64-65'!$B$69,'Tacoma-Pierce Pgs 64-65'!$B$73,'Tacoma-Pierce Pgs 64-65'!$B$62,'Tacoma-Pierce Pgs 64-65'!$B$63,'Tacoma-Pierce Pgs 64-65'!$B$75)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('Tacoma-Pierce Pgs 64-65'!$C$69,'Tacoma-Pierce Pgs 64-65'!$C$73,'Tacoma-Pierce Pgs 64-65'!$C$62,'Tacoma-Pierce Pgs 64-65'!$C$63,'Tacoma-Pierce Pgs 64-65'!$C$75)</c:f>
              <c:numCache>
                <c:formatCode>#,##0_);[Red]\(#,##0\)</c:formatCode>
                <c:ptCount val="5"/>
                <c:pt idx="0">
                  <c:v>6994965</c:v>
                </c:pt>
                <c:pt idx="1">
                  <c:v>5915571</c:v>
                </c:pt>
                <c:pt idx="2">
                  <c:v>4670241</c:v>
                </c:pt>
                <c:pt idx="3">
                  <c:v>13369674</c:v>
                </c:pt>
                <c:pt idx="4">
                  <c:v>1181791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1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4.306219284515826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('Thurston Pgs 66-67'!$B$69,'Thurston Pgs 66-67'!$B$73,'Thurston Pgs 66-67'!$B$62,'Thurston Pgs 66-67'!$B$63,'Thurston Pgs 66-67'!$B$75)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('Thurston Pgs 66-67'!$C$69,'Thurston Pgs 66-67'!$C$73,'Thurston Pgs 66-67'!$C$62,'Thurston Pgs 66-67'!$C$63,'Thurston Pgs 66-67'!$C$75)</c:f>
              <c:numCache>
                <c:formatCode>#,##0_);[Red]\(#,##0\)</c:formatCode>
                <c:ptCount val="5"/>
                <c:pt idx="0">
                  <c:v>1937054</c:v>
                </c:pt>
                <c:pt idx="1">
                  <c:v>968709</c:v>
                </c:pt>
                <c:pt idx="2">
                  <c:v>936886</c:v>
                </c:pt>
                <c:pt idx="3">
                  <c:v>4012373</c:v>
                </c:pt>
                <c:pt idx="4">
                  <c:v>5309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0873498862474486"/>
                  <c:y val="-5.293390552428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915668423574292E-3"/>
                  <c:y val="1.510146519885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('Wahkiakum Pgs 68-69'!$B$69,'Wahkiakum Pgs 68-69'!$B$73,'Wahkiakum Pgs 68-69'!$B$62,'Wahkiakum Pgs 68-69'!$B$63,'Wahkiakum Pgs 68-69'!$B$75)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('Wahkiakum Pgs 68-69'!$C$69,'Wahkiakum Pgs 68-69'!$C$73,'Wahkiakum Pgs 68-69'!$C$62,'Wahkiakum Pgs 68-69'!$C$63,'Wahkiakum Pgs 68-69'!$C$75)</c:f>
              <c:numCache>
                <c:formatCode>#,##0_);[Red]\(#,##0\)</c:formatCode>
                <c:ptCount val="5"/>
                <c:pt idx="0">
                  <c:v>128004</c:v>
                </c:pt>
                <c:pt idx="1">
                  <c:v>78300</c:v>
                </c:pt>
                <c:pt idx="2">
                  <c:v>67382</c:v>
                </c:pt>
                <c:pt idx="3">
                  <c:v>39308</c:v>
                </c:pt>
                <c:pt idx="4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3.139717425431702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200257300888952E-2"/>
                  <c:y val="3.766833593749073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964109093294781E-2"/>
                  <c:y val="1.4830053518697139E-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196111580726958"/>
                      <c:h val="0.1190885923669121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7.2455017509961677E-3"/>
                  <c:y val="2.26010015624944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('Walla Walla Pgs 70-71'!$B$69,'Walla Walla Pgs 70-71'!$B$73,'Walla Walla Pgs 70-71'!$B$62,'Walla Walla Pgs 70-71'!$B$63,'Walla Walla Pgs 70-71'!$B$75)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('Walla Walla Pgs 70-71'!$C$69,'Walla Walla Pgs 70-71'!$C$73,'Walla Walla Pgs 70-71'!$C$62,'Walla Walla Pgs 70-71'!$C$63,'Walla Walla Pgs 70-71'!$C$75)</c:f>
              <c:numCache>
                <c:formatCode>#,##0_);[Red]\(#,##0\)</c:formatCode>
                <c:ptCount val="5"/>
                <c:pt idx="0">
                  <c:v>443735</c:v>
                </c:pt>
                <c:pt idx="1">
                  <c:v>336462</c:v>
                </c:pt>
                <c:pt idx="2">
                  <c:v>395000</c:v>
                </c:pt>
                <c:pt idx="3">
                  <c:v>148207</c:v>
                </c:pt>
                <c:pt idx="4">
                  <c:v>16900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('Whatcom Pgs 72-73'!$B$69,'Whatcom Pgs 72-73'!$B$73,'Whatcom Pgs 72-73'!$B$62,'Whatcom Pgs 72-73'!$B$63,'Whatcom Pgs 72-73'!$B$75)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('Whatcom Pgs 72-73'!$C$69,'Whatcom Pgs 72-73'!$C$73,'Whatcom Pgs 72-73'!$C$62,'Whatcom Pgs 72-73'!$C$63,'Whatcom Pgs 72-73'!$C$75)</c:f>
              <c:numCache>
                <c:formatCode>#,##0_);[Red]\(#,##0\)</c:formatCode>
                <c:ptCount val="5"/>
                <c:pt idx="0">
                  <c:v>6793007</c:v>
                </c:pt>
                <c:pt idx="1">
                  <c:v>1321727</c:v>
                </c:pt>
                <c:pt idx="2">
                  <c:v>2187582.85</c:v>
                </c:pt>
                <c:pt idx="3">
                  <c:v>8364897</c:v>
                </c:pt>
                <c:pt idx="4">
                  <c:v>376124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71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0.15794234104062591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98509658656211"/>
                      <c:h val="0.1594934585315951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5915341070413866E-2"/>
                  <c:y val="-3.72474214226051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525926283437463"/>
                      <c:h val="0.1028589009019155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('Whitman Pgs 74-75'!$B$69,'Whitman Pgs 74-75'!$B$73,'Whitman Pgs 74-75'!$B$62,'Whitman Pgs 74-75'!$B$63,'Whitman Pgs 74-75'!$B$75)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('Whitman Pgs 74-75'!$C$69,'Whitman Pgs 74-75'!$C$73,'Whitman Pgs 74-75'!$C$62,'Whitman Pgs 74-75'!$C$63,'Whitman Pgs 74-75'!$C$75)</c:f>
              <c:numCache>
                <c:formatCode>#,##0_);[Red]\(#,##0\)</c:formatCode>
                <c:ptCount val="5"/>
                <c:pt idx="0">
                  <c:v>212831</c:v>
                </c:pt>
                <c:pt idx="1">
                  <c:v>204730</c:v>
                </c:pt>
                <c:pt idx="2">
                  <c:v>197655</c:v>
                </c:pt>
                <c:pt idx="3">
                  <c:v>215004</c:v>
                </c:pt>
                <c:pt idx="4">
                  <c:v>5378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2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4.28775607432109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('Yakima Pgs 76-77'!$B$69,'Yakima Pgs 76-77'!$B$73,'Yakima Pgs 76-77'!$B$62,'Yakima Pgs 76-77'!$B$63,'Yakima Pgs 76-77'!$B$75)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('Yakima Pgs 76-77'!$C$69,'Yakima Pgs 76-77'!$C$73,'Yakima Pgs 76-77'!$C$62,'Yakima Pgs 76-77'!$C$63,'Yakima Pgs 76-77'!$C$75)</c:f>
              <c:numCache>
                <c:formatCode>#,##0_);[Red]\(#,##0\)</c:formatCode>
                <c:ptCount val="5"/>
                <c:pt idx="0">
                  <c:v>1238524</c:v>
                </c:pt>
                <c:pt idx="1">
                  <c:v>625115</c:v>
                </c:pt>
                <c:pt idx="2">
                  <c:v>162598</c:v>
                </c:pt>
                <c:pt idx="3">
                  <c:v>3273285</c:v>
                </c:pt>
                <c:pt idx="4">
                  <c:v>-89571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3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('Adams Pgs 8-9'!$B$68,'Adams Pgs 8-9'!$B$72,'Adams Pgs 8-9'!$B$61:$B$62,'Adams Pgs 8-9'!$B$74)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('Adams Pgs 8-9'!$C$68,'Adams Pgs 8-9'!$C$72,'Adams Pgs 8-9'!$C$61:$C$62,'Adams Pgs 8-9'!$C$74)</c:f>
              <c:numCache>
                <c:formatCode>#,##0_);[Red]\(#,##0\)</c:formatCode>
                <c:ptCount val="5"/>
                <c:pt idx="0">
                  <c:v>165807</c:v>
                </c:pt>
                <c:pt idx="1">
                  <c:v>214496</c:v>
                </c:pt>
                <c:pt idx="2">
                  <c:v>92687.5</c:v>
                </c:pt>
                <c:pt idx="3">
                  <c:v>79051</c:v>
                </c:pt>
                <c:pt idx="4">
                  <c:v>140000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7.8571443301732907E-2"/>
                  <c:y val="-2.6537772892784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8871892925430204E-2"/>
                  <c:y val="1.510146519885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('Asotin Pgs 10-11'!$B$69,'Asotin Pgs 10-11'!$B$73,'Asotin Pgs 10-11'!$B$62,'Asotin Pgs 10-11'!$B$63,'Asotin Pgs 10-11'!$B$75)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('Asotin Pgs 10-11'!$C$69,'Asotin Pgs 10-11'!$C$73,'Asotin Pgs 10-11'!$C$62,'Asotin Pgs 10-11'!$C$63,'Asotin Pgs 10-11'!$C$75)</c:f>
              <c:numCache>
                <c:formatCode>#,##0_);[Red]\(#,##0\)</c:formatCode>
                <c:ptCount val="5"/>
                <c:pt idx="0">
                  <c:v>168877</c:v>
                </c:pt>
                <c:pt idx="1">
                  <c:v>238133</c:v>
                </c:pt>
                <c:pt idx="2">
                  <c:v>45270</c:v>
                </c:pt>
                <c:pt idx="3">
                  <c:v>30094</c:v>
                </c:pt>
                <c:pt idx="4">
                  <c:v>70548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52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('Benton-Franklin Pgs 12-13'!$B$69,'Benton-Franklin Pgs 12-13'!$B$73,'Benton-Franklin Pgs 12-13'!$B$62,'Benton-Franklin Pgs 12-13'!$B$63,'Benton-Franklin Pgs 12-13'!$B$75)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('Benton-Franklin Pgs 12-13'!$C$69,'Benton-Franklin Pgs 12-13'!$C$73,'Benton-Franklin Pgs 12-13'!$C$62,'Benton-Franklin Pgs 12-13'!$C$63,'Benton-Franklin Pgs 12-13'!$C$75)</c:f>
              <c:numCache>
                <c:formatCode>#,##0_);[Red]\(#,##0\)</c:formatCode>
                <c:ptCount val="5"/>
                <c:pt idx="0">
                  <c:v>2189669</c:v>
                </c:pt>
                <c:pt idx="1">
                  <c:v>3166060</c:v>
                </c:pt>
                <c:pt idx="2">
                  <c:v>719036</c:v>
                </c:pt>
                <c:pt idx="3">
                  <c:v>3004027</c:v>
                </c:pt>
                <c:pt idx="4">
                  <c:v>78012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8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('Chelan-Douglas Pgs 14-15'!$B$69,'Chelan-Douglas Pgs 14-15'!$B$73,'Chelan-Douglas Pgs 14-15'!$B$62,'Chelan-Douglas Pgs 14-15'!$B$63,'Chelan-Douglas Pgs 14-15'!$B$75)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('Chelan-Douglas Pgs 14-15'!$C$69,'Chelan-Douglas Pgs 14-15'!$C$73,'Chelan-Douglas Pgs 14-15'!$C$62,'Chelan-Douglas Pgs 14-15'!$C$63,'Chelan-Douglas Pgs 14-15'!$C$75)</c:f>
              <c:numCache>
                <c:formatCode>#,##0_);[Red]\(#,##0\)</c:formatCode>
                <c:ptCount val="5"/>
                <c:pt idx="0">
                  <c:v>508754</c:v>
                </c:pt>
                <c:pt idx="1">
                  <c:v>1222641</c:v>
                </c:pt>
                <c:pt idx="2">
                  <c:v>512099</c:v>
                </c:pt>
                <c:pt idx="3">
                  <c:v>1218101</c:v>
                </c:pt>
                <c:pt idx="4">
                  <c:v>23913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1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8.6580275950354696E-2"/>
                  <c:y val="-4.939679659829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15007215007215E-3"/>
                  <c:y val="2.2798521506904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('Clallam Pgs 16-17'!$B$69,'Clallam Pgs 16-17'!$B$73,'Clallam Pgs 16-17'!$B$62,'Clallam Pgs 16-17'!$B$63,'Clallam Pgs 16-17'!$B$75)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('Clallam Pgs 16-17'!$C$69,'Clallam Pgs 16-17'!$C$73,'Clallam Pgs 16-17'!$C$62,'Clallam Pgs 16-17'!$C$63,'Clallam Pgs 16-17'!$C$75)</c:f>
              <c:numCache>
                <c:formatCode>#,##0_);[Red]\(#,##0\)</c:formatCode>
                <c:ptCount val="5"/>
                <c:pt idx="0">
                  <c:v>490927</c:v>
                </c:pt>
                <c:pt idx="1">
                  <c:v>651636</c:v>
                </c:pt>
                <c:pt idx="2">
                  <c:v>1269192</c:v>
                </c:pt>
                <c:pt idx="3">
                  <c:v>638246</c:v>
                </c:pt>
                <c:pt idx="4">
                  <c:v>64787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10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2.6303397444502958E-2"/>
                  <c:y val="7.54788299711575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25921332505136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691955316392987E-2"/>
                  <c:y val="-5.71563516527223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55564833591795"/>
                      <c:h val="0.1150617077894098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3912008328157105E-3"/>
                  <c:y val="1.88697074927893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('Clark Pgs 18-19'!$B$69,'Clark Pgs 18-19'!$B$73,'Clark Pgs 18-19'!$B$62,'Clark Pgs 18-19'!$B$63,'Clark Pgs 18-19'!$B$75)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('Clark Pgs 18-19'!$C$69,'Clark Pgs 18-19'!$C$73,'Clark Pgs 18-19'!$C$62,'Clark Pgs 18-19'!$C$63,'Clark Pgs 18-19'!$C$75)</c:f>
              <c:numCache>
                <c:formatCode>#,##0_);[Red]\(#,##0\)</c:formatCode>
                <c:ptCount val="5"/>
                <c:pt idx="0">
                  <c:v>2726519</c:v>
                </c:pt>
                <c:pt idx="1">
                  <c:v>2000375</c:v>
                </c:pt>
                <c:pt idx="2">
                  <c:v>2539444</c:v>
                </c:pt>
                <c:pt idx="3">
                  <c:v>2825113</c:v>
                </c:pt>
                <c:pt idx="4">
                  <c:v>1055028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6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144780</xdr:rowOff>
    </xdr:from>
    <xdr:to>
      <xdr:col>17</xdr:col>
      <xdr:colOff>83820</xdr:colOff>
      <xdr:row>41</xdr:row>
      <xdr:rowOff>45720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</xdr:colOff>
      <xdr:row>58</xdr:row>
      <xdr:rowOff>22860</xdr:rowOff>
    </xdr:from>
    <xdr:to>
      <xdr:col>10</xdr:col>
      <xdr:colOff>800099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784860</xdr:colOff>
      <xdr:row>58</xdr:row>
      <xdr:rowOff>15240</xdr:rowOff>
    </xdr:from>
    <xdr:to>
      <xdr:col>10</xdr:col>
      <xdr:colOff>800100</xdr:colOff>
      <xdr:row>76</xdr:row>
      <xdr:rowOff>12382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</xdr:colOff>
      <xdr:row>58</xdr:row>
      <xdr:rowOff>12700</xdr:rowOff>
    </xdr:from>
    <xdr:to>
      <xdr:col>11</xdr:col>
      <xdr:colOff>79375</xdr:colOff>
      <xdr:row>76</xdr:row>
      <xdr:rowOff>32702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587375</xdr:colOff>
      <xdr:row>57</xdr:row>
      <xdr:rowOff>161290</xdr:rowOff>
    </xdr:from>
    <xdr:to>
      <xdr:col>10</xdr:col>
      <xdr:colOff>633729</xdr:colOff>
      <xdr:row>75</xdr:row>
      <xdr:rowOff>188912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58</xdr:row>
      <xdr:rowOff>0</xdr:rowOff>
    </xdr:from>
    <xdr:to>
      <xdr:col>10</xdr:col>
      <xdr:colOff>809625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746760</xdr:colOff>
      <xdr:row>0</xdr:row>
      <xdr:rowOff>38100</xdr:rowOff>
    </xdr:from>
    <xdr:ext cx="1699260" cy="281940"/>
    <xdr:sp macro="" textlink="">
      <xdr:nvSpPr>
        <xdr:cNvPr id="5" name="TextBox 4"/>
        <xdr:cNvSpPr txBox="1"/>
      </xdr:nvSpPr>
      <xdr:spPr>
        <a:xfrm>
          <a:off x="3870960" y="38100"/>
          <a:ext cx="1699260" cy="281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1661160</xdr:colOff>
      <xdr:row>2</xdr:row>
      <xdr:rowOff>350520</xdr:rowOff>
    </xdr:from>
    <xdr:ext cx="0" cy="0"/>
    <xdr:sp macro="" textlink="">
      <xdr:nvSpPr>
        <xdr:cNvPr id="7" name="TextBox 6"/>
        <xdr:cNvSpPr txBox="1"/>
      </xdr:nvSpPr>
      <xdr:spPr>
        <a:xfrm>
          <a:off x="1661160" y="6858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2000" b="1" baseline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536090</xdr:colOff>
      <xdr:row>6</xdr:row>
      <xdr:rowOff>121396</xdr:rowOff>
    </xdr:from>
    <xdr:to>
      <xdr:col>9</xdr:col>
      <xdr:colOff>20470</xdr:colOff>
      <xdr:row>38</xdr:row>
      <xdr:rowOff>100629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736600</xdr:colOff>
      <xdr:row>2</xdr:row>
      <xdr:rowOff>107950</xdr:rowOff>
    </xdr:from>
    <xdr:to>
      <xdr:col>6</xdr:col>
      <xdr:colOff>1422400</xdr:colOff>
      <xdr:row>4</xdr:row>
      <xdr:rowOff>114300</xdr:rowOff>
    </xdr:to>
    <xdr:sp macro="" textlink="">
      <xdr:nvSpPr>
        <xdr:cNvPr id="3" name="TextBox 2"/>
        <xdr:cNvSpPr txBox="1"/>
      </xdr:nvSpPr>
      <xdr:spPr>
        <a:xfrm>
          <a:off x="2876550" y="425450"/>
          <a:ext cx="6972300" cy="105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Expenditures by Funding Sources - Detail</a:t>
          </a:r>
        </a:p>
        <a:p>
          <a:pPr algn="ctr"/>
          <a:r>
            <a:rPr lang="en-US" sz="2000" b="1"/>
            <a:t>2016</a:t>
          </a:r>
        </a:p>
        <a:p>
          <a:pPr algn="ctr"/>
          <a:r>
            <a:rPr lang="en-US" sz="2000" b="1"/>
            <a:t>All Local Health Jurisdictions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68580</xdr:rowOff>
    </xdr:from>
    <xdr:to>
      <xdr:col>11</xdr:col>
      <xdr:colOff>0</xdr:colOff>
      <xdr:row>76</xdr:row>
      <xdr:rowOff>88582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0</xdr:rowOff>
    </xdr:from>
    <xdr:to>
      <xdr:col>10</xdr:col>
      <xdr:colOff>781050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</xdr:colOff>
      <xdr:row>58</xdr:row>
      <xdr:rowOff>15240</xdr:rowOff>
    </xdr:from>
    <xdr:to>
      <xdr:col>11</xdr:col>
      <xdr:colOff>9524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57</xdr:row>
      <xdr:rowOff>152400</xdr:rowOff>
    </xdr:from>
    <xdr:to>
      <xdr:col>10</xdr:col>
      <xdr:colOff>754379</xdr:colOff>
      <xdr:row>75</xdr:row>
      <xdr:rowOff>149542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58</xdr:row>
      <xdr:rowOff>15240</xdr:rowOff>
    </xdr:from>
    <xdr:to>
      <xdr:col>10</xdr:col>
      <xdr:colOff>790575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784859</xdr:colOff>
      <xdr:row>58</xdr:row>
      <xdr:rowOff>34290</xdr:rowOff>
    </xdr:from>
    <xdr:to>
      <xdr:col>10</xdr:col>
      <xdr:colOff>790574</xdr:colOff>
      <xdr:row>76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7620</xdr:rowOff>
    </xdr:from>
    <xdr:to>
      <xdr:col>10</xdr:col>
      <xdr:colOff>790575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</xdr:colOff>
      <xdr:row>58</xdr:row>
      <xdr:rowOff>7620</xdr:rowOff>
    </xdr:from>
    <xdr:to>
      <xdr:col>10</xdr:col>
      <xdr:colOff>822959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58</xdr:row>
      <xdr:rowOff>17780</xdr:rowOff>
    </xdr:from>
    <xdr:to>
      <xdr:col>10</xdr:col>
      <xdr:colOff>790575</xdr:colOff>
      <xdr:row>76</xdr:row>
      <xdr:rowOff>22542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0</xdr:rowOff>
    </xdr:from>
    <xdr:to>
      <xdr:col>11</xdr:col>
      <xdr:colOff>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57</xdr:row>
      <xdr:rowOff>160020</xdr:rowOff>
    </xdr:from>
    <xdr:to>
      <xdr:col>10</xdr:col>
      <xdr:colOff>752475</xdr:colOff>
      <xdr:row>75</xdr:row>
      <xdr:rowOff>172402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57</xdr:row>
      <xdr:rowOff>167640</xdr:rowOff>
    </xdr:from>
    <xdr:to>
      <xdr:col>11</xdr:col>
      <xdr:colOff>7619</xdr:colOff>
      <xdr:row>76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15240</xdr:rowOff>
    </xdr:from>
    <xdr:to>
      <xdr:col>10</xdr:col>
      <xdr:colOff>809625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58</xdr:row>
      <xdr:rowOff>7620</xdr:rowOff>
    </xdr:from>
    <xdr:to>
      <xdr:col>10</xdr:col>
      <xdr:colOff>809625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57</xdr:row>
      <xdr:rowOff>114300</xdr:rowOff>
    </xdr:from>
    <xdr:to>
      <xdr:col>10</xdr:col>
      <xdr:colOff>771525</xdr:colOff>
      <xdr:row>76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86360</xdr:colOff>
      <xdr:row>58</xdr:row>
      <xdr:rowOff>30480</xdr:rowOff>
    </xdr:from>
    <xdr:to>
      <xdr:col>11</xdr:col>
      <xdr:colOff>47625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7620</xdr:rowOff>
    </xdr:from>
    <xdr:to>
      <xdr:col>10</xdr:col>
      <xdr:colOff>790575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</xdr:colOff>
      <xdr:row>58</xdr:row>
      <xdr:rowOff>7620</xdr:rowOff>
    </xdr:from>
    <xdr:to>
      <xdr:col>11</xdr:col>
      <xdr:colOff>9524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</xdr:colOff>
      <xdr:row>58</xdr:row>
      <xdr:rowOff>7620</xdr:rowOff>
    </xdr:from>
    <xdr:to>
      <xdr:col>11</xdr:col>
      <xdr:colOff>9524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57</xdr:row>
      <xdr:rowOff>152400</xdr:rowOff>
    </xdr:from>
    <xdr:to>
      <xdr:col>10</xdr:col>
      <xdr:colOff>784859</xdr:colOff>
      <xdr:row>75</xdr:row>
      <xdr:rowOff>187642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58</xdr:row>
      <xdr:rowOff>0</xdr:rowOff>
    </xdr:from>
    <xdr:to>
      <xdr:col>11</xdr:col>
      <xdr:colOff>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57</xdr:row>
      <xdr:rowOff>60960</xdr:rowOff>
    </xdr:from>
    <xdr:to>
      <xdr:col>11</xdr:col>
      <xdr:colOff>7620</xdr:colOff>
      <xdr:row>75</xdr:row>
      <xdr:rowOff>88582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</xdr:colOff>
      <xdr:row>58</xdr:row>
      <xdr:rowOff>15240</xdr:rowOff>
    </xdr:from>
    <xdr:to>
      <xdr:col>10</xdr:col>
      <xdr:colOff>800099</xdr:colOff>
      <xdr:row>76</xdr:row>
      <xdr:rowOff>20002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22412</xdr:colOff>
      <xdr:row>57</xdr:row>
      <xdr:rowOff>182880</xdr:rowOff>
    </xdr:from>
    <xdr:to>
      <xdr:col>10</xdr:col>
      <xdr:colOff>784859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58</xdr:row>
      <xdr:rowOff>7620</xdr:rowOff>
    </xdr:from>
    <xdr:to>
      <xdr:col>11</xdr:col>
      <xdr:colOff>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58</xdr:row>
      <xdr:rowOff>60960</xdr:rowOff>
    </xdr:from>
    <xdr:to>
      <xdr:col>11</xdr:col>
      <xdr:colOff>0</xdr:colOff>
      <xdr:row>76</xdr:row>
      <xdr:rowOff>65722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7620</xdr:rowOff>
    </xdr:from>
    <xdr:to>
      <xdr:col>10</xdr:col>
      <xdr:colOff>790575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57</xdr:row>
      <xdr:rowOff>175260</xdr:rowOff>
    </xdr:from>
    <xdr:to>
      <xdr:col>11</xdr:col>
      <xdr:colOff>9525</xdr:colOff>
      <xdr:row>75</xdr:row>
      <xdr:rowOff>187642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57</xdr:row>
      <xdr:rowOff>160020</xdr:rowOff>
    </xdr:from>
    <xdr:to>
      <xdr:col>10</xdr:col>
      <xdr:colOff>792479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58</xdr:row>
      <xdr:rowOff>7620</xdr:rowOff>
    </xdr:from>
    <xdr:to>
      <xdr:col>11</xdr:col>
      <xdr:colOff>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914400</xdr:colOff>
      <xdr:row>0</xdr:row>
      <xdr:rowOff>312420</xdr:rowOff>
    </xdr:from>
    <xdr:ext cx="184731" cy="264560"/>
    <xdr:sp macro="" textlink="">
      <xdr:nvSpPr>
        <xdr:cNvPr id="3" name="TextBox 2"/>
        <xdr:cNvSpPr txBox="1"/>
      </xdr:nvSpPr>
      <xdr:spPr>
        <a:xfrm>
          <a:off x="914400" y="312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22860</xdr:rowOff>
    </xdr:from>
    <xdr:to>
      <xdr:col>10</xdr:col>
      <xdr:colOff>809625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h\user\fr\dxt3303\Desktop\Seattle%20King%20County%20BARS%20Compli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ttle king"/>
      <sheetName val="Sheet2"/>
    </sheetNames>
    <sheetDataSet>
      <sheetData sheetId="0" refreshError="1">
        <row r="5">
          <cell r="D5">
            <v>698243</v>
          </cell>
        </row>
        <row r="6">
          <cell r="H6">
            <v>0</v>
          </cell>
          <cell r="I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8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0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1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6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28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29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0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31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32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3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9.bin"/><Relationship Id="rId4" Type="http://schemas.openxmlformats.org/officeDocument/2006/relationships/comments" Target="../comments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40.bin"/><Relationship Id="rId4" Type="http://schemas.openxmlformats.org/officeDocument/2006/relationships/comments" Target="../comments35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1.bin"/><Relationship Id="rId4" Type="http://schemas.openxmlformats.org/officeDocument/2006/relationships/comments" Target="../comments36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2.bin"/><Relationship Id="rId4" Type="http://schemas.openxmlformats.org/officeDocument/2006/relationships/comments" Target="../comments37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f>190500+88670</f>
        <v>279170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90.38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92780</v>
      </c>
      <c r="D5" s="236"/>
      <c r="E5" s="44"/>
      <c r="F5" s="237">
        <v>277869</v>
      </c>
      <c r="G5" s="236"/>
      <c r="H5" s="44"/>
      <c r="I5" s="236"/>
      <c r="J5" s="51">
        <f>314+5037</f>
        <v>5351</v>
      </c>
      <c r="K5" s="67">
        <f>SUM(C5:J5)</f>
        <v>376000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54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f>83005+93040</f>
        <v>176045</v>
      </c>
      <c r="D7" s="236">
        <f>70832+76440+22136</f>
        <v>169408</v>
      </c>
      <c r="E7" s="44"/>
      <c r="F7" s="237">
        <v>167295</v>
      </c>
      <c r="G7" s="236"/>
      <c r="H7" s="44">
        <f>151299+164758</f>
        <v>316057</v>
      </c>
      <c r="I7" s="236">
        <f>653326+8460</f>
        <v>661786</v>
      </c>
      <c r="J7" s="51">
        <v>800</v>
      </c>
      <c r="K7" s="67">
        <f t="shared" si="0"/>
        <v>1491391</v>
      </c>
      <c r="L7"/>
    </row>
    <row r="8" spans="1:12" x14ac:dyDescent="0.35">
      <c r="A8" s="93">
        <v>562.24</v>
      </c>
      <c r="B8" s="16" t="s">
        <v>11</v>
      </c>
      <c r="C8" s="235">
        <v>11584</v>
      </c>
      <c r="D8" s="236">
        <v>82992</v>
      </c>
      <c r="E8" s="44"/>
      <c r="F8" s="237">
        <v>32626</v>
      </c>
      <c r="G8" s="236"/>
      <c r="H8" s="239"/>
      <c r="I8" s="240">
        <v>43000</v>
      </c>
      <c r="J8" s="51"/>
      <c r="K8" s="67">
        <f t="shared" si="0"/>
        <v>170202</v>
      </c>
      <c r="L8"/>
    </row>
    <row r="9" spans="1:12" x14ac:dyDescent="0.35">
      <c r="A9" s="93">
        <v>562.25</v>
      </c>
      <c r="B9" s="28" t="s">
        <v>53</v>
      </c>
      <c r="C9" s="235">
        <v>899</v>
      </c>
      <c r="D9" s="236">
        <v>3150</v>
      </c>
      <c r="E9" s="44"/>
      <c r="F9" s="237">
        <v>2509</v>
      </c>
      <c r="G9" s="236"/>
      <c r="H9" s="44">
        <v>128128</v>
      </c>
      <c r="I9" s="236"/>
      <c r="J9" s="51"/>
      <c r="K9" s="67">
        <f t="shared" si="0"/>
        <v>134686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19148</v>
      </c>
      <c r="D12" s="236"/>
      <c r="E12" s="44"/>
      <c r="F12" s="237">
        <v>53931</v>
      </c>
      <c r="G12" s="236"/>
      <c r="H12" s="44">
        <f>36034+42415+1156245+950</f>
        <v>1235644</v>
      </c>
      <c r="I12" s="236"/>
      <c r="J12" s="51"/>
      <c r="K12" s="67">
        <f t="shared" si="0"/>
        <v>1308723</v>
      </c>
      <c r="L12"/>
    </row>
    <row r="13" spans="1:12" x14ac:dyDescent="0.35">
      <c r="A13" s="93">
        <v>562.29</v>
      </c>
      <c r="B13" s="28" t="s">
        <v>46</v>
      </c>
      <c r="C13" s="235">
        <v>2100</v>
      </c>
      <c r="D13" s="236"/>
      <c r="E13" s="44"/>
      <c r="F13" s="237">
        <v>5915</v>
      </c>
      <c r="G13" s="236"/>
      <c r="H13" s="44"/>
      <c r="I13" s="236">
        <v>154888</v>
      </c>
      <c r="J13" s="51"/>
      <c r="K13" s="67">
        <f t="shared" si="0"/>
        <v>162903</v>
      </c>
      <c r="L13"/>
    </row>
    <row r="14" spans="1:12" x14ac:dyDescent="0.35">
      <c r="A14" s="93">
        <v>562.32000000000005</v>
      </c>
      <c r="B14" s="16" t="s">
        <v>12</v>
      </c>
      <c r="C14" s="235">
        <v>86232</v>
      </c>
      <c r="D14" s="236">
        <f>581702+162775</f>
        <v>744477</v>
      </c>
      <c r="E14" s="44"/>
      <c r="F14" s="237">
        <v>256327</v>
      </c>
      <c r="G14" s="236"/>
      <c r="H14" s="44">
        <f>8770+41061+7587+10781+6696</f>
        <v>74895</v>
      </c>
      <c r="I14" s="236"/>
      <c r="J14" s="51">
        <v>4779</v>
      </c>
      <c r="K14" s="67">
        <f t="shared" si="0"/>
        <v>1166710</v>
      </c>
      <c r="L14"/>
    </row>
    <row r="15" spans="1:12" x14ac:dyDescent="0.35">
      <c r="A15" s="93">
        <v>562.33000000000004</v>
      </c>
      <c r="B15" s="28" t="s">
        <v>55</v>
      </c>
      <c r="C15" s="235">
        <v>2714</v>
      </c>
      <c r="D15" s="236"/>
      <c r="E15" s="44"/>
      <c r="F15" s="237">
        <v>7645</v>
      </c>
      <c r="G15" s="236"/>
      <c r="H15" s="44"/>
      <c r="I15" s="236"/>
      <c r="J15" s="51"/>
      <c r="K15" s="67">
        <f t="shared" si="0"/>
        <v>10359</v>
      </c>
      <c r="L15"/>
    </row>
    <row r="16" spans="1:12" x14ac:dyDescent="0.35">
      <c r="A16" s="93">
        <v>562.34</v>
      </c>
      <c r="B16" s="16" t="s">
        <v>13</v>
      </c>
      <c r="C16" s="235">
        <f>62496+9207</f>
        <v>71703</v>
      </c>
      <c r="D16" s="236">
        <v>43385</v>
      </c>
      <c r="E16" s="44"/>
      <c r="F16" s="237">
        <v>25930</v>
      </c>
      <c r="G16" s="236"/>
      <c r="H16" s="44"/>
      <c r="I16" s="236"/>
      <c r="J16" s="51"/>
      <c r="K16" s="67">
        <f t="shared" si="0"/>
        <v>141018</v>
      </c>
      <c r="L16"/>
    </row>
    <row r="17" spans="1:12" x14ac:dyDescent="0.35">
      <c r="A17" s="93">
        <v>562.35</v>
      </c>
      <c r="B17" s="16" t="s">
        <v>14</v>
      </c>
      <c r="C17" s="235">
        <v>4029</v>
      </c>
      <c r="D17" s="236">
        <v>18016</v>
      </c>
      <c r="E17" s="44">
        <v>243244</v>
      </c>
      <c r="F17" s="237">
        <v>11346</v>
      </c>
      <c r="G17" s="236"/>
      <c r="H17" s="44"/>
      <c r="I17" s="236"/>
      <c r="J17" s="51"/>
      <c r="K17" s="67">
        <f t="shared" si="0"/>
        <v>276635</v>
      </c>
      <c r="L17"/>
    </row>
    <row r="18" spans="1:12" x14ac:dyDescent="0.35">
      <c r="A18" s="93">
        <v>562.39</v>
      </c>
      <c r="B18" s="16" t="s">
        <v>15</v>
      </c>
      <c r="C18" s="235">
        <v>60204</v>
      </c>
      <c r="D18" s="236"/>
      <c r="E18" s="44"/>
      <c r="F18" s="237">
        <v>169563</v>
      </c>
      <c r="G18" s="236"/>
      <c r="H18" s="44"/>
      <c r="I18" s="236"/>
      <c r="J18" s="51"/>
      <c r="K18" s="67">
        <f t="shared" si="0"/>
        <v>229767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>
        <v>14530</v>
      </c>
      <c r="D23" s="236"/>
      <c r="E23" s="44"/>
      <c r="F23" s="237">
        <v>40922</v>
      </c>
      <c r="G23" s="236">
        <v>2333</v>
      </c>
      <c r="H23" s="44"/>
      <c r="I23" s="236"/>
      <c r="J23" s="51"/>
      <c r="K23" s="67">
        <f t="shared" si="0"/>
        <v>57785</v>
      </c>
      <c r="L23"/>
    </row>
    <row r="24" spans="1:12" x14ac:dyDescent="0.35">
      <c r="A24" s="93">
        <v>562.49</v>
      </c>
      <c r="B24" s="28" t="s">
        <v>47</v>
      </c>
      <c r="C24" s="235">
        <v>8471</v>
      </c>
      <c r="D24" s="236"/>
      <c r="E24" s="44"/>
      <c r="F24" s="237">
        <v>79996</v>
      </c>
      <c r="G24" s="236">
        <v>252710</v>
      </c>
      <c r="H24" s="44"/>
      <c r="I24" s="236">
        <f>183468+125+19932</f>
        <v>203525</v>
      </c>
      <c r="J24" s="51">
        <v>67082</v>
      </c>
      <c r="K24" s="67">
        <f t="shared" si="0"/>
        <v>611784</v>
      </c>
      <c r="L24"/>
    </row>
    <row r="25" spans="1:12" x14ac:dyDescent="0.35">
      <c r="A25" s="93">
        <v>562.52</v>
      </c>
      <c r="B25" s="16" t="s">
        <v>18</v>
      </c>
      <c r="C25" s="235">
        <v>8265</v>
      </c>
      <c r="D25" s="236">
        <f>12000+10550</f>
        <v>22550</v>
      </c>
      <c r="E25" s="44"/>
      <c r="F25" s="237">
        <v>23278</v>
      </c>
      <c r="G25" s="236">
        <v>4350</v>
      </c>
      <c r="H25" s="44"/>
      <c r="I25" s="236"/>
      <c r="J25" s="51"/>
      <c r="K25" s="67">
        <f t="shared" si="0"/>
        <v>58443</v>
      </c>
      <c r="L25"/>
    </row>
    <row r="26" spans="1:12" x14ac:dyDescent="0.35">
      <c r="A26" s="93">
        <v>562.53</v>
      </c>
      <c r="B26" s="28" t="s">
        <v>59</v>
      </c>
      <c r="C26" s="235">
        <v>1965</v>
      </c>
      <c r="D26" s="236">
        <v>31250</v>
      </c>
      <c r="E26" s="44"/>
      <c r="F26" s="237">
        <v>5536</v>
      </c>
      <c r="G26" s="236">
        <v>73166</v>
      </c>
      <c r="H26" s="44"/>
      <c r="I26" s="236"/>
      <c r="J26" s="51"/>
      <c r="K26" s="67">
        <f t="shared" si="0"/>
        <v>111917</v>
      </c>
      <c r="L26"/>
    </row>
    <row r="27" spans="1:12" x14ac:dyDescent="0.35">
      <c r="A27" s="93">
        <v>562.54</v>
      </c>
      <c r="B27" s="28" t="s">
        <v>60</v>
      </c>
      <c r="C27" s="235">
        <v>51148</v>
      </c>
      <c r="D27" s="236">
        <v>443535</v>
      </c>
      <c r="E27" s="44"/>
      <c r="F27" s="237">
        <v>144054</v>
      </c>
      <c r="G27" s="236"/>
      <c r="H27" s="44"/>
      <c r="I27" s="236"/>
      <c r="J27" s="51"/>
      <c r="K27" s="67">
        <f t="shared" si="0"/>
        <v>638737</v>
      </c>
      <c r="L27"/>
    </row>
    <row r="28" spans="1:12" x14ac:dyDescent="0.35">
      <c r="A28" s="93">
        <v>562.54999999999995</v>
      </c>
      <c r="B28" s="16" t="s">
        <v>19</v>
      </c>
      <c r="C28" s="235">
        <v>8845</v>
      </c>
      <c r="D28" s="236"/>
      <c r="E28" s="44"/>
      <c r="F28" s="237">
        <v>24910</v>
      </c>
      <c r="G28" s="236"/>
      <c r="H28" s="44"/>
      <c r="I28" s="236"/>
      <c r="J28" s="51"/>
      <c r="K28" s="67">
        <f t="shared" si="0"/>
        <v>33755</v>
      </c>
      <c r="L28"/>
    </row>
    <row r="29" spans="1:12" x14ac:dyDescent="0.35">
      <c r="A29" s="93">
        <v>562.55999999999995</v>
      </c>
      <c r="B29" s="16" t="s">
        <v>20</v>
      </c>
      <c r="C29" s="235">
        <v>43556</v>
      </c>
      <c r="D29" s="236">
        <f>702321+22750</f>
        <v>725071</v>
      </c>
      <c r="E29" s="44"/>
      <c r="F29" s="237">
        <v>122673</v>
      </c>
      <c r="G29" s="236"/>
      <c r="H29" s="44"/>
      <c r="I29" s="236"/>
      <c r="J29" s="51"/>
      <c r="K29" s="67">
        <f t="shared" si="0"/>
        <v>891300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>
        <v>646</v>
      </c>
      <c r="H30" s="44"/>
      <c r="I30" s="236"/>
      <c r="J30" s="51"/>
      <c r="K30" s="67">
        <f t="shared" si="0"/>
        <v>646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2500+40550</f>
        <v>43050</v>
      </c>
      <c r="E31" s="44"/>
      <c r="F31" s="237"/>
      <c r="G31" s="236"/>
      <c r="H31" s="44"/>
      <c r="I31" s="236"/>
      <c r="J31" s="51"/>
      <c r="K31" s="67">
        <f t="shared" si="0"/>
        <v>43050</v>
      </c>
      <c r="L31"/>
    </row>
    <row r="32" spans="1:12" x14ac:dyDescent="0.35">
      <c r="A32" s="93">
        <v>562.59</v>
      </c>
      <c r="B32" s="28" t="s">
        <v>49</v>
      </c>
      <c r="C32" s="235">
        <v>37</v>
      </c>
      <c r="D32" s="236"/>
      <c r="E32" s="44"/>
      <c r="F32" s="237">
        <v>106</v>
      </c>
      <c r="G32" s="236"/>
      <c r="H32" s="44"/>
      <c r="I32" s="236"/>
      <c r="J32" s="51"/>
      <c r="K32" s="67">
        <f t="shared" si="0"/>
        <v>143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391677</v>
      </c>
      <c r="E34" s="44"/>
      <c r="F34" s="237"/>
      <c r="G34" s="236"/>
      <c r="H34" s="44"/>
      <c r="I34" s="236"/>
      <c r="J34" s="51"/>
      <c r="K34" s="67">
        <f t="shared" si="0"/>
        <v>391677</v>
      </c>
      <c r="L34"/>
    </row>
    <row r="35" spans="1:12" x14ac:dyDescent="0.35">
      <c r="A35" s="93">
        <v>562.72</v>
      </c>
      <c r="B35" s="16" t="s">
        <v>23</v>
      </c>
      <c r="C35" s="235">
        <v>21717</v>
      </c>
      <c r="D35" s="236">
        <v>285466</v>
      </c>
      <c r="E35" s="44"/>
      <c r="F35" s="237">
        <v>61166</v>
      </c>
      <c r="G35" s="236"/>
      <c r="H35" s="44"/>
      <c r="I35" s="236"/>
      <c r="J35" s="51"/>
      <c r="K35" s="67">
        <f t="shared" si="0"/>
        <v>368349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v>33064</v>
      </c>
      <c r="D40" s="236"/>
      <c r="E40" s="44"/>
      <c r="F40" s="237">
        <v>93123</v>
      </c>
      <c r="G40" s="236">
        <v>6500</v>
      </c>
      <c r="H40" s="44"/>
      <c r="I40" s="236"/>
      <c r="J40" s="51"/>
      <c r="K40" s="67">
        <f t="shared" si="0"/>
        <v>132687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f>286924+28212+28967+51</f>
        <v>344154</v>
      </c>
      <c r="I41" s="236">
        <v>3983</v>
      </c>
      <c r="J41" s="51"/>
      <c r="K41" s="67">
        <f t="shared" si="0"/>
        <v>348137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>
        <v>0</v>
      </c>
      <c r="D43" s="236">
        <v>0</v>
      </c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719036</v>
      </c>
      <c r="D44" s="246">
        <f>SUM(D5:D43)</f>
        <v>3004027</v>
      </c>
      <c r="E44" s="247">
        <f t="shared" ref="E44:J44" si="1">SUM(E5:E43)</f>
        <v>243244</v>
      </c>
      <c r="F44" s="248">
        <f t="shared" si="1"/>
        <v>1606720</v>
      </c>
      <c r="G44" s="246">
        <f t="shared" si="1"/>
        <v>339705</v>
      </c>
      <c r="H44" s="247">
        <f t="shared" si="1"/>
        <v>2098878</v>
      </c>
      <c r="I44" s="249">
        <f t="shared" si="1"/>
        <v>1067182</v>
      </c>
      <c r="J44" s="250">
        <f t="shared" si="1"/>
        <v>78012</v>
      </c>
      <c r="K44" s="251">
        <f>SUM(C44:J44)</f>
        <v>9156804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719036</v>
      </c>
      <c r="D56" s="276">
        <f>SUM(D44:D55)</f>
        <v>3004027</v>
      </c>
      <c r="E56" s="277">
        <f t="shared" ref="E56:J56" si="3">SUM(E44:E55)</f>
        <v>243244</v>
      </c>
      <c r="F56" s="278">
        <f t="shared" si="3"/>
        <v>1606720</v>
      </c>
      <c r="G56" s="279">
        <f t="shared" si="3"/>
        <v>339705</v>
      </c>
      <c r="H56" s="277">
        <f t="shared" si="3"/>
        <v>2098878</v>
      </c>
      <c r="I56" s="280">
        <f t="shared" si="3"/>
        <v>1067182</v>
      </c>
      <c r="J56" s="281">
        <f t="shared" si="3"/>
        <v>78012</v>
      </c>
      <c r="K56" s="282">
        <f>SUM(C56:J56)</f>
        <v>9156804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719036</v>
      </c>
      <c r="D62" s="7">
        <f>C56/K56</f>
        <v>7.8524777859174444E-2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3004027</v>
      </c>
      <c r="D63" s="10">
        <f>D56/K56</f>
        <v>0.32806501045561309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3723063</v>
      </c>
      <c r="D64" s="23">
        <f>SUM(D62:D63)</f>
        <v>0.40658978831478754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243244</v>
      </c>
      <c r="D66" s="20">
        <f>E56/$K56</f>
        <v>2.6564290335361552E-2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1606720</v>
      </c>
      <c r="D67" s="20">
        <f>F56/$K56</f>
        <v>0.17546733554633254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339705</v>
      </c>
      <c r="D68" s="55">
        <f>G56/$K56</f>
        <v>3.7098642714204648E-2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2189669</v>
      </c>
      <c r="D69" s="23">
        <f>SUM(D66:D68)</f>
        <v>0.23913026859589875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2098878</v>
      </c>
      <c r="D71" s="7">
        <f>H56/K56</f>
        <v>0.22921512789833659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1067182</v>
      </c>
      <c r="D72" s="10">
        <f>I56/K56</f>
        <v>0.1165452487570991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3166060</v>
      </c>
      <c r="D73" s="23">
        <f>SUM(D71:D72)</f>
        <v>0.34576037665543569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78012</v>
      </c>
      <c r="D75" s="23">
        <f>J56/K56</f>
        <v>8.5195664338780213E-3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9156804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9:I43 E8:G8 C8:D43 C44:I55 J8:J55 C5:J7">
    <cfRule type="expression" dxfId="98" priority="3">
      <formula>ROW()=EVEN(ROW())</formula>
    </cfRule>
  </conditionalFormatting>
  <conditionalFormatting sqref="K45:K55">
    <cfRule type="expression" dxfId="97" priority="1">
      <formula>ROW()=EVEN(ROW())</formula>
    </cfRule>
  </conditionalFormatting>
  <conditionalFormatting sqref="K5:K44">
    <cfRule type="expression" dxfId="9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BENTON-FRANKLIN</oddHeader>
  </headerFooter>
  <rowBreaks count="1" manualBreakCount="1">
    <brk id="44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f>75910+40720</f>
        <v>116630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37</v>
      </c>
      <c r="D2" s="56"/>
      <c r="F2" s="2"/>
      <c r="G2" s="40"/>
      <c r="H2" s="40"/>
      <c r="I2" s="40"/>
      <c r="J2" s="89" t="s">
        <v>188</v>
      </c>
      <c r="K2" s="296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311860</v>
      </c>
      <c r="D5" s="236">
        <v>45779</v>
      </c>
      <c r="E5" s="44"/>
      <c r="F5" s="237">
        <v>293111</v>
      </c>
      <c r="G5" s="236"/>
      <c r="H5" s="44"/>
      <c r="I5" s="236"/>
      <c r="J5" s="51">
        <v>11266</v>
      </c>
      <c r="K5" s="67">
        <f>SUM(C5:J5)</f>
        <v>662016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3436</v>
      </c>
      <c r="D7" s="236"/>
      <c r="E7" s="44"/>
      <c r="F7" s="237">
        <v>1774</v>
      </c>
      <c r="G7" s="236"/>
      <c r="H7" s="44">
        <v>68255</v>
      </c>
      <c r="I7" s="236">
        <v>3152</v>
      </c>
      <c r="J7" s="51"/>
      <c r="K7" s="67">
        <f t="shared" si="0"/>
        <v>76617</v>
      </c>
      <c r="L7"/>
    </row>
    <row r="8" spans="1:12" x14ac:dyDescent="0.35">
      <c r="A8" s="93">
        <v>562.24</v>
      </c>
      <c r="B8" s="16" t="s">
        <v>11</v>
      </c>
      <c r="C8" s="235"/>
      <c r="D8" s="236">
        <v>2620</v>
      </c>
      <c r="E8" s="44"/>
      <c r="F8" s="237"/>
      <c r="G8" s="236">
        <v>14000</v>
      </c>
      <c r="H8" s="239"/>
      <c r="I8" s="240">
        <v>14000</v>
      </c>
      <c r="J8" s="51">
        <v>8000</v>
      </c>
      <c r="K8" s="67">
        <f t="shared" si="0"/>
        <v>38620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>
        <v>64353</v>
      </c>
      <c r="I9" s="236">
        <v>5012</v>
      </c>
      <c r="J9" s="51"/>
      <c r="K9" s="67">
        <f t="shared" si="0"/>
        <v>69365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>
        <v>203735</v>
      </c>
      <c r="I12" s="236">
        <v>1722</v>
      </c>
      <c r="J12" s="51"/>
      <c r="K12" s="67">
        <f t="shared" si="0"/>
        <v>205457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>
        <v>59528</v>
      </c>
      <c r="D14" s="236">
        <v>7691</v>
      </c>
      <c r="E14" s="44"/>
      <c r="F14" s="237">
        <v>38146</v>
      </c>
      <c r="G14" s="236"/>
      <c r="H14" s="44">
        <v>19645</v>
      </c>
      <c r="I14" s="236">
        <v>54165</v>
      </c>
      <c r="J14" s="51"/>
      <c r="K14" s="67">
        <f t="shared" si="0"/>
        <v>179175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>
        <v>76000</v>
      </c>
      <c r="D16" s="236"/>
      <c r="E16" s="44"/>
      <c r="F16" s="237"/>
      <c r="G16" s="236"/>
      <c r="H16" s="44"/>
      <c r="I16" s="236"/>
      <c r="J16" s="51"/>
      <c r="K16" s="67">
        <f t="shared" si="0"/>
        <v>76000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>
        <v>27675</v>
      </c>
      <c r="D18" s="236"/>
      <c r="E18" s="44"/>
      <c r="F18" s="237">
        <v>50796</v>
      </c>
      <c r="G18" s="236"/>
      <c r="H18" s="44"/>
      <c r="I18" s="236">
        <v>17814</v>
      </c>
      <c r="J18" s="51"/>
      <c r="K18" s="67">
        <f t="shared" si="0"/>
        <v>96285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>
        <v>1842</v>
      </c>
      <c r="G19" s="236"/>
      <c r="H19" s="44"/>
      <c r="I19" s="236">
        <v>43197</v>
      </c>
      <c r="J19" s="51"/>
      <c r="K19" s="67">
        <f t="shared" si="0"/>
        <v>45039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>
        <v>29400</v>
      </c>
      <c r="D24" s="236"/>
      <c r="E24" s="44"/>
      <c r="F24" s="237">
        <v>4160</v>
      </c>
      <c r="G24" s="236"/>
      <c r="H24" s="44"/>
      <c r="I24" s="236"/>
      <c r="J24" s="51"/>
      <c r="K24" s="67">
        <f t="shared" si="0"/>
        <v>33560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v>36001</v>
      </c>
      <c r="E25" s="44"/>
      <c r="F25" s="237"/>
      <c r="G25" s="236"/>
      <c r="H25" s="44"/>
      <c r="I25" s="236"/>
      <c r="J25" s="51"/>
      <c r="K25" s="67">
        <f t="shared" si="0"/>
        <v>36001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5793+99209</f>
        <v>105002</v>
      </c>
      <c r="E26" s="44"/>
      <c r="F26" s="237"/>
      <c r="G26" s="236">
        <v>95118</v>
      </c>
      <c r="H26" s="44"/>
      <c r="I26" s="236"/>
      <c r="J26" s="51"/>
      <c r="K26" s="67">
        <f t="shared" si="0"/>
        <v>200120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270146+134553-4890</f>
        <v>399809</v>
      </c>
      <c r="E27" s="44"/>
      <c r="F27" s="237"/>
      <c r="G27" s="236"/>
      <c r="H27" s="44"/>
      <c r="I27" s="236"/>
      <c r="J27" s="51"/>
      <c r="K27" s="67">
        <f t="shared" si="0"/>
        <v>399809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375039+103946+5350</f>
        <v>484335</v>
      </c>
      <c r="E29" s="44"/>
      <c r="F29" s="237"/>
      <c r="G29" s="236"/>
      <c r="H29" s="44"/>
      <c r="I29" s="236"/>
      <c r="J29" s="51"/>
      <c r="K29" s="67">
        <f t="shared" si="0"/>
        <v>484335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>
        <v>2445</v>
      </c>
      <c r="E30" s="44"/>
      <c r="F30" s="237"/>
      <c r="G30" s="236"/>
      <c r="H30" s="44"/>
      <c r="I30" s="236"/>
      <c r="J30" s="51"/>
      <c r="K30" s="67">
        <f t="shared" si="0"/>
        <v>2445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57390-510</f>
        <v>56880</v>
      </c>
      <c r="E31" s="44"/>
      <c r="F31" s="237"/>
      <c r="G31" s="236"/>
      <c r="H31" s="44"/>
      <c r="I31" s="236"/>
      <c r="J31" s="51"/>
      <c r="K31" s="67">
        <f t="shared" si="0"/>
        <v>56880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77539</v>
      </c>
      <c r="E34" s="44"/>
      <c r="F34" s="237"/>
      <c r="G34" s="236"/>
      <c r="H34" s="44"/>
      <c r="I34" s="236"/>
      <c r="J34" s="51"/>
      <c r="K34" s="67">
        <f t="shared" si="0"/>
        <v>77539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v>4200</v>
      </c>
      <c r="D40" s="236"/>
      <c r="E40" s="44"/>
      <c r="F40" s="237">
        <v>9807</v>
      </c>
      <c r="G40" s="236"/>
      <c r="H40" s="44"/>
      <c r="I40" s="236"/>
      <c r="J40" s="51"/>
      <c r="K40" s="67">
        <f t="shared" si="0"/>
        <v>14007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247591</v>
      </c>
      <c r="I41" s="236"/>
      <c r="J41" s="51">
        <v>447</v>
      </c>
      <c r="K41" s="67">
        <f t="shared" si="0"/>
        <v>248038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>
        <v>480000</v>
      </c>
      <c r="J42" s="51">
        <v>4200</v>
      </c>
      <c r="K42" s="67">
        <f t="shared" si="0"/>
        <v>484200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512099</v>
      </c>
      <c r="D44" s="246">
        <f>SUM(D5:D43)</f>
        <v>1218101</v>
      </c>
      <c r="E44" s="247">
        <f t="shared" ref="E44:J44" si="1">SUM(E5:E43)</f>
        <v>0</v>
      </c>
      <c r="F44" s="248">
        <f t="shared" si="1"/>
        <v>399636</v>
      </c>
      <c r="G44" s="246">
        <f t="shared" si="1"/>
        <v>109118</v>
      </c>
      <c r="H44" s="247">
        <f t="shared" si="1"/>
        <v>603579</v>
      </c>
      <c r="I44" s="249">
        <f t="shared" si="1"/>
        <v>619062</v>
      </c>
      <c r="J44" s="250">
        <f t="shared" si="1"/>
        <v>23913</v>
      </c>
      <c r="K44" s="251">
        <f>SUM(C44:J44)</f>
        <v>3485508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512099</v>
      </c>
      <c r="D56" s="276">
        <f>SUM(D44:D55)</f>
        <v>1218101</v>
      </c>
      <c r="E56" s="277">
        <f t="shared" ref="E56:J56" si="3">SUM(E44:E55)</f>
        <v>0</v>
      </c>
      <c r="F56" s="278">
        <f t="shared" si="3"/>
        <v>399636</v>
      </c>
      <c r="G56" s="279">
        <f t="shared" si="3"/>
        <v>109118</v>
      </c>
      <c r="H56" s="277">
        <f t="shared" si="3"/>
        <v>603579</v>
      </c>
      <c r="I56" s="280">
        <f t="shared" si="3"/>
        <v>619062</v>
      </c>
      <c r="J56" s="281">
        <f t="shared" si="3"/>
        <v>23913</v>
      </c>
      <c r="K56" s="282">
        <f>SUM(C56:J56)</f>
        <v>3485508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512099</v>
      </c>
      <c r="D62" s="7">
        <f>C56/K56</f>
        <v>0.14692234245338126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1218101</v>
      </c>
      <c r="D63" s="10">
        <f>D56/K56</f>
        <v>0.34947588701560861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1730200</v>
      </c>
      <c r="D64" s="23">
        <f>SUM(D62:D63)</f>
        <v>0.49639822946898987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399636</v>
      </c>
      <c r="D67" s="20">
        <f>F56/$K56</f>
        <v>0.11465645753789691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109118</v>
      </c>
      <c r="D68" s="55">
        <f>G56/$K56</f>
        <v>3.1306196973296285E-2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508754</v>
      </c>
      <c r="D69" s="23">
        <f>SUM(D66:D68)</f>
        <v>0.1459626545111932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603579</v>
      </c>
      <c r="D71" s="7">
        <f>H56/K56</f>
        <v>0.17316815798443153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619062</v>
      </c>
      <c r="D72" s="10">
        <f>I56/K56</f>
        <v>0.17761026513208406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1222641</v>
      </c>
      <c r="D73" s="23">
        <f>SUM(D71:D72)</f>
        <v>0.35077842311651558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23913</v>
      </c>
      <c r="D75" s="23">
        <f>J56/K56</f>
        <v>6.8606929033013268E-3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3485508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95" priority="3">
      <formula>ROW()=EVEN(ROW())</formula>
    </cfRule>
  </conditionalFormatting>
  <conditionalFormatting sqref="K45:K55">
    <cfRule type="expression" dxfId="94" priority="1">
      <formula>ROW()=EVEN(ROW())</formula>
    </cfRule>
  </conditionalFormatting>
  <conditionalFormatting sqref="K5:K44">
    <cfRule type="expression" dxfId="9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CHELAN-DOUGLAS</oddHeader>
  </headerFooter>
  <rowBreaks count="1" manualBreakCount="1">
    <brk id="44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73410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28.3</v>
      </c>
      <c r="D2" s="56"/>
      <c r="F2" s="2"/>
      <c r="G2" s="40"/>
      <c r="H2" s="40"/>
      <c r="I2" s="40"/>
      <c r="J2" s="89" t="s">
        <v>188</v>
      </c>
      <c r="K2" s="296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928759</v>
      </c>
      <c r="D5" s="236">
        <v>21435</v>
      </c>
      <c r="E5" s="44"/>
      <c r="F5" s="237">
        <v>35641</v>
      </c>
      <c r="G5" s="236"/>
      <c r="H5" s="44"/>
      <c r="I5" s="236">
        <v>49450</v>
      </c>
      <c r="J5" s="51">
        <f>1009+5+50670+60</f>
        <v>51744</v>
      </c>
      <c r="K5" s="67">
        <f>SUM(C5:J5)</f>
        <v>1087029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15</v>
      </c>
      <c r="D7" s="236"/>
      <c r="E7" s="44"/>
      <c r="F7" s="237"/>
      <c r="G7" s="236"/>
      <c r="H7" s="44">
        <v>62368</v>
      </c>
      <c r="I7" s="236"/>
      <c r="J7" s="51"/>
      <c r="K7" s="67">
        <f t="shared" si="0"/>
        <v>62383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>
        <v>187</v>
      </c>
      <c r="G9" s="236"/>
      <c r="H9" s="44"/>
      <c r="I9" s="236"/>
      <c r="J9" s="51"/>
      <c r="K9" s="67">
        <f t="shared" si="0"/>
        <v>187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21132</v>
      </c>
      <c r="D12" s="236"/>
      <c r="E12" s="44"/>
      <c r="F12" s="237">
        <v>109768</v>
      </c>
      <c r="G12" s="236"/>
      <c r="H12" s="44">
        <v>277028</v>
      </c>
      <c r="I12" s="236"/>
      <c r="J12" s="51"/>
      <c r="K12" s="67">
        <f t="shared" si="0"/>
        <v>407928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>
        <v>38988</v>
      </c>
      <c r="D14" s="236">
        <v>28319</v>
      </c>
      <c r="E14" s="44"/>
      <c r="F14" s="237">
        <v>33585</v>
      </c>
      <c r="G14" s="216"/>
      <c r="H14" s="44">
        <f>685+7280+3718+1580</f>
        <v>13263</v>
      </c>
      <c r="I14" s="236">
        <v>12399</v>
      </c>
      <c r="J14" s="51">
        <v>402</v>
      </c>
      <c r="K14" s="67">
        <f t="shared" si="0"/>
        <v>126956</v>
      </c>
      <c r="L14"/>
    </row>
    <row r="15" spans="1:12" x14ac:dyDescent="0.35">
      <c r="A15" s="93">
        <v>562.33000000000004</v>
      </c>
      <c r="B15" s="28" t="s">
        <v>55</v>
      </c>
      <c r="C15" s="235">
        <v>6032</v>
      </c>
      <c r="D15" s="236"/>
      <c r="E15" s="44"/>
      <c r="F15" s="237">
        <v>19341</v>
      </c>
      <c r="G15" s="236"/>
      <c r="H15" s="44"/>
      <c r="I15" s="236"/>
      <c r="J15" s="51"/>
      <c r="K15" s="67">
        <f t="shared" si="0"/>
        <v>25373</v>
      </c>
      <c r="L15"/>
    </row>
    <row r="16" spans="1:12" x14ac:dyDescent="0.35">
      <c r="A16" s="93">
        <v>562.34</v>
      </c>
      <c r="B16" s="16" t="s">
        <v>13</v>
      </c>
      <c r="C16" s="235">
        <v>2439</v>
      </c>
      <c r="D16" s="236">
        <v>4507</v>
      </c>
      <c r="E16" s="44"/>
      <c r="F16" s="237">
        <v>4566</v>
      </c>
      <c r="G16" s="236"/>
      <c r="H16" s="44"/>
      <c r="I16" s="236"/>
      <c r="J16" s="51">
        <v>297</v>
      </c>
      <c r="K16" s="67">
        <f t="shared" si="0"/>
        <v>11809</v>
      </c>
      <c r="L16"/>
    </row>
    <row r="17" spans="1:12" x14ac:dyDescent="0.35">
      <c r="A17" s="93">
        <v>562.35</v>
      </c>
      <c r="B17" s="16" t="s">
        <v>14</v>
      </c>
      <c r="C17" s="235">
        <v>6694</v>
      </c>
      <c r="D17" s="236"/>
      <c r="E17" s="44">
        <v>82064</v>
      </c>
      <c r="F17" s="237">
        <v>43454</v>
      </c>
      <c r="G17" s="236"/>
      <c r="H17" s="44"/>
      <c r="I17" s="236">
        <v>10528</v>
      </c>
      <c r="J17" s="51"/>
      <c r="K17" s="67">
        <f t="shared" si="0"/>
        <v>142740</v>
      </c>
      <c r="L17"/>
    </row>
    <row r="18" spans="1:12" x14ac:dyDescent="0.35">
      <c r="A18" s="93">
        <v>562.39</v>
      </c>
      <c r="B18" s="16" t="s">
        <v>15</v>
      </c>
      <c r="C18" s="235">
        <v>12200</v>
      </c>
      <c r="D18" s="236">
        <v>1675</v>
      </c>
      <c r="E18" s="44"/>
      <c r="F18" s="237">
        <v>36624</v>
      </c>
      <c r="G18" s="236"/>
      <c r="H18" s="44"/>
      <c r="I18" s="236"/>
      <c r="J18" s="51"/>
      <c r="K18" s="67">
        <f t="shared" si="0"/>
        <v>50499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>
        <v>29598</v>
      </c>
      <c r="D25" s="236">
        <f>2200+2200+1291</f>
        <v>5691</v>
      </c>
      <c r="E25" s="44"/>
      <c r="F25" s="237"/>
      <c r="G25" s="236"/>
      <c r="H25" s="44"/>
      <c r="I25" s="236"/>
      <c r="J25" s="51"/>
      <c r="K25" s="67">
        <f t="shared" si="0"/>
        <v>35289</v>
      </c>
      <c r="L25"/>
    </row>
    <row r="26" spans="1:12" x14ac:dyDescent="0.35">
      <c r="A26" s="93">
        <v>562.53</v>
      </c>
      <c r="B26" s="28" t="s">
        <v>59</v>
      </c>
      <c r="C26" s="235"/>
      <c r="D26" s="236">
        <v>28820</v>
      </c>
      <c r="E26" s="44"/>
      <c r="F26" s="237"/>
      <c r="G26" s="236">
        <f>32300+8308+2857</f>
        <v>43465</v>
      </c>
      <c r="H26" s="44"/>
      <c r="I26" s="236"/>
      <c r="J26" s="51">
        <f>3732+8612</f>
        <v>12344</v>
      </c>
      <c r="K26" s="67">
        <f t="shared" si="0"/>
        <v>84629</v>
      </c>
      <c r="L26"/>
    </row>
    <row r="27" spans="1:12" x14ac:dyDescent="0.35">
      <c r="A27" s="93">
        <v>562.54</v>
      </c>
      <c r="B27" s="28" t="s">
        <v>60</v>
      </c>
      <c r="C27" s="235">
        <v>55814</v>
      </c>
      <c r="D27" s="236">
        <v>224326</v>
      </c>
      <c r="E27" s="44">
        <v>31504</v>
      </c>
      <c r="F27" s="237"/>
      <c r="G27" s="236"/>
      <c r="H27" s="44">
        <f>53986+17353+75741+4645</f>
        <v>151725</v>
      </c>
      <c r="I27" s="236"/>
      <c r="J27" s="51"/>
      <c r="K27" s="67">
        <f t="shared" si="0"/>
        <v>463369</v>
      </c>
      <c r="L27"/>
    </row>
    <row r="28" spans="1:12" x14ac:dyDescent="0.35">
      <c r="A28" s="93">
        <v>562.54999999999995</v>
      </c>
      <c r="B28" s="16" t="s">
        <v>19</v>
      </c>
      <c r="C28" s="235">
        <v>3491</v>
      </c>
      <c r="D28" s="236"/>
      <c r="E28" s="44"/>
      <c r="F28" s="237"/>
      <c r="G28" s="236"/>
      <c r="H28" s="44"/>
      <c r="I28" s="236"/>
      <c r="J28" s="51"/>
      <c r="K28" s="67">
        <f t="shared" si="0"/>
        <v>3491</v>
      </c>
      <c r="L28"/>
    </row>
    <row r="29" spans="1:12" x14ac:dyDescent="0.35">
      <c r="A29" s="93">
        <v>562.55999999999995</v>
      </c>
      <c r="B29" s="16" t="s">
        <v>20</v>
      </c>
      <c r="C29" s="235">
        <v>119473</v>
      </c>
      <c r="D29" s="236">
        <v>157725</v>
      </c>
      <c r="E29" s="44">
        <v>2696</v>
      </c>
      <c r="F29" s="237"/>
      <c r="G29" s="236"/>
      <c r="H29" s="44"/>
      <c r="I29" s="236"/>
      <c r="J29" s="51"/>
      <c r="K29" s="67">
        <f t="shared" si="0"/>
        <v>279894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/>
      <c r="G31" s="236"/>
      <c r="H31" s="44"/>
      <c r="I31" s="236"/>
      <c r="J31" s="51"/>
      <c r="K31" s="67">
        <f t="shared" si="0"/>
        <v>0</v>
      </c>
      <c r="L31"/>
    </row>
    <row r="32" spans="1:12" x14ac:dyDescent="0.35">
      <c r="A32" s="93">
        <v>562.59</v>
      </c>
      <c r="B32" s="28" t="s">
        <v>49</v>
      </c>
      <c r="C32" s="235">
        <v>103</v>
      </c>
      <c r="D32" s="236"/>
      <c r="E32" s="44"/>
      <c r="F32" s="237"/>
      <c r="G32" s="236"/>
      <c r="H32" s="44"/>
      <c r="I32" s="236"/>
      <c r="J32" s="51"/>
      <c r="K32" s="67">
        <f t="shared" si="0"/>
        <v>103</v>
      </c>
      <c r="L32"/>
    </row>
    <row r="33" spans="1:12" x14ac:dyDescent="0.35">
      <c r="A33" s="93">
        <v>562.6</v>
      </c>
      <c r="B33" s="16" t="s">
        <v>21</v>
      </c>
      <c r="C33" s="235">
        <v>31897</v>
      </c>
      <c r="D33" s="236">
        <v>5264</v>
      </c>
      <c r="E33" s="44"/>
      <c r="F33" s="237"/>
      <c r="G33" s="236">
        <f>11546+28160</f>
        <v>39706</v>
      </c>
      <c r="H33" s="44">
        <v>8391</v>
      </c>
      <c r="I33" s="236"/>
      <c r="J33" s="51"/>
      <c r="K33" s="67">
        <f t="shared" si="0"/>
        <v>85258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44888</v>
      </c>
      <c r="E34" s="44"/>
      <c r="F34" s="237"/>
      <c r="G34" s="236"/>
      <c r="H34" s="44"/>
      <c r="I34" s="236"/>
      <c r="J34" s="51"/>
      <c r="K34" s="67">
        <f t="shared" si="0"/>
        <v>44888</v>
      </c>
      <c r="L34"/>
    </row>
    <row r="35" spans="1:12" x14ac:dyDescent="0.35">
      <c r="A35" s="93">
        <v>562.72</v>
      </c>
      <c r="B35" s="16" t="s">
        <v>23</v>
      </c>
      <c r="C35" s="235"/>
      <c r="D35" s="236">
        <v>115596</v>
      </c>
      <c r="E35" s="44"/>
      <c r="F35" s="237"/>
      <c r="G35" s="236"/>
      <c r="H35" s="44"/>
      <c r="I35" s="236"/>
      <c r="J35" s="51"/>
      <c r="K35" s="67">
        <f t="shared" si="0"/>
        <v>115596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>
        <v>1657</v>
      </c>
      <c r="D41" s="236"/>
      <c r="E41" s="44"/>
      <c r="F41" s="237"/>
      <c r="G41" s="236"/>
      <c r="H41" s="44">
        <v>62831</v>
      </c>
      <c r="I41" s="236"/>
      <c r="J41" s="51"/>
      <c r="K41" s="67">
        <f t="shared" si="0"/>
        <v>64488</v>
      </c>
      <c r="L41"/>
    </row>
    <row r="42" spans="1:12" x14ac:dyDescent="0.35">
      <c r="A42" s="93">
        <v>562.9</v>
      </c>
      <c r="B42" s="16" t="s">
        <v>28</v>
      </c>
      <c r="C42" s="235">
        <v>10900</v>
      </c>
      <c r="D42" s="236"/>
      <c r="E42" s="44"/>
      <c r="F42" s="237">
        <v>8326</v>
      </c>
      <c r="G42" s="236"/>
      <c r="H42" s="44">
        <v>3653</v>
      </c>
      <c r="I42" s="236"/>
      <c r="J42" s="51"/>
      <c r="K42" s="67">
        <f t="shared" si="0"/>
        <v>22879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1269192</v>
      </c>
      <c r="D44" s="246">
        <f>SUM(D5:D43)</f>
        <v>638246</v>
      </c>
      <c r="E44" s="247">
        <f t="shared" ref="E44:J44" si="1">SUM(E5:E43)</f>
        <v>116264</v>
      </c>
      <c r="F44" s="248">
        <f t="shared" si="1"/>
        <v>291492</v>
      </c>
      <c r="G44" s="246">
        <f t="shared" si="1"/>
        <v>83171</v>
      </c>
      <c r="H44" s="247">
        <f t="shared" si="1"/>
        <v>579259</v>
      </c>
      <c r="I44" s="249">
        <f t="shared" si="1"/>
        <v>72377</v>
      </c>
      <c r="J44" s="250">
        <f t="shared" si="1"/>
        <v>64787</v>
      </c>
      <c r="K44" s="251">
        <f>SUM(C44:J44)</f>
        <v>3114788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1269192</v>
      </c>
      <c r="D56" s="276">
        <f>SUM(D44:D55)</f>
        <v>638246</v>
      </c>
      <c r="E56" s="277">
        <f t="shared" ref="E56:J56" si="3">SUM(E44:E55)</f>
        <v>116264</v>
      </c>
      <c r="F56" s="278">
        <f t="shared" si="3"/>
        <v>291492</v>
      </c>
      <c r="G56" s="279">
        <f t="shared" si="3"/>
        <v>83171</v>
      </c>
      <c r="H56" s="277">
        <f t="shared" si="3"/>
        <v>579259</v>
      </c>
      <c r="I56" s="280">
        <f t="shared" si="3"/>
        <v>72377</v>
      </c>
      <c r="J56" s="281">
        <f t="shared" si="3"/>
        <v>64787</v>
      </c>
      <c r="K56" s="282">
        <f>SUM(C56:J56)</f>
        <v>3114788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1269192</v>
      </c>
      <c r="D62" s="7">
        <f>C56/K56</f>
        <v>0.40747299655706903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638246</v>
      </c>
      <c r="D63" s="10">
        <f>D56/K56</f>
        <v>0.20490832762936032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1907438</v>
      </c>
      <c r="D64" s="23">
        <f>SUM(D62:D63)</f>
        <v>0.61238132418642932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116264</v>
      </c>
      <c r="D66" s="20">
        <f>E56/$K56</f>
        <v>3.7326456888879755E-2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291492</v>
      </c>
      <c r="D67" s="20">
        <f>F56/$K56</f>
        <v>9.3583255104360233E-2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83171</v>
      </c>
      <c r="D68" s="55">
        <f>G56/$K56</f>
        <v>2.6701977791104885E-2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490927</v>
      </c>
      <c r="D69" s="23">
        <f>SUM(D66:D68)</f>
        <v>0.15761168978434487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579259</v>
      </c>
      <c r="D71" s="7">
        <f>H56/K56</f>
        <v>0.18597060217260372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72377</v>
      </c>
      <c r="D72" s="10">
        <f>I56/K56</f>
        <v>2.3236573404032634E-2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651636</v>
      </c>
      <c r="D73" s="23">
        <f>SUM(D71:D72)</f>
        <v>0.20920717557663635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64787</v>
      </c>
      <c r="D75" s="23">
        <f>J56/K56</f>
        <v>2.0799810452589388E-2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3114788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92" priority="3">
      <formula>ROW()=EVEN(ROW())</formula>
    </cfRule>
  </conditionalFormatting>
  <conditionalFormatting sqref="K45:K55">
    <cfRule type="expression" dxfId="91" priority="1">
      <formula>ROW()=EVEN(ROW())</formula>
    </cfRule>
  </conditionalFormatting>
  <conditionalFormatting sqref="K5:K44">
    <cfRule type="expression" dxfId="9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CLALLAM</oddHeader>
  </headerFooter>
  <rowBreaks count="1" manualBreakCount="1">
    <brk id="44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461010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87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/>
      <c r="D5" s="236"/>
      <c r="E5" s="44"/>
      <c r="F5" s="237">
        <v>224841</v>
      </c>
      <c r="G5" s="236"/>
      <c r="H5" s="44"/>
      <c r="I5" s="236"/>
      <c r="J5" s="51">
        <f>522+1800+38249</f>
        <v>40571</v>
      </c>
      <c r="K5" s="67">
        <f>SUM(C5:J5)</f>
        <v>265412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1100000</v>
      </c>
      <c r="D7" s="236"/>
      <c r="E7" s="44"/>
      <c r="F7" s="237"/>
      <c r="G7" s="236"/>
      <c r="H7" s="44">
        <v>155361</v>
      </c>
      <c r="I7" s="236">
        <v>32263</v>
      </c>
      <c r="J7" s="51">
        <f>27112+84050</f>
        <v>111162</v>
      </c>
      <c r="K7" s="67">
        <f t="shared" si="0"/>
        <v>1398786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>
        <v>10000</v>
      </c>
      <c r="G8" s="236">
        <v>21269</v>
      </c>
      <c r="H8" s="239"/>
      <c r="I8" s="240">
        <v>25474</v>
      </c>
      <c r="J8" s="51"/>
      <c r="K8" s="67">
        <f t="shared" si="0"/>
        <v>56743</v>
      </c>
      <c r="L8"/>
    </row>
    <row r="9" spans="1:12" x14ac:dyDescent="0.35">
      <c r="A9" s="93">
        <v>562.25</v>
      </c>
      <c r="B9" s="28" t="s">
        <v>53</v>
      </c>
      <c r="C9" s="235">
        <v>50000</v>
      </c>
      <c r="D9" s="236"/>
      <c r="E9" s="44"/>
      <c r="F9" s="237">
        <v>40000</v>
      </c>
      <c r="G9" s="236"/>
      <c r="H9" s="44">
        <v>124295</v>
      </c>
      <c r="I9" s="236">
        <v>18417</v>
      </c>
      <c r="J9" s="51"/>
      <c r="K9" s="67">
        <f t="shared" si="0"/>
        <v>232712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>
        <v>7500</v>
      </c>
      <c r="G13" s="236"/>
      <c r="H13" s="44"/>
      <c r="I13" s="236"/>
      <c r="J13" s="51">
        <v>858</v>
      </c>
      <c r="K13" s="67">
        <f t="shared" si="0"/>
        <v>8358</v>
      </c>
      <c r="L13"/>
    </row>
    <row r="14" spans="1:12" x14ac:dyDescent="0.35">
      <c r="A14" s="93">
        <v>562.32000000000005</v>
      </c>
      <c r="B14" s="16" t="s">
        <v>12</v>
      </c>
      <c r="C14" s="235">
        <v>85000</v>
      </c>
      <c r="D14" s="236"/>
      <c r="E14" s="44"/>
      <c r="F14" s="237"/>
      <c r="G14" s="236"/>
      <c r="H14" s="44">
        <v>64726</v>
      </c>
      <c r="I14" s="236">
        <v>10707</v>
      </c>
      <c r="J14" s="51">
        <f>81+1660</f>
        <v>1741</v>
      </c>
      <c r="K14" s="67">
        <f t="shared" si="0"/>
        <v>162174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>
        <v>225000</v>
      </c>
      <c r="G15" s="236"/>
      <c r="H15" s="44">
        <v>40000</v>
      </c>
      <c r="I15" s="236">
        <v>14384</v>
      </c>
      <c r="J15" s="51">
        <v>35</v>
      </c>
      <c r="K15" s="67">
        <f t="shared" si="0"/>
        <v>279419</v>
      </c>
      <c r="L15"/>
    </row>
    <row r="16" spans="1:12" x14ac:dyDescent="0.35">
      <c r="A16" s="93">
        <v>562.34</v>
      </c>
      <c r="B16" s="16" t="s">
        <v>13</v>
      </c>
      <c r="C16" s="235">
        <v>350000</v>
      </c>
      <c r="D16" s="236">
        <v>2284</v>
      </c>
      <c r="E16" s="44"/>
      <c r="F16" s="237"/>
      <c r="G16" s="236"/>
      <c r="H16" s="44">
        <v>43580</v>
      </c>
      <c r="I16" s="236">
        <v>17260</v>
      </c>
      <c r="J16" s="51">
        <v>569</v>
      </c>
      <c r="K16" s="67">
        <f t="shared" si="0"/>
        <v>413693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>
        <f>175559+305526</f>
        <v>481085</v>
      </c>
      <c r="F17" s="237">
        <v>175000</v>
      </c>
      <c r="G17" s="236"/>
      <c r="H17" s="44"/>
      <c r="I17" s="236">
        <f>108148+325162</f>
        <v>433310</v>
      </c>
      <c r="J17" s="51">
        <f>108318+14330+17470</f>
        <v>140118</v>
      </c>
      <c r="K17" s="67">
        <f t="shared" si="0"/>
        <v>1229513</v>
      </c>
      <c r="L17"/>
    </row>
    <row r="18" spans="1:12" x14ac:dyDescent="0.35">
      <c r="A18" s="93">
        <v>562.39</v>
      </c>
      <c r="B18" s="16" t="s">
        <v>15</v>
      </c>
      <c r="C18" s="235">
        <v>350000</v>
      </c>
      <c r="D18" s="236"/>
      <c r="E18" s="44"/>
      <c r="F18" s="237">
        <v>85000</v>
      </c>
      <c r="G18" s="236"/>
      <c r="H18" s="44">
        <v>195038</v>
      </c>
      <c r="I18" s="236">
        <v>48437</v>
      </c>
      <c r="J18" s="51">
        <v>7300</v>
      </c>
      <c r="K18" s="67">
        <f t="shared" si="0"/>
        <v>685775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>
        <v>32500</v>
      </c>
      <c r="G22" s="236">
        <v>8200</v>
      </c>
      <c r="H22" s="44"/>
      <c r="I22" s="236"/>
      <c r="J22" s="51"/>
      <c r="K22" s="67">
        <f t="shared" si="0"/>
        <v>40700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v>310000</v>
      </c>
      <c r="G24" s="236">
        <v>157000</v>
      </c>
      <c r="H24" s="44">
        <v>102970</v>
      </c>
      <c r="I24" s="236">
        <f>34950+55482</f>
        <v>90432</v>
      </c>
      <c r="J24" s="51">
        <v>181928</v>
      </c>
      <c r="K24" s="67">
        <f t="shared" si="0"/>
        <v>842330</v>
      </c>
      <c r="L24"/>
    </row>
    <row r="25" spans="1:12" x14ac:dyDescent="0.35">
      <c r="A25" s="93">
        <v>562.52</v>
      </c>
      <c r="B25" s="16" t="s">
        <v>18</v>
      </c>
      <c r="C25" s="235">
        <v>95887</v>
      </c>
      <c r="D25" s="236">
        <f>138576+1800+1800+910</f>
        <v>143086</v>
      </c>
      <c r="E25" s="44"/>
      <c r="F25" s="237">
        <v>30000</v>
      </c>
      <c r="G25" s="236">
        <v>36350</v>
      </c>
      <c r="H25" s="44"/>
      <c r="I25" s="236"/>
      <c r="J25" s="51"/>
      <c r="K25" s="67">
        <f t="shared" si="0"/>
        <v>305323</v>
      </c>
      <c r="L25"/>
    </row>
    <row r="26" spans="1:12" x14ac:dyDescent="0.35">
      <c r="A26" s="93">
        <v>562.53</v>
      </c>
      <c r="B26" s="28" t="s">
        <v>59</v>
      </c>
      <c r="C26" s="235">
        <v>6680</v>
      </c>
      <c r="D26" s="236">
        <v>134765</v>
      </c>
      <c r="E26" s="44"/>
      <c r="F26" s="237">
        <v>10000</v>
      </c>
      <c r="G26" s="236">
        <v>255274</v>
      </c>
      <c r="H26" s="44"/>
      <c r="I26" s="236"/>
      <c r="J26" s="51"/>
      <c r="K26" s="67">
        <f t="shared" si="0"/>
        <v>406719</v>
      </c>
      <c r="L26"/>
    </row>
    <row r="27" spans="1:12" x14ac:dyDescent="0.35">
      <c r="A27" s="93">
        <v>562.54</v>
      </c>
      <c r="B27" s="28" t="s">
        <v>60</v>
      </c>
      <c r="C27" s="235">
        <v>40079</v>
      </c>
      <c r="D27" s="236">
        <f>897788+80983</f>
        <v>978771</v>
      </c>
      <c r="E27" s="44"/>
      <c r="F27" s="237">
        <v>15000</v>
      </c>
      <c r="G27" s="236"/>
      <c r="H27" s="44"/>
      <c r="I27" s="236"/>
      <c r="J27" s="51"/>
      <c r="K27" s="67">
        <f t="shared" si="0"/>
        <v>1033850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>
        <v>335118</v>
      </c>
      <c r="D29" s="236">
        <f>1290848+82939</f>
        <v>1373787</v>
      </c>
      <c r="E29" s="44"/>
      <c r="F29" s="237"/>
      <c r="G29" s="236"/>
      <c r="H29" s="44"/>
      <c r="I29" s="236">
        <v>5187</v>
      </c>
      <c r="J29" s="51"/>
      <c r="K29" s="67">
        <f t="shared" si="0"/>
        <v>1714092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6680</v>
      </c>
      <c r="D31" s="236">
        <v>192420</v>
      </c>
      <c r="E31" s="44"/>
      <c r="F31" s="237">
        <v>27500</v>
      </c>
      <c r="G31" s="236"/>
      <c r="H31" s="44"/>
      <c r="I31" s="236"/>
      <c r="J31" s="51"/>
      <c r="K31" s="67">
        <f t="shared" si="0"/>
        <v>226600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70000</v>
      </c>
      <c r="D34" s="236"/>
      <c r="E34" s="44"/>
      <c r="F34" s="237"/>
      <c r="G34" s="236"/>
      <c r="H34" s="44"/>
      <c r="I34" s="236"/>
      <c r="J34" s="51">
        <v>570746</v>
      </c>
      <c r="K34" s="67">
        <f t="shared" si="0"/>
        <v>640746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575000</v>
      </c>
      <c r="G40" s="236"/>
      <c r="H40" s="44"/>
      <c r="I40" s="236"/>
      <c r="J40" s="51"/>
      <c r="K40" s="67">
        <f t="shared" si="0"/>
        <v>575000</v>
      </c>
      <c r="L40"/>
    </row>
    <row r="41" spans="1:12" x14ac:dyDescent="0.35">
      <c r="A41" s="93">
        <v>562.88</v>
      </c>
      <c r="B41" s="28" t="s">
        <v>51</v>
      </c>
      <c r="C41" s="235">
        <v>50000</v>
      </c>
      <c r="D41" s="236"/>
      <c r="E41" s="44"/>
      <c r="F41" s="237"/>
      <c r="G41" s="236"/>
      <c r="H41" s="44">
        <v>578534</v>
      </c>
      <c r="I41" s="236"/>
      <c r="J41" s="51"/>
      <c r="K41" s="67">
        <f t="shared" si="0"/>
        <v>628534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2539444</v>
      </c>
      <c r="D44" s="246">
        <f>SUM(D5:D43)</f>
        <v>2825113</v>
      </c>
      <c r="E44" s="247">
        <f t="shared" ref="E44:J44" si="1">SUM(E5:E43)</f>
        <v>481085</v>
      </c>
      <c r="F44" s="248">
        <f t="shared" si="1"/>
        <v>1767341</v>
      </c>
      <c r="G44" s="246">
        <f t="shared" si="1"/>
        <v>478093</v>
      </c>
      <c r="H44" s="247">
        <f t="shared" si="1"/>
        <v>1304504</v>
      </c>
      <c r="I44" s="249">
        <f t="shared" si="1"/>
        <v>695871</v>
      </c>
      <c r="J44" s="250">
        <f t="shared" si="1"/>
        <v>1055028</v>
      </c>
      <c r="K44" s="251">
        <f>SUM(C44:J44)</f>
        <v>11146479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2539444</v>
      </c>
      <c r="D56" s="276">
        <f>SUM(D44:D55)</f>
        <v>2825113</v>
      </c>
      <c r="E56" s="277">
        <f t="shared" ref="E56:J56" si="3">SUM(E44:E55)</f>
        <v>481085</v>
      </c>
      <c r="F56" s="278">
        <f t="shared" si="3"/>
        <v>1767341</v>
      </c>
      <c r="G56" s="279">
        <f t="shared" si="3"/>
        <v>478093</v>
      </c>
      <c r="H56" s="277">
        <f t="shared" si="3"/>
        <v>1304504</v>
      </c>
      <c r="I56" s="280">
        <f t="shared" si="3"/>
        <v>695871</v>
      </c>
      <c r="J56" s="281">
        <f t="shared" si="3"/>
        <v>1055028</v>
      </c>
      <c r="K56" s="282">
        <f>SUM(C56:J56)</f>
        <v>11146479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2539444</v>
      </c>
      <c r="D62" s="7">
        <f>C56/K56</f>
        <v>0.22782476870050175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2825113</v>
      </c>
      <c r="D63" s="10">
        <f>D56/K56</f>
        <v>0.25345339994809124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5364557</v>
      </c>
      <c r="D64" s="23">
        <f>SUM(D62:D63)</f>
        <v>0.48127816864859296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481085</v>
      </c>
      <c r="D66" s="20">
        <f>E56/$K56</f>
        <v>4.3160266125293917E-2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1767341</v>
      </c>
      <c r="D67" s="20">
        <f>F56/$K56</f>
        <v>0.15855598884634331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478093</v>
      </c>
      <c r="D68" s="55">
        <f>G56/$K56</f>
        <v>4.2891840553416015E-2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2726519</v>
      </c>
      <c r="D69" s="23">
        <f>SUM(D66:D68)</f>
        <v>0.24460809552505325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1304504</v>
      </c>
      <c r="D71" s="7">
        <f>H56/K56</f>
        <v>0.11703283162333146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695871</v>
      </c>
      <c r="D72" s="10">
        <f>I56/K56</f>
        <v>6.2429669494734615E-2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2000375</v>
      </c>
      <c r="D73" s="23">
        <f>SUM(D71:D72)</f>
        <v>0.17946250111806608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1055028</v>
      </c>
      <c r="D75" s="23">
        <f>J56/K56</f>
        <v>9.4651234708287707E-2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11146479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89" priority="3">
      <formula>ROW()=EVEN(ROW())</formula>
    </cfRule>
  </conditionalFormatting>
  <conditionalFormatting sqref="K45:K55">
    <cfRule type="expression" dxfId="88" priority="1">
      <formula>ROW()=EVEN(ROW())</formula>
    </cfRule>
  </conditionalFormatting>
  <conditionalFormatting sqref="K5:K44">
    <cfRule type="expression" dxfId="87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CLARK</oddHeader>
  </headerFooter>
  <rowBreaks count="1" manualBreakCount="1">
    <brk id="44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4050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4.05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37278+15000</f>
        <v>52278</v>
      </c>
      <c r="D5" s="236">
        <v>214</v>
      </c>
      <c r="E5" s="44"/>
      <c r="F5" s="237">
        <v>29376</v>
      </c>
      <c r="G5" s="236"/>
      <c r="H5" s="44"/>
      <c r="I5" s="236">
        <v>12332</v>
      </c>
      <c r="J5" s="51">
        <v>4640</v>
      </c>
      <c r="K5" s="67">
        <f>SUM(C5:J5)</f>
        <v>98840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f>12+255</f>
        <v>267</v>
      </c>
      <c r="D7" s="236"/>
      <c r="E7" s="44"/>
      <c r="F7" s="237">
        <v>2679</v>
      </c>
      <c r="G7" s="236">
        <v>345</v>
      </c>
      <c r="H7" s="44">
        <v>10209</v>
      </c>
      <c r="I7" s="236"/>
      <c r="J7" s="51"/>
      <c r="K7" s="67">
        <f t="shared" si="0"/>
        <v>13500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>
        <v>85</v>
      </c>
      <c r="G8" s="236">
        <v>1380</v>
      </c>
      <c r="H8" s="239"/>
      <c r="I8" s="240">
        <v>1725</v>
      </c>
      <c r="J8" s="51"/>
      <c r="K8" s="67">
        <f t="shared" si="0"/>
        <v>3190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>
        <v>1518</v>
      </c>
      <c r="G9" s="236"/>
      <c r="H9" s="44">
        <v>8168</v>
      </c>
      <c r="I9" s="236"/>
      <c r="J9" s="51"/>
      <c r="K9" s="67">
        <f t="shared" si="0"/>
        <v>9686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f>15+1997</f>
        <v>2012</v>
      </c>
      <c r="D12" s="236"/>
      <c r="E12" s="44"/>
      <c r="F12" s="237">
        <v>14937</v>
      </c>
      <c r="G12" s="236"/>
      <c r="H12" s="44">
        <f>36267+12484+105</f>
        <v>48856</v>
      </c>
      <c r="I12" s="236"/>
      <c r="J12" s="51"/>
      <c r="K12" s="67">
        <f t="shared" si="0"/>
        <v>65805</v>
      </c>
      <c r="L12"/>
    </row>
    <row r="13" spans="1:12" x14ac:dyDescent="0.35">
      <c r="A13" s="93">
        <v>562.29</v>
      </c>
      <c r="B13" s="28" t="s">
        <v>46</v>
      </c>
      <c r="C13" s="235">
        <f>4601+16606</f>
        <v>21207</v>
      </c>
      <c r="D13" s="236"/>
      <c r="E13" s="44"/>
      <c r="F13" s="237">
        <v>4617</v>
      </c>
      <c r="G13" s="236"/>
      <c r="H13" s="44">
        <v>514</v>
      </c>
      <c r="I13" s="236">
        <v>2768</v>
      </c>
      <c r="J13" s="51">
        <f>27017+3000</f>
        <v>30017</v>
      </c>
      <c r="K13" s="67">
        <f t="shared" si="0"/>
        <v>59123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f>160+1478</f>
        <v>1638</v>
      </c>
      <c r="E14" s="44"/>
      <c r="F14" s="237">
        <v>34311</v>
      </c>
      <c r="G14" s="236"/>
      <c r="H14" s="44">
        <f>1106+371+327</f>
        <v>1804</v>
      </c>
      <c r="I14" s="236"/>
      <c r="J14" s="51"/>
      <c r="K14" s="67">
        <f t="shared" si="0"/>
        <v>37753</v>
      </c>
      <c r="L14"/>
    </row>
    <row r="15" spans="1:12" x14ac:dyDescent="0.35">
      <c r="A15" s="93">
        <v>562.33000000000004</v>
      </c>
      <c r="B15" s="28" t="s">
        <v>55</v>
      </c>
      <c r="C15" s="235">
        <v>2271</v>
      </c>
      <c r="D15" s="236"/>
      <c r="E15" s="44"/>
      <c r="F15" s="237"/>
      <c r="G15" s="236"/>
      <c r="H15" s="44"/>
      <c r="I15" s="236"/>
      <c r="J15" s="51"/>
      <c r="K15" s="67">
        <f t="shared" si="0"/>
        <v>2271</v>
      </c>
      <c r="L15"/>
    </row>
    <row r="16" spans="1:12" x14ac:dyDescent="0.35">
      <c r="A16" s="93">
        <v>562.34</v>
      </c>
      <c r="B16" s="16" t="s">
        <v>13</v>
      </c>
      <c r="C16" s="235"/>
      <c r="D16" s="236">
        <v>625</v>
      </c>
      <c r="E16" s="44"/>
      <c r="F16" s="237">
        <v>3494</v>
      </c>
      <c r="G16" s="236"/>
      <c r="H16" s="44"/>
      <c r="I16" s="236"/>
      <c r="J16" s="51"/>
      <c r="K16" s="67">
        <f t="shared" si="0"/>
        <v>4119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8658</v>
      </c>
      <c r="G18" s="236"/>
      <c r="H18" s="44"/>
      <c r="I18" s="236"/>
      <c r="J18" s="51"/>
      <c r="K18" s="67">
        <f t="shared" si="0"/>
        <v>8658</v>
      </c>
      <c r="L18"/>
    </row>
    <row r="19" spans="1:12" x14ac:dyDescent="0.35">
      <c r="A19" s="93">
        <v>562.41</v>
      </c>
      <c r="B19" s="16" t="s">
        <v>16</v>
      </c>
      <c r="C19" s="235">
        <v>4577</v>
      </c>
      <c r="D19" s="236"/>
      <c r="E19" s="44"/>
      <c r="F19" s="237"/>
      <c r="G19" s="236"/>
      <c r="H19" s="44"/>
      <c r="I19" s="236"/>
      <c r="J19" s="51"/>
      <c r="K19" s="67">
        <f t="shared" si="0"/>
        <v>4577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>
        <v>7442</v>
      </c>
      <c r="G22" s="236">
        <f>1974+5000</f>
        <v>6974</v>
      </c>
      <c r="H22" s="44"/>
      <c r="I22" s="236"/>
      <c r="J22" s="51"/>
      <c r="K22" s="67">
        <f t="shared" si="0"/>
        <v>14416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>
        <v>1225</v>
      </c>
      <c r="D25" s="236">
        <v>350</v>
      </c>
      <c r="E25" s="44"/>
      <c r="F25" s="237"/>
      <c r="G25" s="236"/>
      <c r="H25" s="44"/>
      <c r="I25" s="236"/>
      <c r="J25" s="51"/>
      <c r="K25" s="67">
        <f t="shared" si="0"/>
        <v>1575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/>
      <c r="H26" s="44"/>
      <c r="I26" s="236"/>
      <c r="J26" s="51"/>
      <c r="K26" s="67">
        <f t="shared" si="0"/>
        <v>0</v>
      </c>
      <c r="L26"/>
    </row>
    <row r="27" spans="1:12" x14ac:dyDescent="0.35">
      <c r="A27" s="93">
        <v>562.54</v>
      </c>
      <c r="B27" s="28" t="s">
        <v>60</v>
      </c>
      <c r="C27" s="235">
        <v>1321</v>
      </c>
      <c r="D27" s="236">
        <f>2600+525</f>
        <v>3125</v>
      </c>
      <c r="E27" s="44"/>
      <c r="F27" s="237"/>
      <c r="G27" s="236"/>
      <c r="H27" s="44"/>
      <c r="I27" s="236"/>
      <c r="J27" s="51"/>
      <c r="K27" s="67">
        <f t="shared" si="0"/>
        <v>4446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>
        <v>617</v>
      </c>
      <c r="G28" s="236"/>
      <c r="H28" s="44"/>
      <c r="I28" s="236"/>
      <c r="J28" s="51"/>
      <c r="K28" s="67">
        <f t="shared" si="0"/>
        <v>617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150+7705+17</f>
        <v>7872</v>
      </c>
      <c r="E29" s="44"/>
      <c r="F29" s="237"/>
      <c r="G29" s="236"/>
      <c r="H29" s="44"/>
      <c r="I29" s="236"/>
      <c r="J29" s="51"/>
      <c r="K29" s="67">
        <f t="shared" si="0"/>
        <v>7872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750+1084</f>
        <v>1834</v>
      </c>
      <c r="E31" s="44"/>
      <c r="F31" s="237"/>
      <c r="G31" s="236"/>
      <c r="H31" s="44"/>
      <c r="I31" s="236"/>
      <c r="J31" s="51"/>
      <c r="K31" s="67">
        <f t="shared" si="0"/>
        <v>1834</v>
      </c>
      <c r="L31"/>
    </row>
    <row r="32" spans="1:12" x14ac:dyDescent="0.35">
      <c r="A32" s="93">
        <v>562.59</v>
      </c>
      <c r="B32" s="28" t="s">
        <v>49</v>
      </c>
      <c r="C32" s="235"/>
      <c r="D32" s="236">
        <v>91</v>
      </c>
      <c r="E32" s="44"/>
      <c r="F32" s="237"/>
      <c r="G32" s="236"/>
      <c r="H32" s="44"/>
      <c r="I32" s="236"/>
      <c r="J32" s="51"/>
      <c r="K32" s="67">
        <f t="shared" si="0"/>
        <v>91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1429</v>
      </c>
      <c r="E34" s="44"/>
      <c r="F34" s="237">
        <v>3724</v>
      </c>
      <c r="G34" s="236"/>
      <c r="H34" s="44"/>
      <c r="I34" s="236"/>
      <c r="J34" s="51"/>
      <c r="K34" s="67">
        <f t="shared" si="0"/>
        <v>5153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3057</v>
      </c>
      <c r="G40" s="236"/>
      <c r="H40" s="44">
        <v>8561</v>
      </c>
      <c r="I40" s="236"/>
      <c r="J40" s="51">
        <f>461+499</f>
        <v>960</v>
      </c>
      <c r="K40" s="67">
        <f t="shared" si="0"/>
        <v>12578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>
        <v>5476</v>
      </c>
      <c r="G41" s="236"/>
      <c r="H41" s="44">
        <v>16516</v>
      </c>
      <c r="I41" s="236"/>
      <c r="J41" s="51"/>
      <c r="K41" s="67">
        <f t="shared" si="0"/>
        <v>21992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85158</v>
      </c>
      <c r="D44" s="246">
        <f>SUM(D5:D43)</f>
        <v>17178</v>
      </c>
      <c r="E44" s="247">
        <f t="shared" ref="E44:J44" si="1">SUM(E5:E43)</f>
        <v>0</v>
      </c>
      <c r="F44" s="248">
        <f t="shared" si="1"/>
        <v>119991</v>
      </c>
      <c r="G44" s="246">
        <f t="shared" si="1"/>
        <v>8699</v>
      </c>
      <c r="H44" s="247">
        <f t="shared" si="1"/>
        <v>94628</v>
      </c>
      <c r="I44" s="249">
        <f t="shared" si="1"/>
        <v>16825</v>
      </c>
      <c r="J44" s="250">
        <f t="shared" si="1"/>
        <v>35617</v>
      </c>
      <c r="K44" s="251">
        <f>SUM(C44:J44)</f>
        <v>378096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85158</v>
      </c>
      <c r="D56" s="276">
        <f>SUM(D44:D55)</f>
        <v>17178</v>
      </c>
      <c r="E56" s="277">
        <f t="shared" ref="E56:J56" si="3">SUM(E44:E55)</f>
        <v>0</v>
      </c>
      <c r="F56" s="278">
        <f t="shared" si="3"/>
        <v>119991</v>
      </c>
      <c r="G56" s="279">
        <f t="shared" si="3"/>
        <v>8699</v>
      </c>
      <c r="H56" s="277">
        <f t="shared" si="3"/>
        <v>94628</v>
      </c>
      <c r="I56" s="280">
        <f t="shared" si="3"/>
        <v>16825</v>
      </c>
      <c r="J56" s="281">
        <f t="shared" si="3"/>
        <v>35617</v>
      </c>
      <c r="K56" s="282">
        <f>SUM(C56:J56)</f>
        <v>378096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85158</v>
      </c>
      <c r="D62" s="7">
        <f>C56/K56</f>
        <v>0.2252285133934239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17178</v>
      </c>
      <c r="D63" s="10">
        <f>D56/K56</f>
        <v>4.5432905928653039E-2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102336</v>
      </c>
      <c r="D64" s="23">
        <f>SUM(D62:D63)</f>
        <v>0.27066141932207693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119991</v>
      </c>
      <c r="D67" s="20">
        <f>F56/$K56</f>
        <v>0.31735590961025772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8699</v>
      </c>
      <c r="D68" s="55">
        <f>G56/$K56</f>
        <v>2.3007384367991199E-2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128690</v>
      </c>
      <c r="D69" s="23">
        <f>SUM(D66:D68)</f>
        <v>0.34036329397824894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94628</v>
      </c>
      <c r="D71" s="7">
        <f>H56/K56</f>
        <v>0.25027506241801023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16825</v>
      </c>
      <c r="D72" s="10">
        <f>I56/K56</f>
        <v>4.4499280605983668E-2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111453</v>
      </c>
      <c r="D73" s="23">
        <f>SUM(D71:D72)</f>
        <v>0.29477434302399391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35617</v>
      </c>
      <c r="D75" s="23">
        <f>J56/K56</f>
        <v>9.4200943675680257E-2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378096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86" priority="3">
      <formula>ROW()=EVEN(ROW())</formula>
    </cfRule>
  </conditionalFormatting>
  <conditionalFormatting sqref="K45:K55">
    <cfRule type="expression" dxfId="85" priority="1">
      <formula>ROW()=EVEN(ROW())</formula>
    </cfRule>
  </conditionalFormatting>
  <conditionalFormatting sqref="K5:K44">
    <cfRule type="expression" dxfId="84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COLUMBIA</oddHeader>
  </headerFooter>
  <rowBreaks count="1" manualBreakCount="1">
    <brk id="44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104850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28.25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7391</v>
      </c>
      <c r="D5" s="236">
        <f>16179+83556+8994+16653</f>
        <v>125382</v>
      </c>
      <c r="E5" s="44"/>
      <c r="F5" s="237">
        <v>11467</v>
      </c>
      <c r="G5" s="236"/>
      <c r="H5" s="44"/>
      <c r="I5" s="236"/>
      <c r="J5" s="51">
        <f>150195+8784+2524</f>
        <v>161503</v>
      </c>
      <c r="K5" s="67">
        <f>SUM(C5:J5)</f>
        <v>305743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103010</v>
      </c>
      <c r="D7" s="236"/>
      <c r="E7" s="44"/>
      <c r="F7" s="237">
        <v>23541</v>
      </c>
      <c r="G7" s="236"/>
      <c r="H7" s="44">
        <v>86760</v>
      </c>
      <c r="I7" s="236">
        <f>4775+265394</f>
        <v>270169</v>
      </c>
      <c r="J7" s="51">
        <f>786+55404</f>
        <v>56190</v>
      </c>
      <c r="K7" s="67">
        <f t="shared" si="0"/>
        <v>539670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>
        <v>10520</v>
      </c>
      <c r="J8" s="51">
        <v>9480</v>
      </c>
      <c r="K8" s="67">
        <f t="shared" si="0"/>
        <v>20000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>
        <v>342</v>
      </c>
      <c r="D14" s="236"/>
      <c r="E14" s="44"/>
      <c r="F14" s="237">
        <v>1536</v>
      </c>
      <c r="G14" s="236"/>
      <c r="H14" s="44"/>
      <c r="I14" s="236"/>
      <c r="J14" s="51"/>
      <c r="K14" s="67">
        <f t="shared" si="0"/>
        <v>1878</v>
      </c>
      <c r="L14"/>
    </row>
    <row r="15" spans="1:12" x14ac:dyDescent="0.35">
      <c r="A15" s="93">
        <v>562.33000000000004</v>
      </c>
      <c r="B15" s="28" t="s">
        <v>55</v>
      </c>
      <c r="C15" s="235">
        <v>24386</v>
      </c>
      <c r="D15" s="236"/>
      <c r="E15" s="44"/>
      <c r="F15" s="237">
        <v>8982</v>
      </c>
      <c r="G15" s="236"/>
      <c r="H15" s="44"/>
      <c r="I15" s="236"/>
      <c r="J15" s="51"/>
      <c r="K15" s="67">
        <f t="shared" si="0"/>
        <v>33368</v>
      </c>
      <c r="L15"/>
    </row>
    <row r="16" spans="1:12" x14ac:dyDescent="0.35">
      <c r="A16" s="93">
        <v>562.34</v>
      </c>
      <c r="B16" s="16" t="s">
        <v>13</v>
      </c>
      <c r="C16" s="235">
        <v>36611</v>
      </c>
      <c r="D16" s="236"/>
      <c r="E16" s="44"/>
      <c r="F16" s="237">
        <v>15925</v>
      </c>
      <c r="G16" s="236"/>
      <c r="H16" s="44">
        <v>2915</v>
      </c>
      <c r="I16" s="236"/>
      <c r="J16" s="51"/>
      <c r="K16" s="67">
        <f t="shared" si="0"/>
        <v>55451</v>
      </c>
      <c r="L16"/>
    </row>
    <row r="17" spans="1:12" x14ac:dyDescent="0.35">
      <c r="A17" s="93">
        <v>562.35</v>
      </c>
      <c r="B17" s="16" t="s">
        <v>14</v>
      </c>
      <c r="C17" s="235">
        <v>1263</v>
      </c>
      <c r="D17" s="236"/>
      <c r="E17" s="44"/>
      <c r="F17" s="237">
        <v>112659</v>
      </c>
      <c r="G17" s="236"/>
      <c r="H17" s="44"/>
      <c r="I17" s="236"/>
      <c r="J17" s="51"/>
      <c r="K17" s="67">
        <f t="shared" si="0"/>
        <v>113922</v>
      </c>
      <c r="L17"/>
    </row>
    <row r="18" spans="1:12" x14ac:dyDescent="0.35">
      <c r="A18" s="93">
        <v>562.39</v>
      </c>
      <c r="B18" s="16" t="s">
        <v>15</v>
      </c>
      <c r="C18" s="235">
        <v>55093</v>
      </c>
      <c r="D18" s="236"/>
      <c r="E18" s="44"/>
      <c r="F18" s="237">
        <v>120686</v>
      </c>
      <c r="G18" s="236"/>
      <c r="H18" s="44"/>
      <c r="I18" s="236"/>
      <c r="J18" s="51"/>
      <c r="K18" s="67">
        <f t="shared" si="0"/>
        <v>175779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v>180006</v>
      </c>
      <c r="G24" s="236"/>
      <c r="H24" s="44"/>
      <c r="I24" s="236">
        <v>74726</v>
      </c>
      <c r="J24" s="51">
        <f>14624+75501</f>
        <v>90125</v>
      </c>
      <c r="K24" s="67">
        <f t="shared" si="0"/>
        <v>344857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69651+5322+55+13</f>
        <v>75041</v>
      </c>
      <c r="E25" s="44"/>
      <c r="F25" s="237"/>
      <c r="G25" s="236"/>
      <c r="H25" s="44"/>
      <c r="I25" s="236"/>
      <c r="J25" s="51"/>
      <c r="K25" s="67">
        <f t="shared" si="0"/>
        <v>75041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636+57392</f>
        <v>58028</v>
      </c>
      <c r="E26" s="44"/>
      <c r="F26" s="237"/>
      <c r="G26" s="236">
        <v>57662</v>
      </c>
      <c r="H26" s="44"/>
      <c r="I26" s="236"/>
      <c r="J26" s="51"/>
      <c r="K26" s="67">
        <f t="shared" si="0"/>
        <v>115690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11260+209712+94735+91214</f>
        <v>406921</v>
      </c>
      <c r="E27" s="44"/>
      <c r="F27" s="237"/>
      <c r="G27" s="236"/>
      <c r="H27" s="44"/>
      <c r="I27" s="236"/>
      <c r="J27" s="51"/>
      <c r="K27" s="67">
        <f t="shared" si="0"/>
        <v>406921</v>
      </c>
      <c r="L27"/>
    </row>
    <row r="28" spans="1:12" x14ac:dyDescent="0.35">
      <c r="A28" s="93">
        <v>562.54999999999995</v>
      </c>
      <c r="B28" s="16" t="s">
        <v>19</v>
      </c>
      <c r="C28" s="235">
        <v>6824</v>
      </c>
      <c r="D28" s="236">
        <v>20471</v>
      </c>
      <c r="E28" s="44"/>
      <c r="F28" s="237"/>
      <c r="G28" s="236"/>
      <c r="H28" s="44"/>
      <c r="I28" s="236"/>
      <c r="J28" s="51"/>
      <c r="K28" s="67">
        <f t="shared" si="0"/>
        <v>27295</v>
      </c>
      <c r="L28"/>
    </row>
    <row r="29" spans="1:12" x14ac:dyDescent="0.35">
      <c r="A29" s="93">
        <v>562.55999999999995</v>
      </c>
      <c r="B29" s="16" t="s">
        <v>20</v>
      </c>
      <c r="C29" s="235">
        <v>3733</v>
      </c>
      <c r="D29" s="236">
        <f>318030+34462+78985</f>
        <v>431477</v>
      </c>
      <c r="E29" s="44"/>
      <c r="F29" s="237"/>
      <c r="G29" s="236"/>
      <c r="H29" s="44"/>
      <c r="I29" s="236"/>
      <c r="J29" s="51"/>
      <c r="K29" s="67">
        <f t="shared" si="0"/>
        <v>435210</v>
      </c>
      <c r="L29"/>
    </row>
    <row r="30" spans="1:12" x14ac:dyDescent="0.35">
      <c r="A30" s="93">
        <v>562.57000000000005</v>
      </c>
      <c r="B30" s="28" t="s">
        <v>61</v>
      </c>
      <c r="C30" s="235">
        <v>2090</v>
      </c>
      <c r="D30" s="236">
        <v>1252</v>
      </c>
      <c r="E30" s="44"/>
      <c r="F30" s="237"/>
      <c r="G30" s="236"/>
      <c r="H30" s="44"/>
      <c r="I30" s="236"/>
      <c r="J30" s="51"/>
      <c r="K30" s="67">
        <f t="shared" si="0"/>
        <v>3342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17082+25258+27801</f>
        <v>70141</v>
      </c>
      <c r="E31" s="44"/>
      <c r="F31" s="237"/>
      <c r="G31" s="236"/>
      <c r="H31" s="44"/>
      <c r="I31" s="236"/>
      <c r="J31" s="51"/>
      <c r="K31" s="67">
        <f t="shared" si="0"/>
        <v>70141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>
        <v>5963</v>
      </c>
      <c r="D33" s="236">
        <v>37628</v>
      </c>
      <c r="E33" s="44"/>
      <c r="F33" s="237"/>
      <c r="G33" s="236">
        <v>30202</v>
      </c>
      <c r="H33" s="44"/>
      <c r="I33" s="236"/>
      <c r="J33" s="51"/>
      <c r="K33" s="67">
        <f t="shared" si="0"/>
        <v>73793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45821</v>
      </c>
      <c r="E34" s="44"/>
      <c r="F34" s="237"/>
      <c r="G34" s="236"/>
      <c r="H34" s="44"/>
      <c r="I34" s="236"/>
      <c r="J34" s="51"/>
      <c r="K34" s="67">
        <f t="shared" si="0"/>
        <v>45821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>
        <v>7161</v>
      </c>
      <c r="D39" s="236"/>
      <c r="E39" s="44"/>
      <c r="F39" s="237">
        <v>1960</v>
      </c>
      <c r="G39" s="236"/>
      <c r="H39" s="44"/>
      <c r="I39" s="236"/>
      <c r="J39" s="51"/>
      <c r="K39" s="67">
        <f t="shared" si="0"/>
        <v>9121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>
        <v>211</v>
      </c>
      <c r="D41" s="236"/>
      <c r="E41" s="44"/>
      <c r="F41" s="237">
        <v>1219</v>
      </c>
      <c r="G41" s="236"/>
      <c r="H41" s="44">
        <v>57083</v>
      </c>
      <c r="I41" s="236"/>
      <c r="J41" s="51">
        <v>575</v>
      </c>
      <c r="K41" s="67">
        <f t="shared" si="0"/>
        <v>59088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254078</v>
      </c>
      <c r="D44" s="246">
        <f>SUM(D5:D43)</f>
        <v>1272162</v>
      </c>
      <c r="E44" s="247">
        <f t="shared" ref="E44:J44" si="1">SUM(E5:E43)</f>
        <v>0</v>
      </c>
      <c r="F44" s="248">
        <f t="shared" si="1"/>
        <v>477981</v>
      </c>
      <c r="G44" s="246">
        <f t="shared" si="1"/>
        <v>87864</v>
      </c>
      <c r="H44" s="247">
        <f t="shared" si="1"/>
        <v>146758</v>
      </c>
      <c r="I44" s="249">
        <f t="shared" si="1"/>
        <v>355415</v>
      </c>
      <c r="J44" s="250">
        <f t="shared" si="1"/>
        <v>317873</v>
      </c>
      <c r="K44" s="251">
        <f>SUM(C44:J44)</f>
        <v>2912131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254078</v>
      </c>
      <c r="D56" s="276">
        <f>SUM(D44:D55)</f>
        <v>1272162</v>
      </c>
      <c r="E56" s="277">
        <f t="shared" ref="E56:J56" si="3">SUM(E44:E55)</f>
        <v>0</v>
      </c>
      <c r="F56" s="278">
        <f t="shared" si="3"/>
        <v>477981</v>
      </c>
      <c r="G56" s="279">
        <f t="shared" si="3"/>
        <v>87864</v>
      </c>
      <c r="H56" s="277">
        <f t="shared" si="3"/>
        <v>146758</v>
      </c>
      <c r="I56" s="280">
        <f t="shared" si="3"/>
        <v>355415</v>
      </c>
      <c r="J56" s="281">
        <f t="shared" si="3"/>
        <v>317873</v>
      </c>
      <c r="K56" s="282">
        <f>SUM(C56:J56)</f>
        <v>2912131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254078</v>
      </c>
      <c r="D62" s="7">
        <f>C56/K56</f>
        <v>8.7248135471927599E-2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1272162</v>
      </c>
      <c r="D63" s="10">
        <f>D56/K56</f>
        <v>0.43684916646950289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1526240</v>
      </c>
      <c r="D64" s="23">
        <f>SUM(D62:D63)</f>
        <v>0.52409730194143045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477981</v>
      </c>
      <c r="D67" s="20">
        <f>F56/$K56</f>
        <v>0.16413444312773018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87864</v>
      </c>
      <c r="D68" s="55">
        <f>G56/$K56</f>
        <v>3.0171719610141166E-2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565845</v>
      </c>
      <c r="D69" s="23">
        <f>SUM(D66:D68)</f>
        <v>0.19430616273787135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146758</v>
      </c>
      <c r="D71" s="7">
        <f>H56/K56</f>
        <v>5.0395397734511259E-2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355415</v>
      </c>
      <c r="D72" s="10">
        <f>I56/K56</f>
        <v>0.12204636398568608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502173</v>
      </c>
      <c r="D73" s="23">
        <f>SUM(D71:D72)</f>
        <v>0.17244176172019735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317873</v>
      </c>
      <c r="D75" s="23">
        <f>J56/K56</f>
        <v>0.1091547736005008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2912131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83" priority="3">
      <formula>ROW()=EVEN(ROW())</formula>
    </cfRule>
  </conditionalFormatting>
  <conditionalFormatting sqref="K45:K55">
    <cfRule type="expression" dxfId="82" priority="1">
      <formula>ROW()=EVEN(ROW())</formula>
    </cfRule>
  </conditionalFormatting>
  <conditionalFormatting sqref="K5:K44">
    <cfRule type="expression" dxfId="81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COWLITZ</oddHeader>
  </headerFooter>
  <rowBreaks count="1" manualBreakCount="1">
    <brk id="44" max="16383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2200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3.12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21014</v>
      </c>
      <c r="D5" s="236"/>
      <c r="E5" s="44"/>
      <c r="F5" s="237">
        <f>15028+18126</f>
        <v>33154</v>
      </c>
      <c r="G5" s="236">
        <v>116</v>
      </c>
      <c r="H5" s="44">
        <f>6753+399+4816+1978+4678+150</f>
        <v>18774</v>
      </c>
      <c r="I5" s="236"/>
      <c r="J5" s="51">
        <f>30150+115</f>
        <v>30265</v>
      </c>
      <c r="K5" s="67">
        <f>SUM(C5:J5)</f>
        <v>103323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/>
      <c r="G7" s="236"/>
      <c r="H7" s="44">
        <v>11960</v>
      </c>
      <c r="I7" s="236"/>
      <c r="J7" s="51"/>
      <c r="K7" s="67">
        <f t="shared" si="0"/>
        <v>11960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>
        <v>4495</v>
      </c>
      <c r="I9" s="236"/>
      <c r="J9" s="51"/>
      <c r="K9" s="67">
        <f t="shared" si="0"/>
        <v>4495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1287</v>
      </c>
      <c r="D12" s="236"/>
      <c r="E12" s="44"/>
      <c r="F12" s="237"/>
      <c r="G12" s="236"/>
      <c r="H12" s="44">
        <v>19180</v>
      </c>
      <c r="I12" s="236"/>
      <c r="J12" s="51"/>
      <c r="K12" s="253">
        <f t="shared" si="0"/>
        <v>20467</v>
      </c>
      <c r="L12"/>
    </row>
    <row r="13" spans="1:12" x14ac:dyDescent="0.35">
      <c r="A13" s="93">
        <v>562.29</v>
      </c>
      <c r="B13" s="28" t="s">
        <v>46</v>
      </c>
      <c r="C13" s="235">
        <v>3740</v>
      </c>
      <c r="D13" s="236">
        <v>2781</v>
      </c>
      <c r="E13" s="44"/>
      <c r="F13" s="237"/>
      <c r="G13" s="236"/>
      <c r="H13" s="44"/>
      <c r="I13" s="236"/>
      <c r="J13" s="51">
        <v>600</v>
      </c>
      <c r="K13" s="67">
        <f t="shared" si="0"/>
        <v>7121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v>376</v>
      </c>
      <c r="E14" s="44"/>
      <c r="F14" s="237"/>
      <c r="G14" s="236"/>
      <c r="H14" s="44">
        <f>1367+341</f>
        <v>1708</v>
      </c>
      <c r="I14" s="236"/>
      <c r="J14" s="51"/>
      <c r="K14" s="67">
        <f t="shared" si="0"/>
        <v>2084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/>
      <c r="G16" s="236"/>
      <c r="H16" s="44"/>
      <c r="I16" s="236"/>
      <c r="J16" s="51"/>
      <c r="K16" s="67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235">
        <v>42</v>
      </c>
      <c r="D17" s="236"/>
      <c r="E17" s="44"/>
      <c r="F17" s="237"/>
      <c r="G17" s="236"/>
      <c r="H17" s="44"/>
      <c r="I17" s="236"/>
      <c r="J17" s="51"/>
      <c r="K17" s="67">
        <f t="shared" si="0"/>
        <v>42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/>
      <c r="G18" s="236"/>
      <c r="H18" s="44"/>
      <c r="I18" s="236"/>
      <c r="J18" s="51"/>
      <c r="K18" s="67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>
        <v>209</v>
      </c>
      <c r="D21" s="236"/>
      <c r="E21" s="44"/>
      <c r="F21" s="237"/>
      <c r="G21" s="236"/>
      <c r="H21" s="44"/>
      <c r="I21" s="236"/>
      <c r="J21" s="51"/>
      <c r="K21" s="67">
        <f t="shared" si="0"/>
        <v>209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>
        <f>350+5000</f>
        <v>5350</v>
      </c>
      <c r="E24" s="44"/>
      <c r="F24" s="237"/>
      <c r="G24" s="236"/>
      <c r="H24" s="44"/>
      <c r="I24" s="236"/>
      <c r="J24" s="51"/>
      <c r="K24" s="67">
        <f t="shared" si="0"/>
        <v>5350</v>
      </c>
      <c r="L24"/>
    </row>
    <row r="25" spans="1:12" x14ac:dyDescent="0.35">
      <c r="A25" s="93">
        <v>562.52</v>
      </c>
      <c r="B25" s="16" t="s">
        <v>18</v>
      </c>
      <c r="C25" s="235">
        <v>126</v>
      </c>
      <c r="D25" s="236"/>
      <c r="E25" s="44"/>
      <c r="F25" s="237"/>
      <c r="G25" s="236"/>
      <c r="H25" s="44"/>
      <c r="I25" s="236"/>
      <c r="J25" s="51"/>
      <c r="K25" s="67">
        <f t="shared" si="0"/>
        <v>126</v>
      </c>
      <c r="L25"/>
    </row>
    <row r="26" spans="1:12" x14ac:dyDescent="0.35">
      <c r="A26" s="93">
        <v>562.53</v>
      </c>
      <c r="B26" s="28" t="s">
        <v>59</v>
      </c>
      <c r="C26" s="235"/>
      <c r="D26" s="236">
        <v>744</v>
      </c>
      <c r="E26" s="44"/>
      <c r="F26" s="237"/>
      <c r="G26" s="236">
        <v>464</v>
      </c>
      <c r="H26" s="44"/>
      <c r="I26" s="236"/>
      <c r="J26" s="51"/>
      <c r="K26" s="67">
        <f t="shared" si="0"/>
        <v>1208</v>
      </c>
      <c r="L26"/>
    </row>
    <row r="27" spans="1:12" x14ac:dyDescent="0.35">
      <c r="A27" s="93">
        <v>562.54</v>
      </c>
      <c r="B27" s="28" t="s">
        <v>60</v>
      </c>
      <c r="C27" s="235">
        <v>3696</v>
      </c>
      <c r="D27" s="236">
        <f>1380+519+298</f>
        <v>2197</v>
      </c>
      <c r="E27" s="44"/>
      <c r="F27" s="237"/>
      <c r="G27" s="236"/>
      <c r="H27" s="44"/>
      <c r="I27" s="236"/>
      <c r="J27" s="51"/>
      <c r="K27" s="67">
        <f t="shared" si="0"/>
        <v>5893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>
        <v>1615</v>
      </c>
      <c r="D29" s="236">
        <f>573+2664</f>
        <v>3237</v>
      </c>
      <c r="E29" s="44"/>
      <c r="F29" s="237"/>
      <c r="G29" s="236"/>
      <c r="H29" s="44"/>
      <c r="I29" s="236"/>
      <c r="J29" s="51"/>
      <c r="K29" s="67">
        <f t="shared" si="0"/>
        <v>4852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10</v>
      </c>
      <c r="D31" s="236">
        <v>132</v>
      </c>
      <c r="E31" s="44"/>
      <c r="F31" s="237"/>
      <c r="G31" s="236"/>
      <c r="H31" s="44"/>
      <c r="I31" s="236"/>
      <c r="J31" s="51"/>
      <c r="K31" s="67">
        <f t="shared" si="0"/>
        <v>142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617</v>
      </c>
      <c r="D34" s="236">
        <v>767</v>
      </c>
      <c r="E34" s="44"/>
      <c r="F34" s="237"/>
      <c r="G34" s="236"/>
      <c r="H34" s="44"/>
      <c r="I34" s="236"/>
      <c r="J34" s="51"/>
      <c r="K34" s="67">
        <f t="shared" si="0"/>
        <v>1384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60000</v>
      </c>
      <c r="G40" s="236"/>
      <c r="H40" s="44"/>
      <c r="I40" s="236"/>
      <c r="J40" s="51">
        <v>9585</v>
      </c>
      <c r="K40" s="67">
        <f t="shared" si="0"/>
        <v>69585</v>
      </c>
      <c r="L40"/>
    </row>
    <row r="41" spans="1:12" x14ac:dyDescent="0.35">
      <c r="A41" s="93">
        <v>562.88</v>
      </c>
      <c r="B41" s="28" t="s">
        <v>51</v>
      </c>
      <c r="C41" s="235">
        <v>143</v>
      </c>
      <c r="D41" s="236"/>
      <c r="E41" s="44"/>
      <c r="F41" s="237"/>
      <c r="G41" s="236"/>
      <c r="H41" s="44">
        <v>11923</v>
      </c>
      <c r="I41" s="236"/>
      <c r="J41" s="51"/>
      <c r="K41" s="67">
        <f t="shared" si="0"/>
        <v>12066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32499</v>
      </c>
      <c r="D44" s="246">
        <f>SUM(D5:D43)</f>
        <v>15584</v>
      </c>
      <c r="E44" s="247">
        <f t="shared" ref="E44:J44" si="1">SUM(E5:E43)</f>
        <v>0</v>
      </c>
      <c r="F44" s="248">
        <f t="shared" si="1"/>
        <v>93154</v>
      </c>
      <c r="G44" s="246">
        <f t="shared" si="1"/>
        <v>580</v>
      </c>
      <c r="H44" s="247">
        <f t="shared" si="1"/>
        <v>68040</v>
      </c>
      <c r="I44" s="249">
        <f t="shared" si="1"/>
        <v>0</v>
      </c>
      <c r="J44" s="250">
        <f t="shared" si="1"/>
        <v>40450</v>
      </c>
      <c r="K44" s="251">
        <f>SUM(C44:J44)</f>
        <v>250307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32499</v>
      </c>
      <c r="D56" s="276">
        <f>SUM(D44:D55)</f>
        <v>15584</v>
      </c>
      <c r="E56" s="277">
        <f t="shared" ref="E56:J56" si="3">SUM(E44:E55)</f>
        <v>0</v>
      </c>
      <c r="F56" s="278">
        <f t="shared" si="3"/>
        <v>93154</v>
      </c>
      <c r="G56" s="279">
        <f t="shared" si="3"/>
        <v>580</v>
      </c>
      <c r="H56" s="277">
        <f t="shared" si="3"/>
        <v>68040</v>
      </c>
      <c r="I56" s="280">
        <f t="shared" si="3"/>
        <v>0</v>
      </c>
      <c r="J56" s="281">
        <f t="shared" si="3"/>
        <v>40450</v>
      </c>
      <c r="K56" s="282">
        <f>SUM(C56:J56)</f>
        <v>250307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32499</v>
      </c>
      <c r="D62" s="7">
        <f>C56/K56</f>
        <v>0.12983656070345614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15584</v>
      </c>
      <c r="D63" s="10">
        <f>D56/K56</f>
        <v>6.225954527839813E-2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48083</v>
      </c>
      <c r="D64" s="23">
        <f>SUM(D62:D63)</f>
        <v>0.19209610598185428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93154</v>
      </c>
      <c r="D67" s="20">
        <f>F56/$K56</f>
        <v>0.37215898876180054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580</v>
      </c>
      <c r="D68" s="55">
        <f>G56/$K56</f>
        <v>2.317154534231963E-3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93734</v>
      </c>
      <c r="D69" s="23">
        <f>SUM(D66:D68)</f>
        <v>0.37447614329603252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68040</v>
      </c>
      <c r="D71" s="7">
        <f>H56/K56</f>
        <v>0.27182619742955649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0</v>
      </c>
      <c r="D72" s="10">
        <f>I56/K56</f>
        <v>0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68040</v>
      </c>
      <c r="D73" s="23">
        <f>SUM(D71:D72)</f>
        <v>0.27182619742955649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40450</v>
      </c>
      <c r="D75" s="23">
        <f>J56/K56</f>
        <v>0.16160155329255674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250307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80" priority="3">
      <formula>ROW()=EVEN(ROW())</formula>
    </cfRule>
  </conditionalFormatting>
  <conditionalFormatting sqref="K45:K55">
    <cfRule type="expression" dxfId="79" priority="1">
      <formula>ROW()=EVEN(ROW())</formula>
    </cfRule>
  </conditionalFormatting>
  <conditionalFormatting sqref="K5:K44">
    <cfRule type="expression" dxfId="78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GARFIELD</oddHeader>
  </headerFooter>
  <rowBreaks count="1" manualBreakCount="1">
    <brk id="44" max="16383" man="1"/>
  </row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tabSelected="1" view="pageLayout" topLeftCell="A64" zoomScaleNormal="100" workbookViewId="0">
      <selection activeCell="C78" sqref="C78:C86"/>
    </sheetView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94610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28.37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/>
      <c r="D5" s="236">
        <v>175</v>
      </c>
      <c r="E5" s="44"/>
      <c r="F5" s="237">
        <v>1353</v>
      </c>
      <c r="G5" s="236"/>
      <c r="H5" s="44"/>
      <c r="I5" s="236">
        <v>16019</v>
      </c>
      <c r="J5" s="51">
        <f>10+1221-13904+623</f>
        <v>-12050</v>
      </c>
      <c r="K5" s="67">
        <f>SUM(C5:J5)</f>
        <v>5497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>
        <v>5974</v>
      </c>
      <c r="G7" s="236"/>
      <c r="H7" s="44">
        <v>69047</v>
      </c>
      <c r="I7" s="236"/>
      <c r="J7" s="51">
        <v>1658</v>
      </c>
      <c r="K7" s="67">
        <f t="shared" si="0"/>
        <v>76679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>
        <v>13318</v>
      </c>
      <c r="G8" s="236"/>
      <c r="H8" s="239"/>
      <c r="I8" s="240">
        <v>21975</v>
      </c>
      <c r="J8" s="51">
        <v>1087</v>
      </c>
      <c r="K8" s="67">
        <f t="shared" si="0"/>
        <v>36380</v>
      </c>
      <c r="L8"/>
    </row>
    <row r="9" spans="1:12" x14ac:dyDescent="0.35">
      <c r="A9" s="93">
        <v>562.25</v>
      </c>
      <c r="B9" s="28" t="s">
        <v>53</v>
      </c>
      <c r="C9" s="235"/>
      <c r="D9" s="236">
        <v>3250</v>
      </c>
      <c r="E9" s="44"/>
      <c r="F9" s="237"/>
      <c r="G9" s="236"/>
      <c r="H9" s="44">
        <v>48948</v>
      </c>
      <c r="I9" s="236">
        <v>5750</v>
      </c>
      <c r="J9" s="51"/>
      <c r="K9" s="67">
        <f t="shared" si="0"/>
        <v>57948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v>541</v>
      </c>
      <c r="E14" s="44"/>
      <c r="F14" s="237">
        <v>7127</v>
      </c>
      <c r="G14" s="236"/>
      <c r="H14" s="44">
        <f>19699+4308+2117</f>
        <v>26124</v>
      </c>
      <c r="I14" s="236">
        <v>45044</v>
      </c>
      <c r="J14" s="51"/>
      <c r="K14" s="67">
        <f t="shared" si="0"/>
        <v>78836</v>
      </c>
      <c r="L14"/>
    </row>
    <row r="15" spans="1:12" x14ac:dyDescent="0.35">
      <c r="A15" s="93">
        <v>562.33000000000004</v>
      </c>
      <c r="B15" s="28" t="s">
        <v>55</v>
      </c>
      <c r="C15" s="235">
        <f>48296+10511</f>
        <v>58807</v>
      </c>
      <c r="D15" s="236"/>
      <c r="E15" s="44"/>
      <c r="F15" s="237">
        <v>4019</v>
      </c>
      <c r="G15" s="236"/>
      <c r="H15" s="44"/>
      <c r="I15" s="236">
        <f>29302+98</f>
        <v>29400</v>
      </c>
      <c r="J15" s="51"/>
      <c r="K15" s="67">
        <f t="shared" si="0"/>
        <v>92226</v>
      </c>
      <c r="L15"/>
    </row>
    <row r="16" spans="1:12" x14ac:dyDescent="0.35">
      <c r="A16" s="93">
        <v>562.34</v>
      </c>
      <c r="B16" s="16" t="s">
        <v>13</v>
      </c>
      <c r="C16" s="235">
        <v>42550</v>
      </c>
      <c r="D16" s="236">
        <f>4421+399</f>
        <v>4820</v>
      </c>
      <c r="E16" s="44"/>
      <c r="F16" s="237">
        <v>20962</v>
      </c>
      <c r="G16" s="236"/>
      <c r="H16" s="44"/>
      <c r="I16" s="236">
        <v>10000</v>
      </c>
      <c r="J16" s="51"/>
      <c r="K16" s="67">
        <f t="shared" si="0"/>
        <v>78332</v>
      </c>
      <c r="L16"/>
    </row>
    <row r="17" spans="1:12" x14ac:dyDescent="0.35">
      <c r="A17" s="93">
        <v>562.35</v>
      </c>
      <c r="B17" s="16" t="s">
        <v>14</v>
      </c>
      <c r="C17" s="235"/>
      <c r="D17" s="236">
        <v>12334</v>
      </c>
      <c r="E17" s="44">
        <v>73536</v>
      </c>
      <c r="F17" s="237">
        <v>4946</v>
      </c>
      <c r="G17" s="236"/>
      <c r="H17" s="44"/>
      <c r="I17" s="236"/>
      <c r="J17" s="51"/>
      <c r="K17" s="67">
        <f t="shared" si="0"/>
        <v>90816</v>
      </c>
      <c r="L17"/>
    </row>
    <row r="18" spans="1:12" x14ac:dyDescent="0.35">
      <c r="A18" s="93">
        <v>562.39</v>
      </c>
      <c r="B18" s="16" t="s">
        <v>15</v>
      </c>
      <c r="C18" s="235">
        <f>45000+15082</f>
        <v>60082</v>
      </c>
      <c r="D18" s="236"/>
      <c r="E18" s="44"/>
      <c r="F18" s="237">
        <v>12385</v>
      </c>
      <c r="G18" s="236"/>
      <c r="H18" s="44"/>
      <c r="I18" s="236">
        <v>20000</v>
      </c>
      <c r="J18" s="51"/>
      <c r="K18" s="67">
        <f t="shared" si="0"/>
        <v>92467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>
        <v>37241</v>
      </c>
      <c r="G19" s="236"/>
      <c r="H19" s="44">
        <f>86944+58697</f>
        <v>145641</v>
      </c>
      <c r="I19" s="236">
        <v>216550</v>
      </c>
      <c r="J19" s="51">
        <v>1050</v>
      </c>
      <c r="K19" s="67">
        <f t="shared" si="0"/>
        <v>400482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>
        <v>314669</v>
      </c>
      <c r="F22" s="237">
        <v>8053</v>
      </c>
      <c r="G22" s="236"/>
      <c r="H22" s="44">
        <f>43933+31585</f>
        <v>75518</v>
      </c>
      <c r="I22" s="236"/>
      <c r="J22" s="51"/>
      <c r="K22" s="67">
        <f t="shared" si="0"/>
        <v>398240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>
        <f>2466+2000</f>
        <v>4466</v>
      </c>
      <c r="D25" s="236">
        <f>28310+15840+3200+3200+1300</f>
        <v>51850</v>
      </c>
      <c r="E25" s="44"/>
      <c r="F25" s="237">
        <v>8935</v>
      </c>
      <c r="G25" s="236"/>
      <c r="H25" s="44"/>
      <c r="I25" s="236"/>
      <c r="J25" s="51"/>
      <c r="K25" s="67">
        <f t="shared" si="0"/>
        <v>65251</v>
      </c>
      <c r="L25"/>
    </row>
    <row r="26" spans="1:12" x14ac:dyDescent="0.35">
      <c r="A26" s="93">
        <v>562.53</v>
      </c>
      <c r="B26" s="28" t="s">
        <v>59</v>
      </c>
      <c r="C26" s="235">
        <f>10742+2127</f>
        <v>12869</v>
      </c>
      <c r="D26" s="236">
        <v>10855</v>
      </c>
      <c r="E26" s="44"/>
      <c r="F26" s="237"/>
      <c r="G26" s="236">
        <v>65245</v>
      </c>
      <c r="H26" s="44"/>
      <c r="I26" s="236"/>
      <c r="J26" s="51">
        <f>3775+129+107</f>
        <v>4011</v>
      </c>
      <c r="K26" s="67">
        <f t="shared" si="0"/>
        <v>92980</v>
      </c>
      <c r="L26"/>
    </row>
    <row r="27" spans="1:12" x14ac:dyDescent="0.35">
      <c r="A27" s="93">
        <v>562.54</v>
      </c>
      <c r="B27" s="28" t="s">
        <v>60</v>
      </c>
      <c r="C27" s="235">
        <f>15022+7134+817</f>
        <v>22973</v>
      </c>
      <c r="D27" s="236">
        <f>20647+219900+37525</f>
        <v>278072</v>
      </c>
      <c r="E27" s="44"/>
      <c r="F27" s="237"/>
      <c r="G27" s="236"/>
      <c r="H27" s="44"/>
      <c r="I27" s="236"/>
      <c r="J27" s="51">
        <f>5-817</f>
        <v>-812</v>
      </c>
      <c r="K27" s="67">
        <f t="shared" si="0"/>
        <v>300233</v>
      </c>
      <c r="L27"/>
    </row>
    <row r="28" spans="1:12" x14ac:dyDescent="0.35">
      <c r="A28" s="93">
        <v>562.54999999999995</v>
      </c>
      <c r="B28" s="16" t="s">
        <v>19</v>
      </c>
      <c r="C28" s="235">
        <v>17743</v>
      </c>
      <c r="D28" s="236"/>
      <c r="E28" s="44"/>
      <c r="F28" s="237">
        <v>10000</v>
      </c>
      <c r="G28" s="236"/>
      <c r="H28" s="44"/>
      <c r="I28" s="236"/>
      <c r="J28" s="51"/>
      <c r="K28" s="67">
        <f t="shared" si="0"/>
        <v>27743</v>
      </c>
      <c r="L28"/>
    </row>
    <row r="29" spans="1:12" x14ac:dyDescent="0.35">
      <c r="A29" s="93">
        <v>562.55999999999995</v>
      </c>
      <c r="B29" s="16" t="s">
        <v>20</v>
      </c>
      <c r="C29" s="235">
        <f>7834+3000</f>
        <v>10834</v>
      </c>
      <c r="D29" s="236">
        <f>298848+45340</f>
        <v>344188</v>
      </c>
      <c r="E29" s="44"/>
      <c r="F29" s="237"/>
      <c r="G29" s="236"/>
      <c r="H29" s="44"/>
      <c r="I29" s="236">
        <v>22220</v>
      </c>
      <c r="J29" s="51">
        <v>168</v>
      </c>
      <c r="K29" s="67">
        <f t="shared" si="0"/>
        <v>377410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26852+5289</f>
        <v>32141</v>
      </c>
      <c r="E31" s="44"/>
      <c r="F31" s="237">
        <v>11913</v>
      </c>
      <c r="G31" s="236"/>
      <c r="H31" s="44"/>
      <c r="I31" s="236"/>
      <c r="J31" s="51"/>
      <c r="K31" s="67">
        <f t="shared" si="0"/>
        <v>44054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47322</v>
      </c>
      <c r="E34" s="44"/>
      <c r="F34" s="237">
        <v>13824</v>
      </c>
      <c r="G34" s="236"/>
      <c r="H34" s="44"/>
      <c r="I34" s="236"/>
      <c r="J34" s="51"/>
      <c r="K34" s="67">
        <f t="shared" si="0"/>
        <v>61146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>
        <v>40000</v>
      </c>
      <c r="D36" s="236"/>
      <c r="E36" s="44"/>
      <c r="F36" s="237">
        <v>4524</v>
      </c>
      <c r="G36" s="236"/>
      <c r="H36" s="44"/>
      <c r="I36" s="236">
        <v>70174</v>
      </c>
      <c r="J36" s="51">
        <v>2195</v>
      </c>
      <c r="K36" s="67">
        <f t="shared" si="0"/>
        <v>116893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>
        <v>26159</v>
      </c>
      <c r="G39" s="236"/>
      <c r="H39" s="44"/>
      <c r="I39" s="236"/>
      <c r="J39" s="51"/>
      <c r="K39" s="67">
        <f t="shared" si="0"/>
        <v>26159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16190</v>
      </c>
      <c r="G40" s="236"/>
      <c r="H40" s="44"/>
      <c r="I40" s="236"/>
      <c r="J40" s="51">
        <v>9810</v>
      </c>
      <c r="K40" s="67">
        <f t="shared" si="0"/>
        <v>26000</v>
      </c>
      <c r="L40"/>
    </row>
    <row r="41" spans="1:12" x14ac:dyDescent="0.35">
      <c r="A41" s="93">
        <v>562.88</v>
      </c>
      <c r="B41" s="28" t="s">
        <v>51</v>
      </c>
      <c r="C41" s="235">
        <v>39</v>
      </c>
      <c r="D41" s="236"/>
      <c r="E41" s="44"/>
      <c r="F41" s="237">
        <v>12637</v>
      </c>
      <c r="G41" s="236"/>
      <c r="H41" s="44">
        <v>72080</v>
      </c>
      <c r="I41" s="236"/>
      <c r="J41" s="51"/>
      <c r="K41" s="67">
        <f t="shared" si="0"/>
        <v>84756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>
        <v>78200</v>
      </c>
      <c r="G42" s="236"/>
      <c r="H42" s="44"/>
      <c r="I42" s="236"/>
      <c r="J42" s="51"/>
      <c r="K42" s="67">
        <f t="shared" si="0"/>
        <v>78200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270363</v>
      </c>
      <c r="D44" s="246">
        <f>SUM(D5:D43)</f>
        <v>785548</v>
      </c>
      <c r="E44" s="247">
        <f t="shared" ref="E44:J44" si="1">SUM(E5:E43)</f>
        <v>388205</v>
      </c>
      <c r="F44" s="248">
        <f t="shared" si="1"/>
        <v>297760</v>
      </c>
      <c r="G44" s="246">
        <f t="shared" si="1"/>
        <v>65245</v>
      </c>
      <c r="H44" s="247">
        <f t="shared" si="1"/>
        <v>437358</v>
      </c>
      <c r="I44" s="249">
        <f t="shared" si="1"/>
        <v>457132</v>
      </c>
      <c r="J44" s="250">
        <f t="shared" si="1"/>
        <v>7117</v>
      </c>
      <c r="K44" s="251">
        <f>SUM(C44:J44)</f>
        <v>2708728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270363</v>
      </c>
      <c r="D56" s="276">
        <f>SUM(D44:D55)</f>
        <v>785548</v>
      </c>
      <c r="E56" s="277">
        <f t="shared" ref="E56:J56" si="3">SUM(E44:E55)</f>
        <v>388205</v>
      </c>
      <c r="F56" s="278">
        <f t="shared" si="3"/>
        <v>297760</v>
      </c>
      <c r="G56" s="279">
        <f t="shared" si="3"/>
        <v>65245</v>
      </c>
      <c r="H56" s="277">
        <f t="shared" si="3"/>
        <v>437358</v>
      </c>
      <c r="I56" s="280">
        <f t="shared" si="3"/>
        <v>457132</v>
      </c>
      <c r="J56" s="281">
        <f t="shared" si="3"/>
        <v>7117</v>
      </c>
      <c r="K56" s="282">
        <f>SUM(C56:J56)</f>
        <v>2708728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270363</v>
      </c>
      <c r="D62" s="7">
        <f>C56/K56</f>
        <v>9.9811793579864791E-2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785548</v>
      </c>
      <c r="D63" s="10">
        <f>D56/K56</f>
        <v>0.29000623170728107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1055911</v>
      </c>
      <c r="D64" s="23">
        <f>SUM(D62:D63)</f>
        <v>0.38981802528714588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388205</v>
      </c>
      <c r="D66" s="20">
        <f>E56/$K56</f>
        <v>0.14331634627027889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297760</v>
      </c>
      <c r="D67" s="20">
        <f>F56/$K56</f>
        <v>0.10992613507151697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65245</v>
      </c>
      <c r="D68" s="55">
        <f>G56/$K56</f>
        <v>2.4086951513773255E-2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751210</v>
      </c>
      <c r="D69" s="23">
        <f>SUM(D66:D68)</f>
        <v>0.2773294328555691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437358</v>
      </c>
      <c r="D71" s="7">
        <f>H56/K56</f>
        <v>0.16146250195663794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457132</v>
      </c>
      <c r="D72" s="10">
        <f>I56/K56</f>
        <v>0.16876260739358104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894490</v>
      </c>
      <c r="D73" s="23">
        <f>SUM(D71:D72)</f>
        <v>0.33022510935021898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7117</v>
      </c>
      <c r="D75" s="23">
        <f>J56/K56</f>
        <v>2.6274325070660474E-3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2708728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77" priority="3">
      <formula>ROW()=EVEN(ROW())</formula>
    </cfRule>
  </conditionalFormatting>
  <conditionalFormatting sqref="K45:K55">
    <cfRule type="expression" dxfId="76" priority="1">
      <formula>ROW()=EVEN(ROW())</formula>
    </cfRule>
  </conditionalFormatting>
  <conditionalFormatting sqref="K5:K44">
    <cfRule type="expression" dxfId="7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GRANT</oddHeader>
  </headerFooter>
  <rowBreaks count="1" manualBreakCount="1">
    <brk id="44" max="16383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72820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24.34</v>
      </c>
      <c r="D2" s="297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61352+4861</f>
        <v>66213</v>
      </c>
      <c r="D5" s="236"/>
      <c r="E5" s="44"/>
      <c r="F5" s="237"/>
      <c r="G5" s="236"/>
      <c r="H5" s="44"/>
      <c r="I5" s="236"/>
      <c r="J5" s="51"/>
      <c r="K5" s="67">
        <f>SUM(C5:J5)</f>
        <v>66213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45223</v>
      </c>
      <c r="D7" s="236">
        <v>133</v>
      </c>
      <c r="E7" s="44"/>
      <c r="F7" s="237"/>
      <c r="G7" s="236"/>
      <c r="H7" s="44"/>
      <c r="I7" s="236"/>
      <c r="J7" s="51"/>
      <c r="K7" s="67">
        <f t="shared" si="0"/>
        <v>45356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>
        <v>12310</v>
      </c>
      <c r="H8" s="239"/>
      <c r="I8" s="240">
        <v>12310</v>
      </c>
      <c r="J8" s="51">
        <v>6849</v>
      </c>
      <c r="K8" s="67">
        <f t="shared" si="0"/>
        <v>31469</v>
      </c>
      <c r="L8"/>
    </row>
    <row r="9" spans="1:12" x14ac:dyDescent="0.35">
      <c r="A9" s="93">
        <v>562.25</v>
      </c>
      <c r="B9" s="28" t="s">
        <v>53</v>
      </c>
      <c r="C9" s="235">
        <v>4404</v>
      </c>
      <c r="D9" s="236"/>
      <c r="E9" s="44"/>
      <c r="F9" s="237"/>
      <c r="G9" s="236">
        <v>325</v>
      </c>
      <c r="H9" s="44">
        <f>33627+900</f>
        <v>34527</v>
      </c>
      <c r="I9" s="236"/>
      <c r="J9" s="51"/>
      <c r="K9" s="67">
        <f t="shared" si="0"/>
        <v>39256</v>
      </c>
      <c r="L9"/>
    </row>
    <row r="10" spans="1:12" x14ac:dyDescent="0.35">
      <c r="A10" s="93">
        <v>562.26</v>
      </c>
      <c r="B10" s="28" t="s">
        <v>44</v>
      </c>
      <c r="C10" s="235">
        <v>180653</v>
      </c>
      <c r="D10" s="236">
        <f>184730+32984</f>
        <v>217714</v>
      </c>
      <c r="E10" s="44">
        <v>106192</v>
      </c>
      <c r="F10" s="237"/>
      <c r="G10" s="236"/>
      <c r="H10" s="44"/>
      <c r="I10" s="236"/>
      <c r="J10" s="51"/>
      <c r="K10" s="67">
        <f t="shared" si="0"/>
        <v>504559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>
        <v>41242</v>
      </c>
      <c r="I11" s="236"/>
      <c r="J11" s="51"/>
      <c r="K11" s="67">
        <f t="shared" si="0"/>
        <v>41242</v>
      </c>
      <c r="L11"/>
    </row>
    <row r="12" spans="1:12" x14ac:dyDescent="0.35">
      <c r="A12" s="93">
        <v>562.28</v>
      </c>
      <c r="B12" s="28" t="s">
        <v>54</v>
      </c>
      <c r="C12" s="235">
        <v>139363</v>
      </c>
      <c r="D12" s="236"/>
      <c r="E12" s="44"/>
      <c r="F12" s="237"/>
      <c r="G12" s="236"/>
      <c r="H12" s="44">
        <f>293905+215</f>
        <v>294120</v>
      </c>
      <c r="I12" s="236"/>
      <c r="J12" s="51"/>
      <c r="K12" s="67">
        <f t="shared" si="0"/>
        <v>433483</v>
      </c>
      <c r="L12"/>
    </row>
    <row r="13" spans="1:12" x14ac:dyDescent="0.35">
      <c r="A13" s="93">
        <v>562.29</v>
      </c>
      <c r="B13" s="28" t="s">
        <v>46</v>
      </c>
      <c r="C13" s="235">
        <f>28389+19099</f>
        <v>47488</v>
      </c>
      <c r="D13" s="236"/>
      <c r="E13" s="44"/>
      <c r="F13" s="237"/>
      <c r="G13" s="236"/>
      <c r="H13" s="44"/>
      <c r="I13" s="236">
        <f>213877+267237</f>
        <v>481114</v>
      </c>
      <c r="J13" s="51">
        <f>11979+2701+5333</f>
        <v>20013</v>
      </c>
      <c r="K13" s="67">
        <f t="shared" si="0"/>
        <v>548615</v>
      </c>
      <c r="L13"/>
    </row>
    <row r="14" spans="1:12" x14ac:dyDescent="0.35">
      <c r="A14" s="93">
        <v>562.32000000000005</v>
      </c>
      <c r="B14" s="16" t="s">
        <v>12</v>
      </c>
      <c r="C14" s="235">
        <v>10191</v>
      </c>
      <c r="D14" s="236">
        <f>308+1847</f>
        <v>2155</v>
      </c>
      <c r="E14" s="44"/>
      <c r="F14" s="237"/>
      <c r="G14" s="236"/>
      <c r="H14" s="44">
        <v>4710</v>
      </c>
      <c r="I14" s="236"/>
      <c r="J14" s="51"/>
      <c r="K14" s="67">
        <f t="shared" si="0"/>
        <v>17056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>
        <v>6763</v>
      </c>
      <c r="D16" s="236"/>
      <c r="E16" s="44"/>
      <c r="F16" s="237"/>
      <c r="G16" s="236"/>
      <c r="H16" s="44"/>
      <c r="I16" s="236"/>
      <c r="J16" s="51"/>
      <c r="K16" s="67">
        <f t="shared" si="0"/>
        <v>6763</v>
      </c>
      <c r="L16"/>
    </row>
    <row r="17" spans="1:12" x14ac:dyDescent="0.35">
      <c r="A17" s="93">
        <v>562.35</v>
      </c>
      <c r="B17" s="16" t="s">
        <v>14</v>
      </c>
      <c r="C17" s="235">
        <v>49904</v>
      </c>
      <c r="D17" s="236"/>
      <c r="E17" s="44"/>
      <c r="F17" s="237"/>
      <c r="G17" s="236"/>
      <c r="H17" s="44"/>
      <c r="I17" s="236"/>
      <c r="J17" s="51">
        <v>11265</v>
      </c>
      <c r="K17" s="67">
        <f t="shared" si="0"/>
        <v>61169</v>
      </c>
      <c r="L17"/>
    </row>
    <row r="18" spans="1:12" x14ac:dyDescent="0.35">
      <c r="A18" s="93">
        <v>562.39</v>
      </c>
      <c r="B18" s="16" t="s">
        <v>15</v>
      </c>
      <c r="C18" s="235">
        <v>119095</v>
      </c>
      <c r="D18" s="236"/>
      <c r="E18" s="44"/>
      <c r="F18" s="237"/>
      <c r="G18" s="236"/>
      <c r="H18" s="44"/>
      <c r="I18" s="236"/>
      <c r="J18" s="51"/>
      <c r="K18" s="67">
        <f t="shared" si="0"/>
        <v>119095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>
        <v>3466</v>
      </c>
      <c r="D23" s="236"/>
      <c r="E23" s="44"/>
      <c r="F23" s="237"/>
      <c r="G23" s="236"/>
      <c r="H23" s="44">
        <v>287597</v>
      </c>
      <c r="I23" s="236"/>
      <c r="J23" s="51"/>
      <c r="K23" s="67">
        <f t="shared" si="0"/>
        <v>291063</v>
      </c>
      <c r="L23"/>
    </row>
    <row r="24" spans="1:12" x14ac:dyDescent="0.35">
      <c r="A24" s="93">
        <v>562.49</v>
      </c>
      <c r="B24" s="28" t="s">
        <v>47</v>
      </c>
      <c r="C24" s="235">
        <f>5352+12970+14582+2750</f>
        <v>35654</v>
      </c>
      <c r="D24" s="236"/>
      <c r="E24" s="44"/>
      <c r="F24" s="237"/>
      <c r="G24" s="236">
        <f>2616+42033</f>
        <v>44649</v>
      </c>
      <c r="H24" s="44"/>
      <c r="I24" s="236">
        <f>28563+37642</f>
        <v>66205</v>
      </c>
      <c r="J24" s="51">
        <v>4000</v>
      </c>
      <c r="K24" s="67">
        <f t="shared" si="0"/>
        <v>150508</v>
      </c>
      <c r="L24"/>
    </row>
    <row r="25" spans="1:12" x14ac:dyDescent="0.35">
      <c r="A25" s="93">
        <v>562.52</v>
      </c>
      <c r="B25" s="16" t="s">
        <v>18</v>
      </c>
      <c r="C25" s="235"/>
      <c r="D25" s="236"/>
      <c r="E25" s="44"/>
      <c r="F25" s="237"/>
      <c r="G25" s="236"/>
      <c r="H25" s="44"/>
      <c r="I25" s="236"/>
      <c r="J25" s="51"/>
      <c r="K25" s="67">
        <f t="shared" si="0"/>
        <v>0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/>
      <c r="H26" s="44"/>
      <c r="I26" s="236"/>
      <c r="J26" s="51"/>
      <c r="K26" s="67">
        <f t="shared" si="0"/>
        <v>0</v>
      </c>
      <c r="L26"/>
    </row>
    <row r="27" spans="1:12" x14ac:dyDescent="0.35">
      <c r="A27" s="93">
        <v>562.54</v>
      </c>
      <c r="B27" s="28" t="s">
        <v>60</v>
      </c>
      <c r="C27" s="235"/>
      <c r="D27" s="236"/>
      <c r="E27" s="44"/>
      <c r="F27" s="237"/>
      <c r="G27" s="236"/>
      <c r="H27" s="44"/>
      <c r="I27" s="236"/>
      <c r="J27" s="51"/>
      <c r="K27" s="67">
        <f t="shared" si="0"/>
        <v>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/>
      <c r="E29" s="44"/>
      <c r="F29" s="237"/>
      <c r="G29" s="236"/>
      <c r="H29" s="44"/>
      <c r="I29" s="236"/>
      <c r="J29" s="51"/>
      <c r="K29" s="67">
        <f t="shared" si="0"/>
        <v>0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/>
      <c r="G31" s="236"/>
      <c r="H31" s="44"/>
      <c r="I31" s="236"/>
      <c r="J31" s="51"/>
      <c r="K31" s="67">
        <f t="shared" si="0"/>
        <v>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11319</v>
      </c>
      <c r="D34" s="236">
        <v>28862</v>
      </c>
      <c r="E34" s="44"/>
      <c r="F34" s="237"/>
      <c r="G34" s="236"/>
      <c r="H34" s="44"/>
      <c r="I34" s="236"/>
      <c r="J34" s="51"/>
      <c r="K34" s="67">
        <f t="shared" si="0"/>
        <v>40181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v>126229</v>
      </c>
      <c r="D40" s="236"/>
      <c r="E40" s="44"/>
      <c r="F40" s="237"/>
      <c r="G40" s="236"/>
      <c r="H40" s="44">
        <v>52859</v>
      </c>
      <c r="I40" s="236"/>
      <c r="J40" s="51"/>
      <c r="K40" s="67">
        <f t="shared" si="0"/>
        <v>179088</v>
      </c>
      <c r="L40"/>
    </row>
    <row r="41" spans="1:12" x14ac:dyDescent="0.35">
      <c r="A41" s="93">
        <v>562.88</v>
      </c>
      <c r="B41" s="28" t="s">
        <v>51</v>
      </c>
      <c r="C41" s="235">
        <v>1483</v>
      </c>
      <c r="D41" s="236"/>
      <c r="E41" s="44"/>
      <c r="F41" s="237"/>
      <c r="G41" s="236"/>
      <c r="H41" s="44">
        <v>69765</v>
      </c>
      <c r="I41" s="236"/>
      <c r="J41" s="51"/>
      <c r="K41" s="67">
        <f t="shared" si="0"/>
        <v>71248</v>
      </c>
      <c r="L41"/>
    </row>
    <row r="42" spans="1:12" x14ac:dyDescent="0.35">
      <c r="A42" s="93">
        <v>562.9</v>
      </c>
      <c r="B42" s="16" t="s">
        <v>28</v>
      </c>
      <c r="C42" s="235">
        <v>1840</v>
      </c>
      <c r="D42" s="236"/>
      <c r="E42" s="44"/>
      <c r="F42" s="237"/>
      <c r="G42" s="236"/>
      <c r="H42" s="44">
        <v>37865</v>
      </c>
      <c r="I42" s="236"/>
      <c r="J42" s="51"/>
      <c r="K42" s="67">
        <f t="shared" si="0"/>
        <v>39705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849288</v>
      </c>
      <c r="D44" s="246">
        <f>SUM(D5:D43)</f>
        <v>248864</v>
      </c>
      <c r="E44" s="247">
        <f t="shared" ref="E44:J44" si="1">SUM(E5:E43)</f>
        <v>106192</v>
      </c>
      <c r="F44" s="248">
        <f t="shared" si="1"/>
        <v>0</v>
      </c>
      <c r="G44" s="246">
        <f t="shared" si="1"/>
        <v>57284</v>
      </c>
      <c r="H44" s="247">
        <f t="shared" si="1"/>
        <v>822685</v>
      </c>
      <c r="I44" s="249">
        <f t="shared" si="1"/>
        <v>559629</v>
      </c>
      <c r="J44" s="250">
        <f t="shared" si="1"/>
        <v>42127</v>
      </c>
      <c r="K44" s="251">
        <f>SUM(C44:J44)</f>
        <v>2686069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849288</v>
      </c>
      <c r="D56" s="276">
        <f>SUM(D44:D55)</f>
        <v>248864</v>
      </c>
      <c r="E56" s="277">
        <f t="shared" ref="E56:J56" si="3">SUM(E44:E55)</f>
        <v>106192</v>
      </c>
      <c r="F56" s="278">
        <f t="shared" si="3"/>
        <v>0</v>
      </c>
      <c r="G56" s="279">
        <f t="shared" si="3"/>
        <v>57284</v>
      </c>
      <c r="H56" s="277">
        <f t="shared" si="3"/>
        <v>822685</v>
      </c>
      <c r="I56" s="280">
        <f t="shared" si="3"/>
        <v>559629</v>
      </c>
      <c r="J56" s="281">
        <f t="shared" si="3"/>
        <v>42127</v>
      </c>
      <c r="K56" s="282">
        <f>SUM(C56:J56)</f>
        <v>2686069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849288</v>
      </c>
      <c r="D62" s="7">
        <f>C56/K56</f>
        <v>0.31618249568421364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248864</v>
      </c>
      <c r="D63" s="10">
        <f>D56/K56</f>
        <v>9.2649890974505864E-2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1098152</v>
      </c>
      <c r="D64" s="23">
        <f>SUM(D62:D63)</f>
        <v>0.40883238665871952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106192</v>
      </c>
      <c r="D66" s="20">
        <f>E56/$K56</f>
        <v>3.9534352989442939E-2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0</v>
      </c>
      <c r="D67" s="20">
        <f>F56/$K56</f>
        <v>0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57284</v>
      </c>
      <c r="D68" s="55">
        <f>G56/$K56</f>
        <v>2.1326332272179158E-2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163476</v>
      </c>
      <c r="D69" s="23">
        <f>SUM(D66:D68)</f>
        <v>6.0860685261622097E-2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822685</v>
      </c>
      <c r="D71" s="7">
        <f>H56/K56</f>
        <v>0.30627843141780797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559629</v>
      </c>
      <c r="D72" s="10">
        <f>I56/K56</f>
        <v>0.20834498294719905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1382314</v>
      </c>
      <c r="D73" s="23">
        <f>SUM(D71:D72)</f>
        <v>0.51462341436500703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42127</v>
      </c>
      <c r="D75" s="23">
        <f>J56/K56</f>
        <v>1.5683513714651411E-2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2686069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74" priority="3">
      <formula>ROW()=EVEN(ROW())</formula>
    </cfRule>
  </conditionalFormatting>
  <conditionalFormatting sqref="K45:K55">
    <cfRule type="expression" dxfId="73" priority="1">
      <formula>ROW()=EVEN(ROW())</formula>
    </cfRule>
  </conditionalFormatting>
  <conditionalFormatting sqref="K5:K44">
    <cfRule type="expression" dxfId="7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GRAYS HARBOR</oddHeader>
  </headerFooter>
  <rowBreaks count="1" manualBreakCount="1">
    <brk id="44" max="16383" man="1"/>
  </row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82910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35.5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237493</v>
      </c>
      <c r="D5" s="236">
        <f>40+669+23126</f>
        <v>23835</v>
      </c>
      <c r="E5" s="44"/>
      <c r="F5" s="237"/>
      <c r="G5" s="236"/>
      <c r="H5" s="44"/>
      <c r="I5" s="236">
        <v>67037</v>
      </c>
      <c r="J5" s="51">
        <v>226</v>
      </c>
      <c r="K5" s="67">
        <f>SUM(C5:J5)</f>
        <v>328591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f>6300+53770</f>
        <v>60070</v>
      </c>
      <c r="D7" s="236">
        <v>19055</v>
      </c>
      <c r="E7" s="44"/>
      <c r="F7" s="237"/>
      <c r="G7" s="236"/>
      <c r="H7" s="44">
        <v>55553</v>
      </c>
      <c r="I7" s="236"/>
      <c r="J7" s="51"/>
      <c r="K7" s="67">
        <f t="shared" si="0"/>
        <v>134678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>
        <v>7162</v>
      </c>
      <c r="H8" s="239"/>
      <c r="I8" s="240">
        <v>7162</v>
      </c>
      <c r="J8" s="51"/>
      <c r="K8" s="67">
        <f t="shared" si="0"/>
        <v>14324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24065</v>
      </c>
      <c r="D12" s="236"/>
      <c r="E12" s="44"/>
      <c r="F12" s="237"/>
      <c r="G12" s="236"/>
      <c r="H12" s="44">
        <f>271053+10556+390</f>
        <v>281999</v>
      </c>
      <c r="I12" s="236"/>
      <c r="J12" s="51"/>
      <c r="K12" s="67">
        <f t="shared" si="0"/>
        <v>306064</v>
      </c>
      <c r="L12"/>
    </row>
    <row r="13" spans="1:12" x14ac:dyDescent="0.35">
      <c r="A13" s="93">
        <v>562.29</v>
      </c>
      <c r="B13" s="28" t="s">
        <v>46</v>
      </c>
      <c r="C13" s="235">
        <v>8192</v>
      </c>
      <c r="D13" s="236">
        <v>928</v>
      </c>
      <c r="E13" s="44"/>
      <c r="F13" s="237"/>
      <c r="G13" s="236"/>
      <c r="H13" s="44"/>
      <c r="I13" s="236"/>
      <c r="J13" s="51"/>
      <c r="K13" s="67">
        <f t="shared" si="0"/>
        <v>9120</v>
      </c>
      <c r="L13"/>
    </row>
    <row r="14" spans="1:12" x14ac:dyDescent="0.35">
      <c r="A14" s="93">
        <v>562.32000000000005</v>
      </c>
      <c r="B14" s="16" t="s">
        <v>12</v>
      </c>
      <c r="C14" s="235">
        <v>40300</v>
      </c>
      <c r="D14" s="236">
        <f>3004+30824</f>
        <v>33828</v>
      </c>
      <c r="E14" s="44"/>
      <c r="F14" s="237">
        <v>30865</v>
      </c>
      <c r="G14" s="236"/>
      <c r="H14" s="44">
        <f>5574+1241+2619+744</f>
        <v>10178</v>
      </c>
      <c r="I14" s="236"/>
      <c r="J14" s="51"/>
      <c r="K14" s="67">
        <f t="shared" si="0"/>
        <v>115171</v>
      </c>
      <c r="L14"/>
    </row>
    <row r="15" spans="1:12" x14ac:dyDescent="0.35">
      <c r="A15" s="93">
        <v>562.33000000000004</v>
      </c>
      <c r="B15" s="28" t="s">
        <v>55</v>
      </c>
      <c r="C15" s="235">
        <v>8010</v>
      </c>
      <c r="D15" s="236"/>
      <c r="E15" s="44"/>
      <c r="F15" s="237">
        <v>15184</v>
      </c>
      <c r="G15" s="236"/>
      <c r="H15" s="44"/>
      <c r="I15" s="236"/>
      <c r="J15" s="51"/>
      <c r="K15" s="67">
        <f t="shared" si="0"/>
        <v>23194</v>
      </c>
      <c r="L15"/>
    </row>
    <row r="16" spans="1:12" x14ac:dyDescent="0.35">
      <c r="A16" s="93">
        <v>562.34</v>
      </c>
      <c r="B16" s="16" t="s">
        <v>13</v>
      </c>
      <c r="C16" s="235">
        <v>24168</v>
      </c>
      <c r="D16" s="236">
        <f>798+2415+100</f>
        <v>3313</v>
      </c>
      <c r="E16" s="44"/>
      <c r="F16" s="237"/>
      <c r="G16" s="236"/>
      <c r="H16" s="44"/>
      <c r="I16" s="236"/>
      <c r="J16" s="51"/>
      <c r="K16" s="67">
        <f t="shared" si="0"/>
        <v>27481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>
        <v>25693</v>
      </c>
      <c r="D18" s="236"/>
      <c r="E18" s="44"/>
      <c r="F18" s="237">
        <f>35901+49723</f>
        <v>85624</v>
      </c>
      <c r="G18" s="236"/>
      <c r="H18" s="44"/>
      <c r="I18" s="236"/>
      <c r="J18" s="51"/>
      <c r="K18" s="67">
        <f t="shared" si="0"/>
        <v>111317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>
        <v>10689</v>
      </c>
      <c r="E22" s="44"/>
      <c r="F22" s="237"/>
      <c r="G22" s="236">
        <v>2379</v>
      </c>
      <c r="H22" s="44"/>
      <c r="I22" s="236">
        <v>2382</v>
      </c>
      <c r="J22" s="51"/>
      <c r="K22" s="67">
        <f t="shared" si="0"/>
        <v>15450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f>25126+11007</f>
        <v>36133</v>
      </c>
      <c r="G24" s="236"/>
      <c r="H24" s="44"/>
      <c r="I24" s="236"/>
      <c r="J24" s="51"/>
      <c r="K24" s="67">
        <f t="shared" si="0"/>
        <v>36133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93912+18750</f>
        <v>112662</v>
      </c>
      <c r="E25" s="44"/>
      <c r="F25" s="237"/>
      <c r="G25" s="236"/>
      <c r="H25" s="44"/>
      <c r="I25" s="236"/>
      <c r="J25" s="51"/>
      <c r="K25" s="67">
        <f t="shared" si="0"/>
        <v>112662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109470+3734</f>
        <v>113204</v>
      </c>
      <c r="E26" s="44"/>
      <c r="F26" s="237"/>
      <c r="G26" s="236">
        <f>3069+69840</f>
        <v>72909</v>
      </c>
      <c r="H26" s="44"/>
      <c r="I26" s="236"/>
      <c r="J26" s="51"/>
      <c r="K26" s="67">
        <f t="shared" si="0"/>
        <v>186113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5223+35142+397747+9599+229375</f>
        <v>677086</v>
      </c>
      <c r="E27" s="44">
        <v>34433</v>
      </c>
      <c r="F27" s="237"/>
      <c r="G27" s="236"/>
      <c r="H27" s="44">
        <v>108636</v>
      </c>
      <c r="I27" s="236"/>
      <c r="J27" s="51"/>
      <c r="K27" s="67">
        <f t="shared" si="0"/>
        <v>820155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v>241969</v>
      </c>
      <c r="E29" s="44"/>
      <c r="F29" s="237"/>
      <c r="G29" s="236"/>
      <c r="H29" s="44"/>
      <c r="I29" s="236"/>
      <c r="J29" s="51"/>
      <c r="K29" s="67">
        <f t="shared" si="0"/>
        <v>241969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28777</v>
      </c>
      <c r="E31" s="44"/>
      <c r="F31" s="237"/>
      <c r="G31" s="236"/>
      <c r="H31" s="44"/>
      <c r="I31" s="236"/>
      <c r="J31" s="51">
        <v>400</v>
      </c>
      <c r="K31" s="67">
        <f t="shared" si="0"/>
        <v>29177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>
        <v>118869</v>
      </c>
      <c r="E33" s="44">
        <v>2789</v>
      </c>
      <c r="F33" s="237"/>
      <c r="G33" s="236"/>
      <c r="H33" s="44">
        <f>13034+56530</f>
        <v>69564</v>
      </c>
      <c r="I33" s="236"/>
      <c r="J33" s="51"/>
      <c r="K33" s="67">
        <f t="shared" si="0"/>
        <v>191222</v>
      </c>
      <c r="L33"/>
    </row>
    <row r="34" spans="1:12" x14ac:dyDescent="0.35">
      <c r="A34" s="93">
        <v>562.71</v>
      </c>
      <c r="B34" s="16" t="s">
        <v>22</v>
      </c>
      <c r="C34" s="235">
        <v>30503</v>
      </c>
      <c r="D34" s="236">
        <v>23931</v>
      </c>
      <c r="E34" s="44"/>
      <c r="F34" s="237"/>
      <c r="G34" s="236"/>
      <c r="H34" s="44"/>
      <c r="I34" s="236"/>
      <c r="J34" s="51"/>
      <c r="K34" s="67">
        <f t="shared" si="0"/>
        <v>54434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>
        <v>13786</v>
      </c>
      <c r="I36" s="236"/>
      <c r="J36" s="51"/>
      <c r="K36" s="67">
        <f t="shared" si="0"/>
        <v>13786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87418</v>
      </c>
      <c r="G40" s="236"/>
      <c r="H40" s="44"/>
      <c r="I40" s="236"/>
      <c r="J40" s="51"/>
      <c r="K40" s="67">
        <f t="shared" si="0"/>
        <v>87418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26829</v>
      </c>
      <c r="I41" s="236"/>
      <c r="J41" s="51"/>
      <c r="K41" s="67">
        <f t="shared" si="0"/>
        <v>26829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>
        <v>850</v>
      </c>
      <c r="K42" s="67">
        <f t="shared" si="0"/>
        <v>850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458494</v>
      </c>
      <c r="D44" s="246">
        <f>SUM(D5:D43)</f>
        <v>1408146</v>
      </c>
      <c r="E44" s="247">
        <f t="shared" ref="E44:J44" si="1">SUM(E5:E43)</f>
        <v>37222</v>
      </c>
      <c r="F44" s="248">
        <f t="shared" si="1"/>
        <v>255224</v>
      </c>
      <c r="G44" s="246">
        <f t="shared" si="1"/>
        <v>82450</v>
      </c>
      <c r="H44" s="247">
        <f t="shared" si="1"/>
        <v>566545</v>
      </c>
      <c r="I44" s="249">
        <f t="shared" si="1"/>
        <v>76581</v>
      </c>
      <c r="J44" s="250">
        <f t="shared" si="1"/>
        <v>1476</v>
      </c>
      <c r="K44" s="251">
        <f>SUM(C44:J44)</f>
        <v>2886138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/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/>
      <c r="E49" s="44"/>
      <c r="F49" s="237"/>
      <c r="G49" s="236">
        <v>654</v>
      </c>
      <c r="H49" s="44"/>
      <c r="I49" s="236"/>
      <c r="J49" s="51"/>
      <c r="K49" s="67">
        <f t="shared" si="2"/>
        <v>654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f>27420+12386+217132</f>
        <v>256938</v>
      </c>
      <c r="E55" s="241"/>
      <c r="F55" s="242"/>
      <c r="G55" s="243">
        <f>18276+68808</f>
        <v>87084</v>
      </c>
      <c r="H55" s="241"/>
      <c r="I55" s="243">
        <f>54855+48075+94511+230410+2236+200617</f>
        <v>630704</v>
      </c>
      <c r="J55" s="244"/>
      <c r="K55" s="274">
        <f t="shared" si="2"/>
        <v>974726</v>
      </c>
      <c r="L55"/>
    </row>
    <row r="56" spans="1:12" ht="15" thickBot="1" x14ac:dyDescent="0.4">
      <c r="A56" s="97"/>
      <c r="B56" s="29" t="s">
        <v>42</v>
      </c>
      <c r="C56" s="275">
        <f>SUM(C44:C55)</f>
        <v>458494</v>
      </c>
      <c r="D56" s="276">
        <f>SUM(D44:D55)</f>
        <v>1665084</v>
      </c>
      <c r="E56" s="277">
        <f t="shared" ref="E56:J56" si="3">SUM(E44:E55)</f>
        <v>37222</v>
      </c>
      <c r="F56" s="278">
        <f t="shared" si="3"/>
        <v>255224</v>
      </c>
      <c r="G56" s="279">
        <f t="shared" si="3"/>
        <v>170188</v>
      </c>
      <c r="H56" s="277">
        <f t="shared" si="3"/>
        <v>566545</v>
      </c>
      <c r="I56" s="280">
        <f t="shared" si="3"/>
        <v>707285</v>
      </c>
      <c r="J56" s="281">
        <f t="shared" si="3"/>
        <v>1476</v>
      </c>
      <c r="K56" s="282">
        <f>SUM(C56:J56)</f>
        <v>3861518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458494</v>
      </c>
      <c r="D62" s="7">
        <f>C56/K56</f>
        <v>0.11873413512509848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1665084</v>
      </c>
      <c r="D63" s="10">
        <f>D56/K56</f>
        <v>0.43119933663393517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2123578</v>
      </c>
      <c r="D64" s="23">
        <f>SUM(D62:D63)</f>
        <v>0.54993347175903362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37222</v>
      </c>
      <c r="D66" s="20">
        <f>E56/$K56</f>
        <v>9.6392144229290131E-3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255224</v>
      </c>
      <c r="D67" s="20">
        <f>F56/$K56</f>
        <v>6.6094214762173836E-2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170188</v>
      </c>
      <c r="D68" s="55">
        <f>G56/$K56</f>
        <v>4.4072823174720409E-2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462634</v>
      </c>
      <c r="D69" s="23">
        <f>SUM(D66:D68)</f>
        <v>0.11980625235982326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566545</v>
      </c>
      <c r="D71" s="7">
        <f>H56/K56</f>
        <v>0.14671561805486857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707285</v>
      </c>
      <c r="D72" s="10">
        <f>I56/K56</f>
        <v>0.18316242472519875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1273830</v>
      </c>
      <c r="D73" s="23">
        <f>SUM(D71:D72)</f>
        <v>0.32987804278006733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1476</v>
      </c>
      <c r="D75" s="23">
        <f>J56/K56</f>
        <v>3.8223310107579454E-4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3861518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71" priority="3">
      <formula>ROW()=EVEN(ROW())</formula>
    </cfRule>
  </conditionalFormatting>
  <conditionalFormatting sqref="K45:K55">
    <cfRule type="expression" dxfId="70" priority="1">
      <formula>ROW()=EVEN(ROW())</formula>
    </cfRule>
  </conditionalFormatting>
  <conditionalFormatting sqref="K5:K44">
    <cfRule type="expression" dxfId="69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ISLAND</oddHeader>
  </headerFooter>
  <rowBreaks count="1" manualBreakCount="1">
    <brk id="4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31090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33.274000000000001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470092+4388</f>
        <v>474480</v>
      </c>
      <c r="D5" s="236">
        <f>63247+65547+126336+21733+18912+2500+3+104+23109</f>
        <v>321491</v>
      </c>
      <c r="E5" s="44"/>
      <c r="F5" s="237">
        <v>116311</v>
      </c>
      <c r="G5" s="236"/>
      <c r="H5" s="44"/>
      <c r="I5" s="236">
        <v>64943</v>
      </c>
      <c r="J5" s="51">
        <f>160-231239</f>
        <v>-231079</v>
      </c>
      <c r="K5" s="67">
        <f>SUM(C5:J5)</f>
        <v>746146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41065</v>
      </c>
      <c r="D7" s="236">
        <f>29170+39349+12261+19830</f>
        <v>100610</v>
      </c>
      <c r="E7" s="44"/>
      <c r="F7" s="237"/>
      <c r="G7" s="236">
        <f>25180+186861</f>
        <v>212041</v>
      </c>
      <c r="H7" s="44"/>
      <c r="I7" s="236">
        <v>334</v>
      </c>
      <c r="J7" s="51">
        <f>500+268+101760</f>
        <v>102528</v>
      </c>
      <c r="K7" s="67">
        <f t="shared" si="0"/>
        <v>456578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>
        <v>41532</v>
      </c>
      <c r="I9" s="236">
        <v>3649</v>
      </c>
      <c r="J9" s="51">
        <v>3699</v>
      </c>
      <c r="K9" s="67">
        <f t="shared" si="0"/>
        <v>48880</v>
      </c>
      <c r="L9"/>
    </row>
    <row r="10" spans="1:12" x14ac:dyDescent="0.35">
      <c r="A10" s="93">
        <v>562.26</v>
      </c>
      <c r="B10" s="28" t="s">
        <v>44</v>
      </c>
      <c r="C10" s="235">
        <v>82023</v>
      </c>
      <c r="D10" s="236">
        <f>4519+39643+169535</f>
        <v>213697</v>
      </c>
      <c r="E10" s="44">
        <v>64323</v>
      </c>
      <c r="F10" s="237"/>
      <c r="G10" s="236"/>
      <c r="H10" s="44"/>
      <c r="I10" s="236">
        <v>20497</v>
      </c>
      <c r="J10" s="51">
        <f>1000+103409</f>
        <v>104409</v>
      </c>
      <c r="K10" s="67">
        <f t="shared" si="0"/>
        <v>484949</v>
      </c>
      <c r="L10"/>
    </row>
    <row r="11" spans="1:12" x14ac:dyDescent="0.35">
      <c r="A11" s="93">
        <v>562.27</v>
      </c>
      <c r="B11" s="28" t="s">
        <v>45</v>
      </c>
      <c r="C11" s="235">
        <v>2412</v>
      </c>
      <c r="D11" s="236"/>
      <c r="E11" s="44"/>
      <c r="F11" s="237"/>
      <c r="G11" s="236"/>
      <c r="H11" s="44">
        <v>27973</v>
      </c>
      <c r="I11" s="236">
        <v>22192</v>
      </c>
      <c r="J11" s="51">
        <v>-10686</v>
      </c>
      <c r="K11" s="67">
        <f t="shared" si="0"/>
        <v>41891</v>
      </c>
      <c r="L11"/>
    </row>
    <row r="12" spans="1:12" x14ac:dyDescent="0.35">
      <c r="A12" s="93">
        <v>562.28</v>
      </c>
      <c r="B12" s="28" t="s">
        <v>54</v>
      </c>
      <c r="C12" s="235">
        <v>3809</v>
      </c>
      <c r="D12" s="236"/>
      <c r="E12" s="44"/>
      <c r="F12" s="237"/>
      <c r="G12" s="236"/>
      <c r="H12" s="44">
        <f>88182+340</f>
        <v>88522</v>
      </c>
      <c r="I12" s="236"/>
      <c r="J12" s="51">
        <v>46441</v>
      </c>
      <c r="K12" s="67">
        <f t="shared" si="0"/>
        <v>138772</v>
      </c>
      <c r="L12"/>
    </row>
    <row r="13" spans="1:12" x14ac:dyDescent="0.35">
      <c r="A13" s="93">
        <v>562.29</v>
      </c>
      <c r="B13" s="28" t="s">
        <v>46</v>
      </c>
      <c r="C13" s="235">
        <v>11575</v>
      </c>
      <c r="D13" s="236">
        <f>80923+45715+810+2979+8803+5040+39027+2094+8688</f>
        <v>194079</v>
      </c>
      <c r="E13" s="44"/>
      <c r="F13" s="237"/>
      <c r="G13" s="236">
        <v>3382</v>
      </c>
      <c r="H13" s="44"/>
      <c r="I13" s="236">
        <f>1722+6908</f>
        <v>8630</v>
      </c>
      <c r="J13" s="51">
        <v>50505</v>
      </c>
      <c r="K13" s="67">
        <f t="shared" si="0"/>
        <v>268171</v>
      </c>
      <c r="L13"/>
    </row>
    <row r="14" spans="1:12" x14ac:dyDescent="0.35">
      <c r="A14" s="93">
        <v>562.32000000000005</v>
      </c>
      <c r="B14" s="16" t="s">
        <v>12</v>
      </c>
      <c r="C14" s="235">
        <v>54959</v>
      </c>
      <c r="D14" s="236">
        <f>21516+32529+14254</f>
        <v>68299</v>
      </c>
      <c r="E14" s="44"/>
      <c r="F14" s="237">
        <v>37769</v>
      </c>
      <c r="G14" s="236"/>
      <c r="H14" s="44">
        <f>6996+187</f>
        <v>7183</v>
      </c>
      <c r="I14" s="236">
        <v>936</v>
      </c>
      <c r="J14" s="51">
        <v>87767</v>
      </c>
      <c r="K14" s="67">
        <f t="shared" si="0"/>
        <v>256913</v>
      </c>
      <c r="L14"/>
    </row>
    <row r="15" spans="1:12" x14ac:dyDescent="0.35">
      <c r="A15" s="93">
        <v>562.33000000000004</v>
      </c>
      <c r="B15" s="28" t="s">
        <v>55</v>
      </c>
      <c r="C15" s="235">
        <v>8500</v>
      </c>
      <c r="D15" s="236">
        <f>1410+1653+2447</f>
        <v>5510</v>
      </c>
      <c r="E15" s="44"/>
      <c r="F15" s="237"/>
      <c r="G15" s="236"/>
      <c r="H15" s="44"/>
      <c r="I15" s="236">
        <v>1840</v>
      </c>
      <c r="J15" s="51">
        <v>7000</v>
      </c>
      <c r="K15" s="67">
        <f t="shared" si="0"/>
        <v>22850</v>
      </c>
      <c r="L15"/>
    </row>
    <row r="16" spans="1:12" x14ac:dyDescent="0.35">
      <c r="A16" s="93">
        <v>562.34</v>
      </c>
      <c r="B16" s="16" t="s">
        <v>13</v>
      </c>
      <c r="C16" s="235">
        <v>325</v>
      </c>
      <c r="D16" s="236">
        <f>2791+434+689</f>
        <v>3914</v>
      </c>
      <c r="E16" s="44"/>
      <c r="F16" s="237"/>
      <c r="G16" s="236"/>
      <c r="H16" s="44"/>
      <c r="I16" s="236"/>
      <c r="J16" s="51">
        <v>14767</v>
      </c>
      <c r="K16" s="67">
        <f t="shared" si="0"/>
        <v>19006</v>
      </c>
      <c r="L16"/>
    </row>
    <row r="17" spans="1:12" x14ac:dyDescent="0.35">
      <c r="A17" s="93">
        <v>562.35</v>
      </c>
      <c r="B17" s="16" t="s">
        <v>14</v>
      </c>
      <c r="C17" s="235">
        <v>9170</v>
      </c>
      <c r="D17" s="236"/>
      <c r="E17" s="44"/>
      <c r="F17" s="237"/>
      <c r="G17" s="236"/>
      <c r="H17" s="44"/>
      <c r="I17" s="236"/>
      <c r="J17" s="51">
        <f>375+5826</f>
        <v>6201</v>
      </c>
      <c r="K17" s="67">
        <f t="shared" si="0"/>
        <v>15371</v>
      </c>
      <c r="L17"/>
    </row>
    <row r="18" spans="1:12" x14ac:dyDescent="0.35">
      <c r="A18" s="93">
        <v>562.39</v>
      </c>
      <c r="B18" s="16" t="s">
        <v>15</v>
      </c>
      <c r="C18" s="235">
        <v>62674</v>
      </c>
      <c r="D18" s="236"/>
      <c r="E18" s="44"/>
      <c r="F18" s="237">
        <v>30000</v>
      </c>
      <c r="G18" s="236"/>
      <c r="H18" s="44"/>
      <c r="I18" s="236"/>
      <c r="J18" s="51">
        <v>34625</v>
      </c>
      <c r="K18" s="67">
        <f t="shared" si="0"/>
        <v>127299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>
        <v>114</v>
      </c>
      <c r="D21" s="236"/>
      <c r="E21" s="44"/>
      <c r="F21" s="237"/>
      <c r="G21" s="236"/>
      <c r="H21" s="44"/>
      <c r="I21" s="236">
        <v>311</v>
      </c>
      <c r="J21" s="51">
        <v>3136</v>
      </c>
      <c r="K21" s="67">
        <f t="shared" si="0"/>
        <v>3561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>
        <v>18437</v>
      </c>
      <c r="D25" s="236">
        <f>10494+16254+2600+2600+1647</f>
        <v>33595</v>
      </c>
      <c r="E25" s="44"/>
      <c r="F25" s="237"/>
      <c r="G25" s="236"/>
      <c r="H25" s="44"/>
      <c r="I25" s="236"/>
      <c r="J25" s="51">
        <v>3115</v>
      </c>
      <c r="K25" s="67">
        <f t="shared" si="0"/>
        <v>55147</v>
      </c>
      <c r="L25"/>
    </row>
    <row r="26" spans="1:12" x14ac:dyDescent="0.35">
      <c r="A26" s="93">
        <v>562.53</v>
      </c>
      <c r="B26" s="28" t="s">
        <v>59</v>
      </c>
      <c r="C26" s="235">
        <f>11064+27700</f>
        <v>38764</v>
      </c>
      <c r="D26" s="236">
        <f>3291+2163+7231</f>
        <v>12685</v>
      </c>
      <c r="E26" s="44"/>
      <c r="F26" s="237"/>
      <c r="G26" s="236">
        <v>180133</v>
      </c>
      <c r="H26" s="44"/>
      <c r="I26" s="236"/>
      <c r="J26" s="51">
        <v>-1969</v>
      </c>
      <c r="K26" s="67">
        <f t="shared" si="0"/>
        <v>229613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116362+44456+38237+116161</f>
        <v>315216</v>
      </c>
      <c r="E27" s="44">
        <v>61833</v>
      </c>
      <c r="F27" s="237"/>
      <c r="G27" s="236"/>
      <c r="H27" s="44">
        <v>88934</v>
      </c>
      <c r="I27" s="236"/>
      <c r="J27" s="51">
        <v>-55042</v>
      </c>
      <c r="K27" s="67">
        <f t="shared" si="0"/>
        <v>410941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129018+10914+13447</f>
        <v>153379</v>
      </c>
      <c r="E29" s="44"/>
      <c r="F29" s="237"/>
      <c r="G29" s="236"/>
      <c r="H29" s="44"/>
      <c r="I29" s="236"/>
      <c r="J29" s="51">
        <v>25288</v>
      </c>
      <c r="K29" s="67">
        <f t="shared" si="0"/>
        <v>178667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5594+1594</f>
        <v>7188</v>
      </c>
      <c r="E31" s="44"/>
      <c r="F31" s="237"/>
      <c r="G31" s="236"/>
      <c r="H31" s="44"/>
      <c r="I31" s="236"/>
      <c r="J31" s="51">
        <v>3217</v>
      </c>
      <c r="K31" s="67">
        <f t="shared" si="0"/>
        <v>10405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>
        <v>226743</v>
      </c>
      <c r="J32" s="51">
        <v>-224848</v>
      </c>
      <c r="K32" s="67">
        <f t="shared" si="0"/>
        <v>1895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>
        <v>6486</v>
      </c>
      <c r="F33" s="237"/>
      <c r="G33" s="236"/>
      <c r="H33" s="44">
        <v>8000</v>
      </c>
      <c r="I33" s="236"/>
      <c r="J33" s="51">
        <v>545</v>
      </c>
      <c r="K33" s="67">
        <f t="shared" si="0"/>
        <v>15031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11896</v>
      </c>
      <c r="E34" s="44"/>
      <c r="F34" s="237"/>
      <c r="G34" s="236"/>
      <c r="H34" s="44"/>
      <c r="I34" s="236"/>
      <c r="J34" s="51">
        <v>6650</v>
      </c>
      <c r="K34" s="67">
        <f t="shared" si="0"/>
        <v>18546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>
        <v>11812</v>
      </c>
      <c r="E40" s="44"/>
      <c r="F40" s="237"/>
      <c r="G40" s="236"/>
      <c r="H40" s="44"/>
      <c r="I40" s="236"/>
      <c r="J40" s="51">
        <v>5596</v>
      </c>
      <c r="K40" s="67">
        <f t="shared" si="0"/>
        <v>17408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31151</v>
      </c>
      <c r="I41" s="236"/>
      <c r="J41" s="51">
        <v>1920</v>
      </c>
      <c r="K41" s="67">
        <f t="shared" si="0"/>
        <v>33071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>
        <v>199</v>
      </c>
      <c r="K42" s="67">
        <f t="shared" si="0"/>
        <v>199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808307</v>
      </c>
      <c r="D44" s="246">
        <f>SUM(D5:D43)</f>
        <v>1453371</v>
      </c>
      <c r="E44" s="247">
        <f t="shared" ref="E44:J44" si="1">SUM(E5:E43)</f>
        <v>132642</v>
      </c>
      <c r="F44" s="248">
        <f t="shared" si="1"/>
        <v>184080</v>
      </c>
      <c r="G44" s="246">
        <f t="shared" si="1"/>
        <v>395556</v>
      </c>
      <c r="H44" s="247">
        <f t="shared" si="1"/>
        <v>293295</v>
      </c>
      <c r="I44" s="249">
        <f t="shared" si="1"/>
        <v>350075</v>
      </c>
      <c r="J44" s="250">
        <f t="shared" si="1"/>
        <v>-16016</v>
      </c>
      <c r="K44" s="251">
        <f>SUM(C44:J44)</f>
        <v>3601310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/>
      <c r="D49" s="236"/>
      <c r="E49" s="44"/>
      <c r="F49" s="237"/>
      <c r="G49" s="236">
        <v>15097</v>
      </c>
      <c r="H49" s="44"/>
      <c r="I49" s="236"/>
      <c r="J49" s="51">
        <v>-9680</v>
      </c>
      <c r="K49" s="67">
        <f t="shared" si="2"/>
        <v>5417</v>
      </c>
      <c r="L49"/>
    </row>
    <row r="50" spans="1:12" x14ac:dyDescent="0.35">
      <c r="A50" s="93">
        <v>555</v>
      </c>
      <c r="B50" s="16" t="s">
        <v>35</v>
      </c>
      <c r="C50" s="235"/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/>
      <c r="D52" s="236"/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3306</v>
      </c>
      <c r="D53" s="236"/>
      <c r="E53" s="44"/>
      <c r="F53" s="237"/>
      <c r="G53" s="236">
        <v>2504</v>
      </c>
      <c r="H53" s="44"/>
      <c r="I53" s="236">
        <f>49523+31988+27995</f>
        <v>109506</v>
      </c>
      <c r="J53" s="51">
        <v>20028</v>
      </c>
      <c r="K53" s="67">
        <f t="shared" si="2"/>
        <v>135344</v>
      </c>
      <c r="L53"/>
    </row>
    <row r="54" spans="1:12" x14ac:dyDescent="0.35">
      <c r="A54" s="93">
        <v>568</v>
      </c>
      <c r="B54" s="16" t="s">
        <v>39</v>
      </c>
      <c r="C54" s="235">
        <f>43383+309+1431+1710+3858</f>
        <v>50691</v>
      </c>
      <c r="D54" s="236">
        <f>9887+121663+140192</f>
        <v>271742</v>
      </c>
      <c r="E54" s="44"/>
      <c r="F54" s="237"/>
      <c r="G54" s="236">
        <v>17979</v>
      </c>
      <c r="H54" s="44"/>
      <c r="I54" s="236"/>
      <c r="J54" s="51">
        <f>21+7972</f>
        <v>7993</v>
      </c>
      <c r="K54" s="67">
        <f t="shared" si="2"/>
        <v>348405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862304</v>
      </c>
      <c r="D56" s="276">
        <f>SUM(D44:D55)</f>
        <v>1725113</v>
      </c>
      <c r="E56" s="277">
        <f t="shared" ref="E56:J56" si="3">SUM(E44:E55)</f>
        <v>132642</v>
      </c>
      <c r="F56" s="278">
        <f t="shared" si="3"/>
        <v>184080</v>
      </c>
      <c r="G56" s="279">
        <f t="shared" si="3"/>
        <v>431136</v>
      </c>
      <c r="H56" s="277">
        <f t="shared" si="3"/>
        <v>293295</v>
      </c>
      <c r="I56" s="280">
        <f t="shared" si="3"/>
        <v>459581</v>
      </c>
      <c r="J56" s="281">
        <f t="shared" si="3"/>
        <v>2325</v>
      </c>
      <c r="K56" s="282">
        <f>SUM(C56:J56)</f>
        <v>4090476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862304</v>
      </c>
      <c r="D62" s="7">
        <f>C56/K56</f>
        <v>0.2108077397349355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1725113</v>
      </c>
      <c r="D63" s="10">
        <f>D56/K56</f>
        <v>0.42173893698435094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2587417</v>
      </c>
      <c r="D64" s="23">
        <f>SUM(D62:D63)</f>
        <v>0.63254667671928644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132642</v>
      </c>
      <c r="D66" s="20">
        <f>E56/$K56</f>
        <v>3.2427032941887445E-2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184080</v>
      </c>
      <c r="D67" s="20">
        <f>F56/$K56</f>
        <v>4.5002097555394534E-2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431136</v>
      </c>
      <c r="D68" s="55">
        <f>G56/$K56</f>
        <v>0.1053999583422565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747858</v>
      </c>
      <c r="D69" s="23">
        <f>SUM(D66:D68)</f>
        <v>0.18282908883953847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293295</v>
      </c>
      <c r="D71" s="7">
        <f>H56/K56</f>
        <v>7.1701924177039536E-2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459581</v>
      </c>
      <c r="D72" s="10">
        <f>I56/K56</f>
        <v>0.11235391675687621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752876</v>
      </c>
      <c r="D73" s="23">
        <f>SUM(D71:D72)</f>
        <v>0.18405584093391575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2325</v>
      </c>
      <c r="D75" s="23">
        <f>J56/K56</f>
        <v>5.6839350725930188E-4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4090476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68" priority="3">
      <formula>ROW()=EVEN(ROW())</formula>
    </cfRule>
  </conditionalFormatting>
  <conditionalFormatting sqref="K45:K55">
    <cfRule type="expression" dxfId="67" priority="1">
      <formula>ROW()=EVEN(ROW())</formula>
    </cfRule>
  </conditionalFormatting>
  <conditionalFormatting sqref="K5:K44">
    <cfRule type="expression" dxfId="6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JEFFERSON</oddHeader>
  </headerFooter>
  <rowBreaks count="1" manualBreakCount="1">
    <brk id="44" max="16383" man="1"/>
  </rowBreak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262590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102.6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184117</v>
      </c>
      <c r="D5" s="236">
        <v>9149</v>
      </c>
      <c r="E5" s="44"/>
      <c r="F5" s="237"/>
      <c r="G5" s="236"/>
      <c r="H5" s="44"/>
      <c r="I5" s="236">
        <v>529999</v>
      </c>
      <c r="J5" s="51">
        <f>23394+5321-221074+4560</f>
        <v>-187799</v>
      </c>
      <c r="K5" s="67">
        <f>SUM(C5:J5)</f>
        <v>535466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531839</v>
      </c>
      <c r="D7" s="236">
        <v>275872</v>
      </c>
      <c r="E7" s="44"/>
      <c r="F7" s="237">
        <v>333940</v>
      </c>
      <c r="G7" s="236">
        <v>87209</v>
      </c>
      <c r="H7" s="44">
        <v>173137</v>
      </c>
      <c r="I7" s="236"/>
      <c r="J7" s="51">
        <f>54316+19222</f>
        <v>73538</v>
      </c>
      <c r="K7" s="67">
        <f t="shared" si="0"/>
        <v>1475535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>
        <v>118299</v>
      </c>
      <c r="D10" s="236">
        <v>51441</v>
      </c>
      <c r="E10" s="44">
        <v>134932</v>
      </c>
      <c r="F10" s="237">
        <v>86193</v>
      </c>
      <c r="G10" s="236">
        <v>12162</v>
      </c>
      <c r="H10" s="44"/>
      <c r="I10" s="236"/>
      <c r="J10" s="51">
        <v>4962</v>
      </c>
      <c r="K10" s="67">
        <f t="shared" si="0"/>
        <v>407989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>
        <v>47640</v>
      </c>
      <c r="I11" s="236"/>
      <c r="J11" s="51"/>
      <c r="K11" s="67">
        <f t="shared" si="0"/>
        <v>47640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>
        <v>24956</v>
      </c>
      <c r="D13" s="236">
        <v>133967</v>
      </c>
      <c r="E13" s="44"/>
      <c r="F13" s="237">
        <v>18183</v>
      </c>
      <c r="G13" s="236"/>
      <c r="H13" s="44"/>
      <c r="I13" s="236"/>
      <c r="J13" s="51">
        <v>1046</v>
      </c>
      <c r="K13" s="67">
        <f t="shared" si="0"/>
        <v>178152</v>
      </c>
      <c r="L13"/>
    </row>
    <row r="14" spans="1:12" x14ac:dyDescent="0.35">
      <c r="A14" s="93">
        <v>562.32000000000005</v>
      </c>
      <c r="B14" s="16" t="s">
        <v>12</v>
      </c>
      <c r="C14" s="235">
        <v>185761</v>
      </c>
      <c r="D14" s="236">
        <v>153277</v>
      </c>
      <c r="E14" s="44"/>
      <c r="F14" s="237">
        <v>135346</v>
      </c>
      <c r="G14" s="236"/>
      <c r="H14" s="44">
        <v>70729</v>
      </c>
      <c r="I14" s="236"/>
      <c r="J14" s="51">
        <v>7790</v>
      </c>
      <c r="K14" s="67">
        <f t="shared" si="0"/>
        <v>552903</v>
      </c>
      <c r="L14"/>
    </row>
    <row r="15" spans="1:12" x14ac:dyDescent="0.35">
      <c r="A15" s="93">
        <v>562.33000000000004</v>
      </c>
      <c r="B15" s="28" t="s">
        <v>55</v>
      </c>
      <c r="C15" s="235">
        <v>110747</v>
      </c>
      <c r="D15" s="236">
        <v>40683</v>
      </c>
      <c r="E15" s="44">
        <v>67677</v>
      </c>
      <c r="F15" s="237">
        <v>80691</v>
      </c>
      <c r="G15" s="236"/>
      <c r="H15" s="44">
        <v>3397</v>
      </c>
      <c r="I15" s="236"/>
      <c r="J15" s="51">
        <v>4645</v>
      </c>
      <c r="K15" s="67">
        <f t="shared" si="0"/>
        <v>307840</v>
      </c>
      <c r="L15"/>
    </row>
    <row r="16" spans="1:12" x14ac:dyDescent="0.35">
      <c r="A16" s="93">
        <v>562.34</v>
      </c>
      <c r="B16" s="16" t="s">
        <v>13</v>
      </c>
      <c r="C16" s="235">
        <v>99868</v>
      </c>
      <c r="D16" s="236">
        <v>17726</v>
      </c>
      <c r="E16" s="44"/>
      <c r="F16" s="237"/>
      <c r="G16" s="236"/>
      <c r="H16" s="44"/>
      <c r="I16" s="236"/>
      <c r="J16" s="51">
        <v>-12475</v>
      </c>
      <c r="K16" s="67">
        <f t="shared" si="0"/>
        <v>105119</v>
      </c>
      <c r="L16"/>
    </row>
    <row r="17" spans="1:12" x14ac:dyDescent="0.35">
      <c r="A17" s="93">
        <v>562.35</v>
      </c>
      <c r="B17" s="16" t="s">
        <v>14</v>
      </c>
      <c r="C17" s="235">
        <v>22678</v>
      </c>
      <c r="D17" s="236">
        <v>85708</v>
      </c>
      <c r="E17" s="44">
        <f>348416+33448</f>
        <v>381864</v>
      </c>
      <c r="F17" s="237">
        <v>16524</v>
      </c>
      <c r="G17" s="236">
        <v>3730</v>
      </c>
      <c r="H17" s="44"/>
      <c r="I17" s="236">
        <v>3417</v>
      </c>
      <c r="J17" s="51">
        <f>100+951</f>
        <v>1051</v>
      </c>
      <c r="K17" s="67">
        <f t="shared" si="0"/>
        <v>514972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/>
      <c r="G18" s="236"/>
      <c r="H18" s="44"/>
      <c r="I18" s="236"/>
      <c r="J18" s="51"/>
      <c r="K18" s="67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>
        <v>126134</v>
      </c>
      <c r="D24" s="236"/>
      <c r="E24" s="44"/>
      <c r="F24" s="237">
        <v>91901</v>
      </c>
      <c r="G24" s="236"/>
      <c r="H24" s="44">
        <f>99336+359266</f>
        <v>458602</v>
      </c>
      <c r="I24" s="236"/>
      <c r="J24" s="51">
        <f>150+5290</f>
        <v>5440</v>
      </c>
      <c r="K24" s="67">
        <f t="shared" si="0"/>
        <v>682077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308710+21478</f>
        <v>330188</v>
      </c>
      <c r="E25" s="44"/>
      <c r="F25" s="237"/>
      <c r="G25" s="236">
        <v>23538</v>
      </c>
      <c r="H25" s="44"/>
      <c r="I25" s="236"/>
      <c r="J25" s="51">
        <v>-18132</v>
      </c>
      <c r="K25" s="67">
        <f t="shared" si="0"/>
        <v>335594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46968+7070+467838</f>
        <v>521876</v>
      </c>
      <c r="E26" s="44"/>
      <c r="F26" s="237"/>
      <c r="G26" s="236">
        <v>443948</v>
      </c>
      <c r="H26" s="44"/>
      <c r="I26" s="236"/>
      <c r="J26" s="51">
        <v>-86216</v>
      </c>
      <c r="K26" s="67">
        <f t="shared" si="0"/>
        <v>879608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287317+367546+1429344</f>
        <v>2084207</v>
      </c>
      <c r="E27" s="44">
        <v>32111</v>
      </c>
      <c r="F27" s="237"/>
      <c r="G27" s="236"/>
      <c r="H27" s="44">
        <v>85115</v>
      </c>
      <c r="I27" s="236"/>
      <c r="J27" s="51">
        <f>133-149137</f>
        <v>-149004</v>
      </c>
      <c r="K27" s="67">
        <f t="shared" si="0"/>
        <v>2052429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>
        <v>57025</v>
      </c>
      <c r="D29" s="236">
        <f>699939+84596+70957</f>
        <v>855492</v>
      </c>
      <c r="E29" s="44">
        <v>11683</v>
      </c>
      <c r="F29" s="237">
        <v>41549</v>
      </c>
      <c r="G29" s="236"/>
      <c r="H29" s="44">
        <v>12871</v>
      </c>
      <c r="I29" s="236"/>
      <c r="J29" s="51">
        <v>2392</v>
      </c>
      <c r="K29" s="67">
        <f t="shared" si="0"/>
        <v>981012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/>
      <c r="G31" s="236"/>
      <c r="H31" s="44"/>
      <c r="I31" s="236"/>
      <c r="J31" s="51"/>
      <c r="K31" s="67">
        <f t="shared" si="0"/>
        <v>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>
        <v>1108297</v>
      </c>
      <c r="D33" s="236">
        <v>73</v>
      </c>
      <c r="E33" s="44"/>
      <c r="F33" s="237">
        <v>57664</v>
      </c>
      <c r="G33" s="236">
        <v>712052</v>
      </c>
      <c r="H33" s="44">
        <v>58288</v>
      </c>
      <c r="I33" s="236">
        <v>877408</v>
      </c>
      <c r="J33" s="51">
        <f>35838+3320</f>
        <v>39158</v>
      </c>
      <c r="K33" s="67">
        <f t="shared" si="0"/>
        <v>2852940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140512</v>
      </c>
      <c r="E34" s="44"/>
      <c r="F34" s="237"/>
      <c r="G34" s="236"/>
      <c r="H34" s="44"/>
      <c r="I34" s="236"/>
      <c r="J34" s="51"/>
      <c r="K34" s="67">
        <f t="shared" si="0"/>
        <v>140512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v>202921</v>
      </c>
      <c r="D40" s="236"/>
      <c r="E40" s="44"/>
      <c r="F40" s="237">
        <v>101696</v>
      </c>
      <c r="G40" s="236"/>
      <c r="H40" s="44"/>
      <c r="I40" s="236"/>
      <c r="J40" s="51">
        <v>5854</v>
      </c>
      <c r="K40" s="67">
        <f t="shared" si="0"/>
        <v>310471</v>
      </c>
      <c r="L40"/>
    </row>
    <row r="41" spans="1:12" x14ac:dyDescent="0.35">
      <c r="A41" s="93">
        <v>562.88</v>
      </c>
      <c r="B41" s="28" t="s">
        <v>51</v>
      </c>
      <c r="C41" s="235">
        <v>46376</v>
      </c>
      <c r="D41" s="236"/>
      <c r="E41" s="44"/>
      <c r="F41" s="237">
        <v>33790</v>
      </c>
      <c r="G41" s="236"/>
      <c r="H41" s="44">
        <v>486700</v>
      </c>
      <c r="I41" s="236"/>
      <c r="J41" s="51">
        <v>1945</v>
      </c>
      <c r="K41" s="67">
        <f t="shared" si="0"/>
        <v>568811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2819018</v>
      </c>
      <c r="D44" s="246">
        <f>SUM(D5:D43)</f>
        <v>4700171</v>
      </c>
      <c r="E44" s="247">
        <f t="shared" ref="E44:J44" si="1">SUM(E5:E43)</f>
        <v>628267</v>
      </c>
      <c r="F44" s="248">
        <f t="shared" si="1"/>
        <v>997477</v>
      </c>
      <c r="G44" s="246">
        <f t="shared" si="1"/>
        <v>1282639</v>
      </c>
      <c r="H44" s="247">
        <f t="shared" si="1"/>
        <v>1396479</v>
      </c>
      <c r="I44" s="249">
        <f t="shared" si="1"/>
        <v>1410824</v>
      </c>
      <c r="J44" s="250">
        <f t="shared" si="1"/>
        <v>-305805</v>
      </c>
      <c r="K44" s="251">
        <f>SUM(C44:J44)</f>
        <v>12929070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>
        <v>406</v>
      </c>
      <c r="E47" s="44"/>
      <c r="F47" s="237"/>
      <c r="G47" s="236"/>
      <c r="H47" s="44"/>
      <c r="I47" s="236"/>
      <c r="J47" s="51"/>
      <c r="K47" s="67">
        <f t="shared" si="2"/>
        <v>406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2819018</v>
      </c>
      <c r="D56" s="276">
        <f>SUM(D44:D55)</f>
        <v>4700577</v>
      </c>
      <c r="E56" s="277">
        <f t="shared" ref="E56:J56" si="3">SUM(E44:E55)</f>
        <v>628267</v>
      </c>
      <c r="F56" s="278">
        <f t="shared" si="3"/>
        <v>997477</v>
      </c>
      <c r="G56" s="279">
        <f t="shared" si="3"/>
        <v>1282639</v>
      </c>
      <c r="H56" s="277">
        <f t="shared" si="3"/>
        <v>1396479</v>
      </c>
      <c r="I56" s="280">
        <f t="shared" si="3"/>
        <v>1410824</v>
      </c>
      <c r="J56" s="281">
        <f t="shared" si="3"/>
        <v>-305805</v>
      </c>
      <c r="K56" s="282">
        <f>SUM(C56:J56)</f>
        <v>12929476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2819018</v>
      </c>
      <c r="D62" s="7">
        <f>C56/K56</f>
        <v>0.21803033626420745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4700577</v>
      </c>
      <c r="D63" s="10">
        <f>D56/K56</f>
        <v>0.36355510463069035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7519595</v>
      </c>
      <c r="D64" s="23">
        <f>SUM(D62:D63)</f>
        <v>0.58158544089489783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628267</v>
      </c>
      <c r="D66" s="20">
        <f>E56/$K56</f>
        <v>4.8591837751197339E-2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997477</v>
      </c>
      <c r="D67" s="20">
        <f>F56/$K56</f>
        <v>7.7147519358093095E-2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1282639</v>
      </c>
      <c r="D68" s="55">
        <f>G56/$K56</f>
        <v>9.9202705507941705E-2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2908383</v>
      </c>
      <c r="D69" s="23">
        <f>SUM(D66:D68)</f>
        <v>0.22494206261723215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1396479</v>
      </c>
      <c r="D71" s="7">
        <f>H56/K56</f>
        <v>0.10800739333906494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1410824</v>
      </c>
      <c r="D72" s="10">
        <f>I56/K56</f>
        <v>0.10911687372326613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2807303</v>
      </c>
      <c r="D73" s="23">
        <f>SUM(D71:D72)</f>
        <v>0.21712426706233107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-305805</v>
      </c>
      <c r="D75" s="23">
        <f>J56/K56</f>
        <v>-2.3651770574461023E-2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12929476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65" priority="3">
      <formula>ROW()=EVEN(ROW())</formula>
    </cfRule>
  </conditionalFormatting>
  <conditionalFormatting sqref="K45:K55">
    <cfRule type="expression" dxfId="64" priority="1">
      <formula>ROW()=EVEN(ROW())</formula>
    </cfRule>
  </conditionalFormatting>
  <conditionalFormatting sqref="K5:K44">
    <cfRule type="expression" dxfId="6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KITSAP</oddHeader>
  </headerFooter>
  <rowBreaks count="1" manualBreakCount="1">
    <brk id="44" max="16383" man="1"/>
  </rowBreaks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topLeftCell="A55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43710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17.899999999999999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291296+567</f>
        <v>291863</v>
      </c>
      <c r="D5" s="236">
        <v>24</v>
      </c>
      <c r="E5" s="44"/>
      <c r="F5" s="237">
        <v>7538</v>
      </c>
      <c r="G5" s="236"/>
      <c r="H5" s="44"/>
      <c r="I5" s="236">
        <v>52359</v>
      </c>
      <c r="J5" s="51">
        <f>1084+74644</f>
        <v>75728</v>
      </c>
      <c r="K5" s="67">
        <f>SUM(C5:J5)</f>
        <v>427512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/>
      <c r="G7" s="236"/>
      <c r="H7" s="44">
        <v>36560</v>
      </c>
      <c r="I7" s="236"/>
      <c r="J7" s="51"/>
      <c r="K7" s="67">
        <f t="shared" si="0"/>
        <v>36560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>
        <v>4741</v>
      </c>
      <c r="H8" s="239"/>
      <c r="I8" s="240">
        <v>4741</v>
      </c>
      <c r="J8" s="51"/>
      <c r="K8" s="67">
        <f t="shared" si="0"/>
        <v>9482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>
        <v>6532</v>
      </c>
      <c r="D13" s="236">
        <v>22391</v>
      </c>
      <c r="E13" s="44"/>
      <c r="F13" s="237"/>
      <c r="G13" s="236"/>
      <c r="H13" s="44"/>
      <c r="I13" s="236">
        <v>2004</v>
      </c>
      <c r="J13" s="51">
        <v>1000</v>
      </c>
      <c r="K13" s="67">
        <f t="shared" si="0"/>
        <v>31927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/>
      <c r="E14" s="44"/>
      <c r="F14" s="237"/>
      <c r="G14" s="236"/>
      <c r="H14" s="44">
        <v>8563</v>
      </c>
      <c r="I14" s="236"/>
      <c r="J14" s="51"/>
      <c r="K14" s="67">
        <f t="shared" si="0"/>
        <v>8563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>
        <v>17679</v>
      </c>
      <c r="D16" s="236">
        <v>3544</v>
      </c>
      <c r="E16" s="44"/>
      <c r="F16" s="237"/>
      <c r="G16" s="236"/>
      <c r="H16" s="44"/>
      <c r="I16" s="236">
        <v>164</v>
      </c>
      <c r="J16" s="51">
        <v>-14205</v>
      </c>
      <c r="K16" s="67">
        <f t="shared" si="0"/>
        <v>7182</v>
      </c>
      <c r="L16"/>
    </row>
    <row r="17" spans="1:12" x14ac:dyDescent="0.35">
      <c r="A17" s="93">
        <v>562.35</v>
      </c>
      <c r="B17" s="16" t="s">
        <v>14</v>
      </c>
      <c r="C17" s="235"/>
      <c r="D17" s="236">
        <v>210</v>
      </c>
      <c r="E17" s="44"/>
      <c r="F17" s="237">
        <v>29357</v>
      </c>
      <c r="G17" s="236"/>
      <c r="H17" s="44"/>
      <c r="I17" s="236"/>
      <c r="J17" s="51"/>
      <c r="K17" s="67">
        <f t="shared" si="0"/>
        <v>29567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72622</v>
      </c>
      <c r="G18" s="236"/>
      <c r="H18" s="44"/>
      <c r="I18" s="236"/>
      <c r="J18" s="51"/>
      <c r="K18" s="67">
        <f t="shared" si="0"/>
        <v>72622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>
        <v>3757</v>
      </c>
      <c r="H22" s="44"/>
      <c r="I22" s="236">
        <v>2191</v>
      </c>
      <c r="J22" s="51"/>
      <c r="K22" s="67">
        <f t="shared" si="0"/>
        <v>5948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v>12240</v>
      </c>
      <c r="G24" s="236"/>
      <c r="H24" s="44"/>
      <c r="I24" s="236">
        <v>24969</v>
      </c>
      <c r="J24" s="51"/>
      <c r="K24" s="67">
        <f t="shared" si="0"/>
        <v>37209</v>
      </c>
      <c r="L24"/>
    </row>
    <row r="25" spans="1:12" x14ac:dyDescent="0.35">
      <c r="A25" s="93">
        <v>562.52</v>
      </c>
      <c r="B25" s="16" t="s">
        <v>18</v>
      </c>
      <c r="C25" s="235">
        <v>4675</v>
      </c>
      <c r="D25" s="236">
        <f>74620+2580+3800+3800</f>
        <v>84800</v>
      </c>
      <c r="E25" s="44"/>
      <c r="F25" s="237"/>
      <c r="G25" s="236">
        <v>16542</v>
      </c>
      <c r="H25" s="44"/>
      <c r="I25" s="236"/>
      <c r="J25" s="51"/>
      <c r="K25" s="67">
        <f t="shared" si="0"/>
        <v>106017</v>
      </c>
      <c r="L25"/>
    </row>
    <row r="26" spans="1:12" x14ac:dyDescent="0.35">
      <c r="A26" s="93">
        <v>562.53</v>
      </c>
      <c r="B26" s="28" t="s">
        <v>59</v>
      </c>
      <c r="C26" s="235"/>
      <c r="D26" s="236">
        <v>14599</v>
      </c>
      <c r="E26" s="44"/>
      <c r="F26" s="237"/>
      <c r="G26" s="236">
        <v>41270</v>
      </c>
      <c r="H26" s="44"/>
      <c r="I26" s="236"/>
      <c r="J26" s="51"/>
      <c r="K26" s="67">
        <f t="shared" si="0"/>
        <v>55869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91385+94645</f>
        <v>186030</v>
      </c>
      <c r="E27" s="44"/>
      <c r="F27" s="237"/>
      <c r="G27" s="236"/>
      <c r="H27" s="44"/>
      <c r="I27" s="236"/>
      <c r="J27" s="51">
        <v>25</v>
      </c>
      <c r="K27" s="67">
        <f t="shared" si="0"/>
        <v>186055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>
        <v>2645</v>
      </c>
      <c r="G28" s="236"/>
      <c r="H28" s="44"/>
      <c r="I28" s="236"/>
      <c r="J28" s="51"/>
      <c r="K28" s="67">
        <f t="shared" si="0"/>
        <v>2645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162306+10473</f>
        <v>172779</v>
      </c>
      <c r="E29" s="44"/>
      <c r="F29" s="237"/>
      <c r="G29" s="236"/>
      <c r="H29" s="44"/>
      <c r="I29" s="236"/>
      <c r="J29" s="51">
        <v>15</v>
      </c>
      <c r="K29" s="67">
        <f t="shared" si="0"/>
        <v>172794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29699+7320</f>
        <v>37019</v>
      </c>
      <c r="E31" s="44"/>
      <c r="F31" s="237">
        <v>1101</v>
      </c>
      <c r="G31" s="236">
        <v>22390</v>
      </c>
      <c r="H31" s="44"/>
      <c r="I31" s="236"/>
      <c r="J31" s="51"/>
      <c r="K31" s="67">
        <f t="shared" si="0"/>
        <v>60510</v>
      </c>
      <c r="L31"/>
    </row>
    <row r="32" spans="1:12" x14ac:dyDescent="0.35">
      <c r="A32" s="93">
        <v>562.59</v>
      </c>
      <c r="B32" s="28" t="s">
        <v>49</v>
      </c>
      <c r="C32" s="235"/>
      <c r="D32" s="236">
        <f>19493+500</f>
        <v>19993</v>
      </c>
      <c r="E32" s="44"/>
      <c r="F32" s="237"/>
      <c r="G32" s="236"/>
      <c r="H32" s="44"/>
      <c r="I32" s="236"/>
      <c r="J32" s="51"/>
      <c r="K32" s="67">
        <f t="shared" si="0"/>
        <v>19993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20991</v>
      </c>
      <c r="E34" s="44"/>
      <c r="F34" s="237"/>
      <c r="G34" s="236"/>
      <c r="H34" s="44"/>
      <c r="I34" s="236"/>
      <c r="J34" s="51"/>
      <c r="K34" s="67">
        <f t="shared" si="0"/>
        <v>20991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83767</v>
      </c>
      <c r="G40" s="236"/>
      <c r="H40" s="44"/>
      <c r="I40" s="236"/>
      <c r="J40" s="51"/>
      <c r="K40" s="67">
        <f t="shared" si="0"/>
        <v>83767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>
        <v>226</v>
      </c>
      <c r="G41" s="236"/>
      <c r="H41" s="44">
        <v>51667</v>
      </c>
      <c r="I41" s="236">
        <v>3375</v>
      </c>
      <c r="J41" s="51"/>
      <c r="K41" s="67">
        <f t="shared" si="0"/>
        <v>55268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>
        <v>11222</v>
      </c>
      <c r="G42" s="236">
        <v>847</v>
      </c>
      <c r="H42" s="44">
        <v>39</v>
      </c>
      <c r="I42" s="236">
        <f>26777+4988</f>
        <v>31765</v>
      </c>
      <c r="J42" s="51"/>
      <c r="K42" s="67">
        <f t="shared" si="0"/>
        <v>43873</v>
      </c>
      <c r="L42"/>
    </row>
    <row r="43" spans="1:12" x14ac:dyDescent="0.35">
      <c r="A43" s="95">
        <v>562.99</v>
      </c>
      <c r="B43" s="14" t="s">
        <v>29</v>
      </c>
      <c r="C43" s="235">
        <v>0</v>
      </c>
      <c r="D43" s="236">
        <v>0</v>
      </c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320749</v>
      </c>
      <c r="D44" s="246">
        <f>SUM(D5:D43)</f>
        <v>562380</v>
      </c>
      <c r="E44" s="247">
        <f t="shared" ref="E44:J44" si="1">SUM(E5:E43)</f>
        <v>0</v>
      </c>
      <c r="F44" s="248">
        <f t="shared" si="1"/>
        <v>220718</v>
      </c>
      <c r="G44" s="246">
        <f t="shared" si="1"/>
        <v>89547</v>
      </c>
      <c r="H44" s="247">
        <f t="shared" si="1"/>
        <v>96829</v>
      </c>
      <c r="I44" s="249">
        <f t="shared" si="1"/>
        <v>121568</v>
      </c>
      <c r="J44" s="250">
        <f t="shared" si="1"/>
        <v>62563</v>
      </c>
      <c r="K44" s="251">
        <f>SUM(C44:J44)</f>
        <v>1474354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320749</v>
      </c>
      <c r="D56" s="276">
        <f>SUM(D44:D55)</f>
        <v>562380</v>
      </c>
      <c r="E56" s="277">
        <f t="shared" ref="E56:J56" si="3">SUM(E44:E55)</f>
        <v>0</v>
      </c>
      <c r="F56" s="278">
        <f t="shared" si="3"/>
        <v>220718</v>
      </c>
      <c r="G56" s="279">
        <f t="shared" si="3"/>
        <v>89547</v>
      </c>
      <c r="H56" s="277">
        <f t="shared" si="3"/>
        <v>96829</v>
      </c>
      <c r="I56" s="280">
        <f t="shared" si="3"/>
        <v>121568</v>
      </c>
      <c r="J56" s="281">
        <f t="shared" si="3"/>
        <v>62563</v>
      </c>
      <c r="K56" s="282">
        <f>SUM(C56:J56)</f>
        <v>1474354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320749</v>
      </c>
      <c r="D62" s="7">
        <f>C56/K56</f>
        <v>0.21755222965447918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562380</v>
      </c>
      <c r="D63" s="10">
        <f>D56/K56</f>
        <v>0.38144163477699383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883129</v>
      </c>
      <c r="D64" s="23">
        <f>SUM(D62:D63)</f>
        <v>0.59899386443147296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220718</v>
      </c>
      <c r="D67" s="20">
        <f>F56/$K56</f>
        <v>0.14970488769996892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89547</v>
      </c>
      <c r="D68" s="55">
        <f>G56/$K56</f>
        <v>6.073643100639331E-2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310265</v>
      </c>
      <c r="D69" s="23">
        <f>SUM(D66:D68)</f>
        <v>0.21044131870636223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96829</v>
      </c>
      <c r="D71" s="7">
        <f>H56/K56</f>
        <v>6.5675543322702687E-2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121568</v>
      </c>
      <c r="D72" s="10">
        <f>I56/K56</f>
        <v>8.2455095587626856E-2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218397</v>
      </c>
      <c r="D73" s="23">
        <f>SUM(D71:D72)</f>
        <v>0.14813063891032954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62563</v>
      </c>
      <c r="D75" s="23">
        <f>J56/K56</f>
        <v>4.2434177951835177E-2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1474354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62" priority="3">
      <formula>ROW()=EVEN(ROW())</formula>
    </cfRule>
  </conditionalFormatting>
  <conditionalFormatting sqref="K45:K55">
    <cfRule type="expression" dxfId="61" priority="1">
      <formula>ROW()=EVEN(ROW())</formula>
    </cfRule>
  </conditionalFormatting>
  <conditionalFormatting sqref="K5:K44">
    <cfRule type="expression" dxfId="6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KITTITAS</oddHeader>
  </headerFooter>
  <rowBreaks count="1" manualBreakCount="1">
    <brk id="44" max="16383" man="1"/>
  </rowBreak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topLeftCell="A55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21270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15.6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380294</v>
      </c>
      <c r="D5" s="236">
        <v>8579</v>
      </c>
      <c r="E5" s="44"/>
      <c r="F5" s="237">
        <v>153784</v>
      </c>
      <c r="G5" s="236">
        <f>42531+42819</f>
        <v>85350</v>
      </c>
      <c r="H5" s="44"/>
      <c r="I5" s="236">
        <f>57035+33341</f>
        <v>90376</v>
      </c>
      <c r="J5" s="51">
        <v>31342</v>
      </c>
      <c r="K5" s="67">
        <f>SUM(C5:J5)</f>
        <v>749725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12707</v>
      </c>
      <c r="D7" s="236">
        <v>15460</v>
      </c>
      <c r="E7" s="44"/>
      <c r="F7" s="237"/>
      <c r="G7" s="236"/>
      <c r="H7" s="44">
        <v>42001</v>
      </c>
      <c r="I7" s="236"/>
      <c r="J7" s="51"/>
      <c r="K7" s="67">
        <f t="shared" si="0"/>
        <v>70168</v>
      </c>
      <c r="L7"/>
    </row>
    <row r="8" spans="1:12" x14ac:dyDescent="0.35">
      <c r="A8" s="93">
        <v>562.24</v>
      </c>
      <c r="B8" s="16" t="s">
        <v>11</v>
      </c>
      <c r="C8" s="235">
        <v>-4089</v>
      </c>
      <c r="D8" s="236"/>
      <c r="E8" s="44"/>
      <c r="F8" s="237"/>
      <c r="G8" s="236"/>
      <c r="H8" s="239"/>
      <c r="I8" s="240">
        <v>9500</v>
      </c>
      <c r="J8" s="51"/>
      <c r="K8" s="67">
        <f t="shared" si="0"/>
        <v>5411</v>
      </c>
      <c r="L8"/>
    </row>
    <row r="9" spans="1:12" x14ac:dyDescent="0.35">
      <c r="A9" s="93">
        <v>562.25</v>
      </c>
      <c r="B9" s="28" t="s">
        <v>53</v>
      </c>
      <c r="C9" s="235">
        <v>125</v>
      </c>
      <c r="D9" s="236"/>
      <c r="E9" s="44"/>
      <c r="F9" s="237"/>
      <c r="G9" s="236"/>
      <c r="H9" s="44"/>
      <c r="I9" s="236"/>
      <c r="J9" s="51"/>
      <c r="K9" s="67">
        <f t="shared" si="0"/>
        <v>125</v>
      </c>
      <c r="L9"/>
    </row>
    <row r="10" spans="1:12" x14ac:dyDescent="0.35">
      <c r="A10" s="93">
        <v>562.26</v>
      </c>
      <c r="B10" s="28" t="s">
        <v>44</v>
      </c>
      <c r="C10" s="235">
        <v>-1300</v>
      </c>
      <c r="D10" s="236">
        <v>53725</v>
      </c>
      <c r="E10" s="44">
        <v>38662</v>
      </c>
      <c r="F10" s="237"/>
      <c r="G10" s="236"/>
      <c r="H10" s="44"/>
      <c r="I10" s="236"/>
      <c r="J10" s="51">
        <v>15</v>
      </c>
      <c r="K10" s="67">
        <f t="shared" si="0"/>
        <v>91102</v>
      </c>
      <c r="L10"/>
    </row>
    <row r="11" spans="1:12" x14ac:dyDescent="0.35">
      <c r="A11" s="93">
        <v>562.27</v>
      </c>
      <c r="B11" s="28" t="s">
        <v>45</v>
      </c>
      <c r="C11" s="235">
        <v>17272</v>
      </c>
      <c r="D11" s="236"/>
      <c r="E11" s="44"/>
      <c r="F11" s="237"/>
      <c r="G11" s="236"/>
      <c r="H11" s="44">
        <v>15016</v>
      </c>
      <c r="I11" s="236"/>
      <c r="J11" s="51"/>
      <c r="K11" s="67">
        <f t="shared" si="0"/>
        <v>32288</v>
      </c>
      <c r="L11"/>
    </row>
    <row r="12" spans="1:12" x14ac:dyDescent="0.35">
      <c r="A12" s="93">
        <v>562.28</v>
      </c>
      <c r="B12" s="28" t="s">
        <v>54</v>
      </c>
      <c r="C12" s="235">
        <v>-41683</v>
      </c>
      <c r="D12" s="236"/>
      <c r="E12" s="44"/>
      <c r="F12" s="237"/>
      <c r="G12" s="236"/>
      <c r="H12" s="44">
        <f>155452+250</f>
        <v>155702</v>
      </c>
      <c r="I12" s="236"/>
      <c r="J12" s="51"/>
      <c r="K12" s="67">
        <f t="shared" si="0"/>
        <v>114019</v>
      </c>
      <c r="L12"/>
    </row>
    <row r="13" spans="1:12" x14ac:dyDescent="0.35">
      <c r="A13" s="93">
        <v>562.29</v>
      </c>
      <c r="B13" s="28" t="s">
        <v>46</v>
      </c>
      <c r="C13" s="235">
        <v>280</v>
      </c>
      <c r="D13" s="236"/>
      <c r="E13" s="44"/>
      <c r="F13" s="237"/>
      <c r="G13" s="236"/>
      <c r="H13" s="44"/>
      <c r="I13" s="236"/>
      <c r="J13" s="51"/>
      <c r="K13" s="67">
        <f t="shared" si="0"/>
        <v>280</v>
      </c>
      <c r="L13"/>
    </row>
    <row r="14" spans="1:12" x14ac:dyDescent="0.35">
      <c r="A14" s="93">
        <v>562.32000000000005</v>
      </c>
      <c r="B14" s="16" t="s">
        <v>12</v>
      </c>
      <c r="C14" s="235">
        <v>54265</v>
      </c>
      <c r="D14" s="236">
        <v>6239</v>
      </c>
      <c r="E14" s="44"/>
      <c r="F14" s="237"/>
      <c r="G14" s="236"/>
      <c r="H14" s="44">
        <v>2371</v>
      </c>
      <c r="I14" s="236"/>
      <c r="J14" s="51">
        <v>110</v>
      </c>
      <c r="K14" s="67">
        <f t="shared" si="0"/>
        <v>62985</v>
      </c>
      <c r="L14"/>
    </row>
    <row r="15" spans="1:12" x14ac:dyDescent="0.35">
      <c r="A15" s="93">
        <v>562.33000000000004</v>
      </c>
      <c r="B15" s="28" t="s">
        <v>55</v>
      </c>
      <c r="C15" s="235">
        <v>9819</v>
      </c>
      <c r="D15" s="236">
        <v>494</v>
      </c>
      <c r="E15" s="44"/>
      <c r="F15" s="237"/>
      <c r="G15" s="236"/>
      <c r="H15" s="44"/>
      <c r="I15" s="236"/>
      <c r="J15" s="51"/>
      <c r="K15" s="67">
        <f t="shared" si="0"/>
        <v>10313</v>
      </c>
      <c r="L15"/>
    </row>
    <row r="16" spans="1:12" x14ac:dyDescent="0.35">
      <c r="A16" s="93">
        <v>562.34</v>
      </c>
      <c r="B16" s="16" t="s">
        <v>13</v>
      </c>
      <c r="C16" s="235">
        <v>15706</v>
      </c>
      <c r="D16" s="236">
        <v>1761</v>
      </c>
      <c r="E16" s="44"/>
      <c r="F16" s="237"/>
      <c r="G16" s="236"/>
      <c r="H16" s="44"/>
      <c r="I16" s="236"/>
      <c r="J16" s="51"/>
      <c r="K16" s="67">
        <f t="shared" si="0"/>
        <v>17467</v>
      </c>
      <c r="L16"/>
    </row>
    <row r="17" spans="1:12" x14ac:dyDescent="0.35">
      <c r="A17" s="93">
        <v>562.35</v>
      </c>
      <c r="B17" s="16" t="s">
        <v>14</v>
      </c>
      <c r="C17" s="235">
        <v>1448</v>
      </c>
      <c r="D17" s="236"/>
      <c r="E17" s="44"/>
      <c r="F17" s="237"/>
      <c r="G17" s="236"/>
      <c r="H17" s="44"/>
      <c r="I17" s="236"/>
      <c r="J17" s="51"/>
      <c r="K17" s="67">
        <f t="shared" si="0"/>
        <v>1448</v>
      </c>
      <c r="L17"/>
    </row>
    <row r="18" spans="1:12" x14ac:dyDescent="0.35">
      <c r="A18" s="93">
        <v>562.39</v>
      </c>
      <c r="B18" s="16" t="s">
        <v>15</v>
      </c>
      <c r="C18" s="235">
        <v>9432</v>
      </c>
      <c r="D18" s="236"/>
      <c r="E18" s="44"/>
      <c r="F18" s="237"/>
      <c r="G18" s="236"/>
      <c r="H18" s="44"/>
      <c r="I18" s="236"/>
      <c r="J18" s="51"/>
      <c r="K18" s="67">
        <f t="shared" si="0"/>
        <v>9432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>
        <v>24303</v>
      </c>
      <c r="D20" s="236"/>
      <c r="E20" s="44"/>
      <c r="F20" s="237"/>
      <c r="G20" s="236">
        <v>5000</v>
      </c>
      <c r="H20" s="44"/>
      <c r="I20" s="236"/>
      <c r="J20" s="51">
        <f>500+9883</f>
        <v>10383</v>
      </c>
      <c r="K20" s="67">
        <f t="shared" si="0"/>
        <v>39686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>
        <v>8174</v>
      </c>
      <c r="D23" s="236"/>
      <c r="E23" s="44"/>
      <c r="F23" s="237"/>
      <c r="G23" s="236"/>
      <c r="H23" s="44"/>
      <c r="I23" s="236"/>
      <c r="J23" s="51"/>
      <c r="K23" s="67">
        <f t="shared" si="0"/>
        <v>8174</v>
      </c>
      <c r="L23"/>
    </row>
    <row r="24" spans="1:12" x14ac:dyDescent="0.35">
      <c r="A24" s="93">
        <v>562.49</v>
      </c>
      <c r="B24" s="28" t="s">
        <v>47</v>
      </c>
      <c r="C24" s="235">
        <v>344</v>
      </c>
      <c r="D24" s="236"/>
      <c r="E24" s="44"/>
      <c r="F24" s="237"/>
      <c r="G24" s="236"/>
      <c r="H24" s="44"/>
      <c r="I24" s="236"/>
      <c r="J24" s="51"/>
      <c r="K24" s="67">
        <f t="shared" si="0"/>
        <v>344</v>
      </c>
      <c r="L24"/>
    </row>
    <row r="25" spans="1:12" x14ac:dyDescent="0.35">
      <c r="A25" s="93">
        <v>562.52</v>
      </c>
      <c r="B25" s="16" t="s">
        <v>18</v>
      </c>
      <c r="C25" s="235">
        <v>6636</v>
      </c>
      <c r="D25" s="236">
        <f>1600+1600</f>
        <v>3200</v>
      </c>
      <c r="E25" s="44"/>
      <c r="F25" s="237"/>
      <c r="G25" s="236"/>
      <c r="H25" s="44"/>
      <c r="I25" s="236"/>
      <c r="J25" s="51"/>
      <c r="K25" s="67">
        <f t="shared" si="0"/>
        <v>9836</v>
      </c>
      <c r="L25"/>
    </row>
    <row r="26" spans="1:12" x14ac:dyDescent="0.35">
      <c r="A26" s="93">
        <v>562.53</v>
      </c>
      <c r="B26" s="28" t="s">
        <v>59</v>
      </c>
      <c r="C26" s="235">
        <v>-46195</v>
      </c>
      <c r="D26" s="236">
        <v>58500</v>
      </c>
      <c r="E26" s="44"/>
      <c r="F26" s="237"/>
      <c r="G26" s="236"/>
      <c r="H26" s="44"/>
      <c r="I26" s="236"/>
      <c r="J26" s="51"/>
      <c r="K26" s="67">
        <f t="shared" si="0"/>
        <v>12305</v>
      </c>
      <c r="L26"/>
    </row>
    <row r="27" spans="1:12" x14ac:dyDescent="0.35">
      <c r="A27" s="93">
        <v>562.54</v>
      </c>
      <c r="B27" s="28" t="s">
        <v>60</v>
      </c>
      <c r="C27" s="235">
        <v>-62987</v>
      </c>
      <c r="D27" s="236">
        <f>39290+45500+7395+39835</f>
        <v>132020</v>
      </c>
      <c r="E27" s="44"/>
      <c r="F27" s="237"/>
      <c r="G27" s="236"/>
      <c r="H27" s="44"/>
      <c r="I27" s="236"/>
      <c r="J27" s="51"/>
      <c r="K27" s="67">
        <f t="shared" si="0"/>
        <v>69033</v>
      </c>
      <c r="L27"/>
    </row>
    <row r="28" spans="1:12" x14ac:dyDescent="0.35">
      <c r="A28" s="93">
        <v>562.54999999999995</v>
      </c>
      <c r="B28" s="16" t="s">
        <v>19</v>
      </c>
      <c r="C28" s="235">
        <v>303</v>
      </c>
      <c r="D28" s="236"/>
      <c r="E28" s="44"/>
      <c r="F28" s="237"/>
      <c r="G28" s="236"/>
      <c r="H28" s="44"/>
      <c r="I28" s="236"/>
      <c r="J28" s="51"/>
      <c r="K28" s="67">
        <f t="shared" si="0"/>
        <v>303</v>
      </c>
      <c r="L28"/>
    </row>
    <row r="29" spans="1:12" x14ac:dyDescent="0.35">
      <c r="A29" s="93">
        <v>562.55999999999995</v>
      </c>
      <c r="B29" s="16" t="s">
        <v>20</v>
      </c>
      <c r="C29" s="235">
        <v>-8967</v>
      </c>
      <c r="D29" s="236">
        <v>44308</v>
      </c>
      <c r="E29" s="44"/>
      <c r="F29" s="237"/>
      <c r="G29" s="236"/>
      <c r="H29" s="44"/>
      <c r="I29" s="236"/>
      <c r="J29" s="51"/>
      <c r="K29" s="67">
        <f t="shared" si="0"/>
        <v>35341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-263</v>
      </c>
      <c r="D31" s="236">
        <v>895</v>
      </c>
      <c r="E31" s="44"/>
      <c r="F31" s="237"/>
      <c r="G31" s="236"/>
      <c r="H31" s="44"/>
      <c r="I31" s="236"/>
      <c r="J31" s="51"/>
      <c r="K31" s="67">
        <f t="shared" si="0"/>
        <v>632</v>
      </c>
      <c r="L31"/>
    </row>
    <row r="32" spans="1:12" x14ac:dyDescent="0.35">
      <c r="A32" s="93">
        <v>562.59</v>
      </c>
      <c r="B32" s="28" t="s">
        <v>49</v>
      </c>
      <c r="C32" s="235">
        <v>75</v>
      </c>
      <c r="D32" s="236"/>
      <c r="E32" s="44"/>
      <c r="F32" s="237"/>
      <c r="G32" s="236"/>
      <c r="H32" s="44"/>
      <c r="I32" s="236"/>
      <c r="J32" s="51"/>
      <c r="K32" s="67">
        <f t="shared" si="0"/>
        <v>75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619</v>
      </c>
      <c r="D34" s="236">
        <v>7507</v>
      </c>
      <c r="E34" s="44"/>
      <c r="F34" s="237"/>
      <c r="G34" s="236"/>
      <c r="H34" s="44"/>
      <c r="I34" s="236"/>
      <c r="J34" s="51"/>
      <c r="K34" s="67">
        <f t="shared" si="0"/>
        <v>8126</v>
      </c>
      <c r="L34"/>
    </row>
    <row r="35" spans="1:12" x14ac:dyDescent="0.35">
      <c r="A35" s="93">
        <v>562.72</v>
      </c>
      <c r="B35" s="16" t="s">
        <v>23</v>
      </c>
      <c r="C35" s="235">
        <v>-15903</v>
      </c>
      <c r="D35" s="236">
        <v>43225</v>
      </c>
      <c r="E35" s="44"/>
      <c r="F35" s="237"/>
      <c r="G35" s="236"/>
      <c r="H35" s="44"/>
      <c r="I35" s="236"/>
      <c r="J35" s="51"/>
      <c r="K35" s="67">
        <f t="shared" si="0"/>
        <v>27322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>
        <v>2389</v>
      </c>
      <c r="D39" s="236"/>
      <c r="E39" s="44"/>
      <c r="F39" s="237"/>
      <c r="G39" s="236"/>
      <c r="H39" s="44"/>
      <c r="I39" s="236"/>
      <c r="J39" s="51"/>
      <c r="K39" s="67">
        <f t="shared" si="0"/>
        <v>2389</v>
      </c>
      <c r="L39"/>
    </row>
    <row r="40" spans="1:12" x14ac:dyDescent="0.35">
      <c r="A40" s="93">
        <v>562.79999999999995</v>
      </c>
      <c r="B40" s="16" t="s">
        <v>27</v>
      </c>
      <c r="C40" s="235">
        <v>1445</v>
      </c>
      <c r="D40" s="236"/>
      <c r="E40" s="44"/>
      <c r="F40" s="237"/>
      <c r="G40" s="236"/>
      <c r="H40" s="44"/>
      <c r="I40" s="236"/>
      <c r="J40" s="51"/>
      <c r="K40" s="67">
        <f t="shared" si="0"/>
        <v>1445</v>
      </c>
      <c r="L40"/>
    </row>
    <row r="41" spans="1:12" x14ac:dyDescent="0.35">
      <c r="A41" s="93">
        <v>562.88</v>
      </c>
      <c r="B41" s="28" t="s">
        <v>51</v>
      </c>
      <c r="C41" s="235">
        <v>-6217</v>
      </c>
      <c r="D41" s="236"/>
      <c r="E41" s="44"/>
      <c r="F41" s="237"/>
      <c r="G41" s="236"/>
      <c r="H41" s="44">
        <v>18583</v>
      </c>
      <c r="I41" s="236"/>
      <c r="J41" s="51"/>
      <c r="K41" s="67">
        <f t="shared" si="0"/>
        <v>12366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358032</v>
      </c>
      <c r="D44" s="246">
        <f>SUM(D5:D43)</f>
        <v>375913</v>
      </c>
      <c r="E44" s="247">
        <f t="shared" ref="E44:J44" si="1">SUM(E5:E43)</f>
        <v>38662</v>
      </c>
      <c r="F44" s="248">
        <f t="shared" si="1"/>
        <v>153784</v>
      </c>
      <c r="G44" s="246">
        <f t="shared" si="1"/>
        <v>90350</v>
      </c>
      <c r="H44" s="247">
        <f t="shared" si="1"/>
        <v>233673</v>
      </c>
      <c r="I44" s="249">
        <f t="shared" si="1"/>
        <v>99876</v>
      </c>
      <c r="J44" s="250">
        <f t="shared" si="1"/>
        <v>41850</v>
      </c>
      <c r="K44" s="251">
        <f>SUM(C44:J44)</f>
        <v>1392140</v>
      </c>
      <c r="L44"/>
    </row>
    <row r="45" spans="1:12" x14ac:dyDescent="0.35">
      <c r="A45" s="93">
        <v>523</v>
      </c>
      <c r="B45" s="16" t="s">
        <v>31</v>
      </c>
      <c r="C45" s="235"/>
      <c r="D45" s="236"/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/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/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/>
      <c r="D49" s="236"/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/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/>
      <c r="D52" s="236"/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24222</v>
      </c>
      <c r="D53" s="236"/>
      <c r="E53" s="44"/>
      <c r="F53" s="237"/>
      <c r="G53" s="236">
        <v>38478</v>
      </c>
      <c r="H53" s="44">
        <v>383</v>
      </c>
      <c r="I53" s="236"/>
      <c r="J53" s="51"/>
      <c r="K53" s="67">
        <f t="shared" si="2"/>
        <v>63083</v>
      </c>
      <c r="L53"/>
    </row>
    <row r="54" spans="1:12" x14ac:dyDescent="0.35">
      <c r="A54" s="93">
        <v>568</v>
      </c>
      <c r="B54" s="16" t="s">
        <v>39</v>
      </c>
      <c r="C54" s="235">
        <v>-8107</v>
      </c>
      <c r="D54" s="236">
        <v>22569</v>
      </c>
      <c r="E54" s="44"/>
      <c r="F54" s="237"/>
      <c r="G54" s="236">
        <v>30216</v>
      </c>
      <c r="H54" s="44"/>
      <c r="I54" s="236"/>
      <c r="J54" s="51"/>
      <c r="K54" s="67">
        <f t="shared" si="2"/>
        <v>44678</v>
      </c>
      <c r="L54"/>
    </row>
    <row r="55" spans="1:12" x14ac:dyDescent="0.35">
      <c r="A55" s="95">
        <v>500</v>
      </c>
      <c r="B55" s="14" t="s">
        <v>68</v>
      </c>
      <c r="C55" s="273"/>
      <c r="D55" s="243"/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374147</v>
      </c>
      <c r="D56" s="276">
        <f>SUM(D44:D55)</f>
        <v>398482</v>
      </c>
      <c r="E56" s="277">
        <f t="shared" ref="E56:J56" si="3">SUM(E44:E55)</f>
        <v>38662</v>
      </c>
      <c r="F56" s="278">
        <f t="shared" si="3"/>
        <v>153784</v>
      </c>
      <c r="G56" s="279">
        <f t="shared" si="3"/>
        <v>159044</v>
      </c>
      <c r="H56" s="277">
        <f t="shared" si="3"/>
        <v>234056</v>
      </c>
      <c r="I56" s="280">
        <f t="shared" si="3"/>
        <v>99876</v>
      </c>
      <c r="J56" s="281">
        <f t="shared" si="3"/>
        <v>41850</v>
      </c>
      <c r="K56" s="282">
        <f>SUM(C56:J56)</f>
        <v>1499901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374147</v>
      </c>
      <c r="D62" s="7">
        <f>C56/K56</f>
        <v>0.24944779688792793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398482</v>
      </c>
      <c r="D63" s="10">
        <f>D56/K56</f>
        <v>0.26567220103193478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772629</v>
      </c>
      <c r="D64" s="23">
        <f>SUM(D62:D63)</f>
        <v>0.51511999791986274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38662</v>
      </c>
      <c r="D66" s="20">
        <f>E56/$K56</f>
        <v>2.5776367906948525E-2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153784</v>
      </c>
      <c r="D67" s="20">
        <f>F56/$K56</f>
        <v>0.10252943360928488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159044</v>
      </c>
      <c r="D68" s="55">
        <f>G56/$K56</f>
        <v>0.10603633173122759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351490</v>
      </c>
      <c r="D69" s="23">
        <f>SUM(D66:D68)</f>
        <v>0.23434213324746098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234056</v>
      </c>
      <c r="D71" s="7">
        <f>H56/K56</f>
        <v>0.15604763247707681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99876</v>
      </c>
      <c r="D72" s="10">
        <f>I56/K56</f>
        <v>6.6588394834059053E-2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333932</v>
      </c>
      <c r="D73" s="23">
        <f>SUM(D71:D72)</f>
        <v>0.22263602731113585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41850</v>
      </c>
      <c r="D75" s="23">
        <f>J56/K56</f>
        <v>2.7901841521540422E-2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1499901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59" priority="3">
      <formula>ROW()=EVEN(ROW())</formula>
    </cfRule>
  </conditionalFormatting>
  <conditionalFormatting sqref="K45:K55">
    <cfRule type="expression" dxfId="58" priority="1">
      <formula>ROW()=EVEN(ROW())</formula>
    </cfRule>
  </conditionalFormatting>
  <conditionalFormatting sqref="K5:K44">
    <cfRule type="expression" dxfId="57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KLICKITAT</oddHeader>
  </headerFooter>
  <rowBreaks count="1" manualBreakCount="1">
    <brk id="44" max="16383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topLeftCell="A55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76890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37.200000000000003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174413+551+18202+12727+575837</f>
        <v>781730</v>
      </c>
      <c r="D5" s="236">
        <f>44609+4030</f>
        <v>48639</v>
      </c>
      <c r="E5" s="44"/>
      <c r="F5" s="237">
        <v>263134</v>
      </c>
      <c r="G5" s="236">
        <f>353+4</f>
        <v>357</v>
      </c>
      <c r="H5" s="44"/>
      <c r="I5" s="236">
        <f>54750+99286</f>
        <v>154036</v>
      </c>
      <c r="J5" s="51">
        <f>201+4+6+500+10+140</f>
        <v>861</v>
      </c>
      <c r="K5" s="67">
        <f>SUM(C5:J5)</f>
        <v>1248757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/>
      <c r="G7" s="236"/>
      <c r="H7" s="44">
        <v>80280</v>
      </c>
      <c r="I7" s="236"/>
      <c r="J7" s="51"/>
      <c r="K7" s="67">
        <f t="shared" si="0"/>
        <v>80280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>
        <v>5500</v>
      </c>
      <c r="E9" s="44"/>
      <c r="F9" s="237"/>
      <c r="G9" s="236"/>
      <c r="H9" s="44">
        <v>26139</v>
      </c>
      <c r="I9" s="236"/>
      <c r="J9" s="51"/>
      <c r="K9" s="67">
        <f t="shared" si="0"/>
        <v>31639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>
        <v>3619</v>
      </c>
      <c r="E12" s="44"/>
      <c r="F12" s="237"/>
      <c r="G12" s="236"/>
      <c r="H12" s="44">
        <f>500981+110746+300</f>
        <v>612027</v>
      </c>
      <c r="I12" s="236">
        <v>492</v>
      </c>
      <c r="J12" s="51"/>
      <c r="K12" s="67">
        <f t="shared" si="0"/>
        <v>616138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f>23+40579</f>
        <v>40602</v>
      </c>
      <c r="E14" s="44"/>
      <c r="F14" s="237"/>
      <c r="G14" s="236"/>
      <c r="H14" s="44">
        <f>24524+2388</f>
        <v>26912</v>
      </c>
      <c r="I14" s="236"/>
      <c r="J14" s="51"/>
      <c r="K14" s="67">
        <f t="shared" si="0"/>
        <v>67514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>
        <v>2522</v>
      </c>
      <c r="E16" s="44"/>
      <c r="F16" s="237"/>
      <c r="G16" s="236"/>
      <c r="H16" s="44"/>
      <c r="I16" s="236"/>
      <c r="J16" s="51"/>
      <c r="K16" s="67">
        <f t="shared" si="0"/>
        <v>2522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/>
      <c r="G18" s="236"/>
      <c r="H18" s="44"/>
      <c r="I18" s="236"/>
      <c r="J18" s="51"/>
      <c r="K18" s="67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18060+21730+10350+8500+9800</f>
        <v>68440</v>
      </c>
      <c r="E25" s="44"/>
      <c r="F25" s="237"/>
      <c r="G25" s="236"/>
      <c r="H25" s="44"/>
      <c r="I25" s="236"/>
      <c r="J25" s="51"/>
      <c r="K25" s="67">
        <f t="shared" si="0"/>
        <v>68440</v>
      </c>
      <c r="L25"/>
    </row>
    <row r="26" spans="1:12" x14ac:dyDescent="0.35">
      <c r="A26" s="93">
        <v>562.53</v>
      </c>
      <c r="B26" s="28" t="s">
        <v>59</v>
      </c>
      <c r="C26" s="235"/>
      <c r="D26" s="236">
        <v>3865</v>
      </c>
      <c r="E26" s="44"/>
      <c r="F26" s="237"/>
      <c r="G26" s="236">
        <v>30436</v>
      </c>
      <c r="H26" s="44"/>
      <c r="I26" s="236"/>
      <c r="J26" s="51">
        <v>8384</v>
      </c>
      <c r="K26" s="67">
        <f t="shared" si="0"/>
        <v>42685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14800+132530</f>
        <v>147330</v>
      </c>
      <c r="E27" s="44"/>
      <c r="F27" s="237"/>
      <c r="G27" s="236"/>
      <c r="H27" s="44"/>
      <c r="I27" s="236"/>
      <c r="J27" s="51"/>
      <c r="K27" s="67">
        <f t="shared" si="0"/>
        <v>147330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144618+26942+1659+4800+12025+250</f>
        <v>190294</v>
      </c>
      <c r="E29" s="44"/>
      <c r="F29" s="237"/>
      <c r="G29" s="236"/>
      <c r="H29" s="44"/>
      <c r="I29" s="236"/>
      <c r="J29" s="51">
        <v>42</v>
      </c>
      <c r="K29" s="67">
        <f t="shared" si="0"/>
        <v>190336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/>
      <c r="G31" s="236"/>
      <c r="H31" s="44"/>
      <c r="I31" s="236"/>
      <c r="J31" s="51"/>
      <c r="K31" s="67">
        <f t="shared" si="0"/>
        <v>0</v>
      </c>
      <c r="L31"/>
    </row>
    <row r="32" spans="1:12" x14ac:dyDescent="0.35">
      <c r="A32" s="93">
        <v>562.59</v>
      </c>
      <c r="B32" s="28" t="s">
        <v>49</v>
      </c>
      <c r="C32" s="235"/>
      <c r="D32" s="236">
        <f>2425+1450+100000</f>
        <v>103875</v>
      </c>
      <c r="E32" s="44"/>
      <c r="F32" s="237"/>
      <c r="G32" s="236"/>
      <c r="H32" s="44"/>
      <c r="I32" s="236"/>
      <c r="J32" s="51">
        <v>70</v>
      </c>
      <c r="K32" s="67">
        <f t="shared" si="0"/>
        <v>103945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46998</v>
      </c>
      <c r="E34" s="44"/>
      <c r="F34" s="237"/>
      <c r="G34" s="236"/>
      <c r="H34" s="44"/>
      <c r="I34" s="236"/>
      <c r="J34" s="51"/>
      <c r="K34" s="67">
        <f t="shared" si="0"/>
        <v>46998</v>
      </c>
      <c r="L34"/>
    </row>
    <row r="35" spans="1:12" x14ac:dyDescent="0.35">
      <c r="A35" s="93">
        <v>562.72</v>
      </c>
      <c r="B35" s="16" t="s">
        <v>23</v>
      </c>
      <c r="C35" s="235"/>
      <c r="D35" s="236">
        <v>103578</v>
      </c>
      <c r="E35" s="44"/>
      <c r="F35" s="237"/>
      <c r="G35" s="236"/>
      <c r="H35" s="44"/>
      <c r="I35" s="236"/>
      <c r="J35" s="51">
        <v>1238</v>
      </c>
      <c r="K35" s="67">
        <f t="shared" si="0"/>
        <v>104816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72068</v>
      </c>
      <c r="I41" s="236">
        <f>2505+2121</f>
        <v>4626</v>
      </c>
      <c r="J41" s="51"/>
      <c r="K41" s="67">
        <f t="shared" si="0"/>
        <v>76694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781730</v>
      </c>
      <c r="D44" s="246">
        <f>SUM(D5:D43)</f>
        <v>765262</v>
      </c>
      <c r="E44" s="247">
        <f t="shared" ref="E44:J44" si="1">SUM(E5:E43)</f>
        <v>0</v>
      </c>
      <c r="F44" s="248">
        <f t="shared" si="1"/>
        <v>263134</v>
      </c>
      <c r="G44" s="246">
        <f t="shared" si="1"/>
        <v>30793</v>
      </c>
      <c r="H44" s="247">
        <f t="shared" si="1"/>
        <v>817426</v>
      </c>
      <c r="I44" s="249">
        <f t="shared" si="1"/>
        <v>159154</v>
      </c>
      <c r="J44" s="250">
        <f t="shared" si="1"/>
        <v>10595</v>
      </c>
      <c r="K44" s="251">
        <f>SUM(C44:J44)</f>
        <v>2828094</v>
      </c>
      <c r="L44"/>
    </row>
    <row r="45" spans="1:12" x14ac:dyDescent="0.35">
      <c r="A45" s="93">
        <v>523</v>
      </c>
      <c r="B45" s="16" t="s">
        <v>31</v>
      </c>
      <c r="C45" s="235"/>
      <c r="D45" s="236"/>
      <c r="E45" s="269"/>
      <c r="F45" s="270"/>
      <c r="G45" s="271"/>
      <c r="H45" s="269"/>
      <c r="I45" s="271">
        <v>3162</v>
      </c>
      <c r="J45" s="272">
        <v>1458</v>
      </c>
      <c r="K45" s="67">
        <f t="shared" ref="K45:K55" si="2">SUM(C45:J45)</f>
        <v>4620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/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/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/>
      <c r="D49" s="236"/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/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/>
      <c r="D52" s="236"/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/>
      <c r="D53" s="236">
        <v>7671</v>
      </c>
      <c r="E53" s="44"/>
      <c r="F53" s="237"/>
      <c r="G53" s="236">
        <v>87569</v>
      </c>
      <c r="H53" s="44"/>
      <c r="I53" s="236">
        <f>36425+50122</f>
        <v>86547</v>
      </c>
      <c r="J53" s="51">
        <v>1025</v>
      </c>
      <c r="K53" s="67">
        <f t="shared" si="2"/>
        <v>182812</v>
      </c>
      <c r="L53"/>
    </row>
    <row r="54" spans="1:12" x14ac:dyDescent="0.35">
      <c r="A54" s="93">
        <v>568</v>
      </c>
      <c r="B54" s="16" t="s">
        <v>39</v>
      </c>
      <c r="C54" s="235"/>
      <c r="D54" s="236">
        <v>770098</v>
      </c>
      <c r="E54" s="44"/>
      <c r="F54" s="237"/>
      <c r="G54" s="236"/>
      <c r="H54" s="44"/>
      <c r="I54" s="236"/>
      <c r="J54" s="51"/>
      <c r="K54" s="67">
        <f t="shared" si="2"/>
        <v>770098</v>
      </c>
      <c r="L54"/>
    </row>
    <row r="55" spans="1:12" x14ac:dyDescent="0.35">
      <c r="A55" s="95">
        <v>500</v>
      </c>
      <c r="B55" s="14" t="s">
        <v>68</v>
      </c>
      <c r="C55" s="273"/>
      <c r="D55" s="243">
        <f>66830+355718</f>
        <v>422548</v>
      </c>
      <c r="E55" s="241"/>
      <c r="F55" s="242"/>
      <c r="G55" s="243">
        <f>1800+3580+586442</f>
        <v>591822</v>
      </c>
      <c r="H55" s="241"/>
      <c r="I55" s="243">
        <f>910+147489+915</f>
        <v>149314</v>
      </c>
      <c r="J55" s="244"/>
      <c r="K55" s="274">
        <f t="shared" si="2"/>
        <v>1163684</v>
      </c>
      <c r="L55"/>
    </row>
    <row r="56" spans="1:12" ht="15" thickBot="1" x14ac:dyDescent="0.4">
      <c r="A56" s="97"/>
      <c r="B56" s="29" t="s">
        <v>42</v>
      </c>
      <c r="C56" s="275">
        <f>SUM(C44:C55)</f>
        <v>781730</v>
      </c>
      <c r="D56" s="276">
        <f>SUM(D44:D55)</f>
        <v>1965579</v>
      </c>
      <c r="E56" s="277">
        <f t="shared" ref="E56:J56" si="3">SUM(E44:E55)</f>
        <v>0</v>
      </c>
      <c r="F56" s="278">
        <f t="shared" si="3"/>
        <v>263134</v>
      </c>
      <c r="G56" s="279">
        <f t="shared" si="3"/>
        <v>710184</v>
      </c>
      <c r="H56" s="277">
        <f t="shared" si="3"/>
        <v>817426</v>
      </c>
      <c r="I56" s="280">
        <f t="shared" si="3"/>
        <v>398177</v>
      </c>
      <c r="J56" s="281">
        <f t="shared" si="3"/>
        <v>13078</v>
      </c>
      <c r="K56" s="282">
        <f>SUM(C56:J56)</f>
        <v>4949308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781730</v>
      </c>
      <c r="D62" s="7">
        <f>C56/K56</f>
        <v>0.15794733324335442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1965579</v>
      </c>
      <c r="D63" s="10">
        <f>D56/K56</f>
        <v>0.39714218634200982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2747309</v>
      </c>
      <c r="D64" s="23">
        <f>SUM(D62:D63)</f>
        <v>0.55508951958536423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263134</v>
      </c>
      <c r="D67" s="20">
        <f>F56/$K56</f>
        <v>5.3165816312098581E-2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710184</v>
      </c>
      <c r="D68" s="55">
        <f>G56/$K56</f>
        <v>0.14349157498381593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973318</v>
      </c>
      <c r="D69" s="23">
        <f>SUM(D66:D68)</f>
        <v>0.1966573912959145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817426</v>
      </c>
      <c r="D71" s="7">
        <f>H56/K56</f>
        <v>0.16515965464262883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398177</v>
      </c>
      <c r="D72" s="10">
        <f>I56/K56</f>
        <v>8.045104487334391E-2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1215603</v>
      </c>
      <c r="D73" s="23">
        <f>SUM(D71:D72)</f>
        <v>0.24561069951597275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13078</v>
      </c>
      <c r="D75" s="23">
        <f>J56/K56</f>
        <v>2.6423896027485054E-3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4949308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56" priority="3">
      <formula>ROW()=EVEN(ROW())</formula>
    </cfRule>
  </conditionalFormatting>
  <conditionalFormatting sqref="K45:K55">
    <cfRule type="expression" dxfId="55" priority="1">
      <formula>ROW()=EVEN(ROW())</formula>
    </cfRule>
  </conditionalFormatting>
  <conditionalFormatting sqref="K5:K44">
    <cfRule type="expression" dxfId="54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LEWIS</oddHeader>
  </headerFooter>
  <rowBreaks count="1" manualBreakCount="1">
    <brk id="44" max="16383" man="1"/>
  </rowBreaks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10640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5.5</v>
      </c>
      <c r="D2" s="56"/>
      <c r="F2" s="2"/>
      <c r="G2" s="40"/>
      <c r="H2" s="40"/>
      <c r="I2" s="40"/>
      <c r="J2" s="4" t="s">
        <v>81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24385</v>
      </c>
      <c r="D5" s="236"/>
      <c r="E5" s="44"/>
      <c r="F5" s="237"/>
      <c r="G5" s="236"/>
      <c r="H5" s="44"/>
      <c r="I5" s="236"/>
      <c r="J5" s="51"/>
      <c r="K5" s="67">
        <f>SUM(C5:J5)</f>
        <v>24385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>
        <v>25806</v>
      </c>
      <c r="G7" s="236"/>
      <c r="H7" s="44">
        <v>20377</v>
      </c>
      <c r="I7" s="236"/>
      <c r="J7" s="51"/>
      <c r="K7" s="67">
        <f t="shared" si="0"/>
        <v>46183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7455</v>
      </c>
      <c r="D12" s="236"/>
      <c r="E12" s="44"/>
      <c r="F12" s="237"/>
      <c r="G12" s="236"/>
      <c r="H12" s="44">
        <f>125+58569+11221</f>
        <v>69915</v>
      </c>
      <c r="I12" s="236"/>
      <c r="J12" s="51"/>
      <c r="K12" s="67">
        <f t="shared" si="0"/>
        <v>77370</v>
      </c>
      <c r="L12"/>
    </row>
    <row r="13" spans="1:12" x14ac:dyDescent="0.35">
      <c r="A13" s="93">
        <v>562.29</v>
      </c>
      <c r="B13" s="28" t="s">
        <v>46</v>
      </c>
      <c r="C13" s="235"/>
      <c r="D13" s="236">
        <v>12194</v>
      </c>
      <c r="E13" s="44"/>
      <c r="F13" s="237">
        <v>7521</v>
      </c>
      <c r="G13" s="236">
        <v>1972</v>
      </c>
      <c r="H13" s="44"/>
      <c r="I13" s="236"/>
      <c r="J13" s="51"/>
      <c r="K13" s="67">
        <f t="shared" si="0"/>
        <v>21687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f>73+123+648</f>
        <v>844</v>
      </c>
      <c r="E14" s="44"/>
      <c r="F14" s="237">
        <v>26612</v>
      </c>
      <c r="G14" s="236"/>
      <c r="H14" s="44">
        <f>855+3173+552+858+933</f>
        <v>6371</v>
      </c>
      <c r="I14" s="236"/>
      <c r="J14" s="51"/>
      <c r="K14" s="67">
        <f t="shared" si="0"/>
        <v>33827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>
        <v>595</v>
      </c>
      <c r="E16" s="44"/>
      <c r="F16" s="237">
        <v>837</v>
      </c>
      <c r="G16" s="236"/>
      <c r="H16" s="44"/>
      <c r="I16" s="236"/>
      <c r="J16" s="51"/>
      <c r="K16" s="67">
        <f t="shared" si="0"/>
        <v>1432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8701</v>
      </c>
      <c r="G18" s="236"/>
      <c r="H18" s="44"/>
      <c r="I18" s="236"/>
      <c r="J18" s="51"/>
      <c r="K18" s="67">
        <f t="shared" si="0"/>
        <v>8701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>
        <v>9484</v>
      </c>
      <c r="G22" s="236">
        <v>28703</v>
      </c>
      <c r="H22" s="44"/>
      <c r="I22" s="236">
        <v>6000</v>
      </c>
      <c r="J22" s="51"/>
      <c r="K22" s="67">
        <f t="shared" si="0"/>
        <v>44187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v>11869</v>
      </c>
      <c r="G24" s="236"/>
      <c r="H24" s="44"/>
      <c r="I24" s="236"/>
      <c r="J24" s="51"/>
      <c r="K24" s="67">
        <f t="shared" si="0"/>
        <v>11869</v>
      </c>
      <c r="L24"/>
    </row>
    <row r="25" spans="1:12" x14ac:dyDescent="0.35">
      <c r="A25" s="93">
        <v>562.52</v>
      </c>
      <c r="B25" s="16" t="s">
        <v>18</v>
      </c>
      <c r="C25" s="235">
        <v>4355</v>
      </c>
      <c r="D25" s="236">
        <f>800+800</f>
        <v>1600</v>
      </c>
      <c r="E25" s="44"/>
      <c r="F25" s="237"/>
      <c r="G25" s="236"/>
      <c r="H25" s="44"/>
      <c r="I25" s="236"/>
      <c r="J25" s="51"/>
      <c r="K25" s="67">
        <f t="shared" si="0"/>
        <v>5955</v>
      </c>
      <c r="L25"/>
    </row>
    <row r="26" spans="1:12" x14ac:dyDescent="0.35">
      <c r="A26" s="93">
        <v>562.53</v>
      </c>
      <c r="B26" s="28" t="s">
        <v>59</v>
      </c>
      <c r="C26" s="235">
        <v>1402</v>
      </c>
      <c r="D26" s="236">
        <v>1400</v>
      </c>
      <c r="E26" s="44"/>
      <c r="F26" s="237"/>
      <c r="G26" s="236">
        <f>9156+123+3</f>
        <v>9282</v>
      </c>
      <c r="H26" s="44"/>
      <c r="I26" s="236"/>
      <c r="J26" s="51"/>
      <c r="K26" s="67">
        <f t="shared" si="0"/>
        <v>12084</v>
      </c>
      <c r="L26"/>
    </row>
    <row r="27" spans="1:12" x14ac:dyDescent="0.35">
      <c r="A27" s="93">
        <v>562.54</v>
      </c>
      <c r="B27" s="28" t="s">
        <v>60</v>
      </c>
      <c r="C27" s="235">
        <f>23684+527</f>
        <v>24211</v>
      </c>
      <c r="D27" s="236">
        <f>4241+2550+32755+500</f>
        <v>40046</v>
      </c>
      <c r="E27" s="44"/>
      <c r="F27" s="237"/>
      <c r="G27" s="236"/>
      <c r="H27" s="44"/>
      <c r="I27" s="236"/>
      <c r="J27" s="51">
        <v>3673</v>
      </c>
      <c r="K27" s="67">
        <f t="shared" si="0"/>
        <v>67930</v>
      </c>
      <c r="L27"/>
    </row>
    <row r="28" spans="1:12" x14ac:dyDescent="0.35">
      <c r="A28" s="93">
        <v>562.54999999999995</v>
      </c>
      <c r="B28" s="16" t="s">
        <v>19</v>
      </c>
      <c r="C28" s="235">
        <v>2981</v>
      </c>
      <c r="D28" s="236"/>
      <c r="E28" s="44"/>
      <c r="F28" s="237"/>
      <c r="G28" s="236"/>
      <c r="H28" s="44"/>
      <c r="I28" s="236"/>
      <c r="J28" s="51"/>
      <c r="K28" s="67">
        <f t="shared" si="0"/>
        <v>2981</v>
      </c>
      <c r="L28"/>
    </row>
    <row r="29" spans="1:12" x14ac:dyDescent="0.35">
      <c r="A29" s="93">
        <v>562.55999999999995</v>
      </c>
      <c r="B29" s="16" t="s">
        <v>20</v>
      </c>
      <c r="C29" s="235">
        <v>20091</v>
      </c>
      <c r="D29" s="236">
        <f>14414+5910+2829</f>
        <v>23153</v>
      </c>
      <c r="E29" s="44"/>
      <c r="F29" s="237"/>
      <c r="G29" s="236"/>
      <c r="H29" s="44"/>
      <c r="I29" s="236">
        <v>200</v>
      </c>
      <c r="J29" s="51">
        <v>1669</v>
      </c>
      <c r="K29" s="67">
        <f t="shared" si="0"/>
        <v>45113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1292</v>
      </c>
      <c r="D31" s="236">
        <v>3100</v>
      </c>
      <c r="E31" s="44"/>
      <c r="F31" s="237"/>
      <c r="G31" s="236"/>
      <c r="H31" s="44"/>
      <c r="I31" s="236"/>
      <c r="J31" s="51"/>
      <c r="K31" s="67">
        <f t="shared" si="0"/>
        <v>4392</v>
      </c>
      <c r="L31"/>
    </row>
    <row r="32" spans="1:12" x14ac:dyDescent="0.35">
      <c r="A32" s="93">
        <v>562.59</v>
      </c>
      <c r="B32" s="28" t="s">
        <v>49</v>
      </c>
      <c r="C32" s="235">
        <v>296</v>
      </c>
      <c r="D32" s="236"/>
      <c r="E32" s="44"/>
      <c r="F32" s="237"/>
      <c r="G32" s="236"/>
      <c r="H32" s="44"/>
      <c r="I32" s="236"/>
      <c r="J32" s="51"/>
      <c r="K32" s="67">
        <f t="shared" si="0"/>
        <v>296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6590</v>
      </c>
      <c r="D34" s="236">
        <f>1840+3629</f>
        <v>5469</v>
      </c>
      <c r="E34" s="44"/>
      <c r="F34" s="237">
        <v>4548</v>
      </c>
      <c r="G34" s="236"/>
      <c r="H34" s="44"/>
      <c r="I34" s="236"/>
      <c r="J34" s="51"/>
      <c r="K34" s="67">
        <f t="shared" si="0"/>
        <v>16607</v>
      </c>
      <c r="L34"/>
    </row>
    <row r="35" spans="1:12" x14ac:dyDescent="0.35">
      <c r="A35" s="93">
        <v>562.72</v>
      </c>
      <c r="B35" s="16" t="s">
        <v>23</v>
      </c>
      <c r="C35" s="235">
        <v>2428</v>
      </c>
      <c r="D35" s="236">
        <f>27053+130+10</f>
        <v>27193</v>
      </c>
      <c r="E35" s="44"/>
      <c r="F35" s="237"/>
      <c r="G35" s="236"/>
      <c r="H35" s="44"/>
      <c r="I35" s="236"/>
      <c r="J35" s="51"/>
      <c r="K35" s="67">
        <f t="shared" si="0"/>
        <v>29621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>
        <v>5543</v>
      </c>
      <c r="G39" s="236"/>
      <c r="H39" s="44"/>
      <c r="I39" s="236"/>
      <c r="J39" s="51"/>
      <c r="K39" s="67">
        <f t="shared" si="0"/>
        <v>5543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12996</v>
      </c>
      <c r="G40" s="236"/>
      <c r="H40" s="44">
        <v>17782</v>
      </c>
      <c r="I40" s="236">
        <v>7443</v>
      </c>
      <c r="J40" s="51"/>
      <c r="K40" s="67">
        <f t="shared" si="0"/>
        <v>38221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/>
      <c r="I41" s="236"/>
      <c r="J41" s="51"/>
      <c r="K41" s="67">
        <f t="shared" si="0"/>
        <v>0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95486</v>
      </c>
      <c r="D44" s="246">
        <f>SUM(D5:D43)</f>
        <v>115594</v>
      </c>
      <c r="E44" s="247">
        <f t="shared" ref="E44:J44" si="1">SUM(E5:E43)</f>
        <v>0</v>
      </c>
      <c r="F44" s="248">
        <f t="shared" si="1"/>
        <v>113917</v>
      </c>
      <c r="G44" s="246">
        <f t="shared" si="1"/>
        <v>39957</v>
      </c>
      <c r="H44" s="247">
        <f t="shared" si="1"/>
        <v>114445</v>
      </c>
      <c r="I44" s="249">
        <f t="shared" si="1"/>
        <v>13643</v>
      </c>
      <c r="J44" s="250">
        <f t="shared" si="1"/>
        <v>5342</v>
      </c>
      <c r="K44" s="251">
        <f>SUM(C44:J44)</f>
        <v>498384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95486</v>
      </c>
      <c r="D56" s="276">
        <f>SUM(D44:D55)</f>
        <v>115594</v>
      </c>
      <c r="E56" s="277">
        <f t="shared" ref="E56:J56" si="3">SUM(E44:E55)</f>
        <v>0</v>
      </c>
      <c r="F56" s="278">
        <f t="shared" si="3"/>
        <v>113917</v>
      </c>
      <c r="G56" s="279">
        <f t="shared" si="3"/>
        <v>39957</v>
      </c>
      <c r="H56" s="277">
        <f t="shared" si="3"/>
        <v>114445</v>
      </c>
      <c r="I56" s="280">
        <f t="shared" si="3"/>
        <v>13643</v>
      </c>
      <c r="J56" s="281">
        <f t="shared" si="3"/>
        <v>5342</v>
      </c>
      <c r="K56" s="282">
        <f>SUM(C56:J56)</f>
        <v>498384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95486</v>
      </c>
      <c r="D62" s="7">
        <f>C56/K56</f>
        <v>0.19159122283219365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115594</v>
      </c>
      <c r="D63" s="10">
        <f>D56/K56</f>
        <v>0.23193762239558252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211080</v>
      </c>
      <c r="D64" s="23">
        <f>SUM(D62:D63)</f>
        <v>0.42352884522777617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113917</v>
      </c>
      <c r="D67" s="20">
        <f>F56/$K56</f>
        <v>0.22857274711868761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39957</v>
      </c>
      <c r="D68" s="55">
        <f>G56/$K56</f>
        <v>8.0173119522296055E-2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153874</v>
      </c>
      <c r="D69" s="23">
        <f>SUM(D66:D68)</f>
        <v>0.30874586664098369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114445</v>
      </c>
      <c r="D71" s="7">
        <f>H56/K56</f>
        <v>0.22963217117724485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13643</v>
      </c>
      <c r="D72" s="10">
        <f>I56/K56</f>
        <v>2.737447430094064E-2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128088</v>
      </c>
      <c r="D73" s="23">
        <f>SUM(D71:D72)</f>
        <v>0.25700664547818547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5342</v>
      </c>
      <c r="D75" s="23">
        <f>J56/K56</f>
        <v>1.0718642653054673E-2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498384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53" priority="3">
      <formula>ROW()=EVEN(ROW())</formula>
    </cfRule>
  </conditionalFormatting>
  <conditionalFormatting sqref="K45:K55">
    <cfRule type="expression" dxfId="52" priority="1">
      <formula>ROW()=EVEN(ROW())</formula>
    </cfRule>
  </conditionalFormatting>
  <conditionalFormatting sqref="K5:K44">
    <cfRule type="expression" dxfId="51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LINCOLN</oddHeader>
  </headerFooter>
  <rowBreaks count="1" manualBreakCount="1">
    <brk id="44" max="16383" man="1"/>
  </rowBreak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62320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19.25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20000+140413+2126</f>
        <v>162539</v>
      </c>
      <c r="D5" s="236">
        <f>206+12017+3840</f>
        <v>16063</v>
      </c>
      <c r="E5" s="44"/>
      <c r="F5" s="237"/>
      <c r="G5" s="236"/>
      <c r="H5" s="44"/>
      <c r="I5" s="236">
        <f>10564+12839</f>
        <v>23403</v>
      </c>
      <c r="J5" s="51"/>
      <c r="K5" s="67">
        <f>SUM(C5:J5)</f>
        <v>202005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49724</v>
      </c>
      <c r="D7" s="236"/>
      <c r="E7" s="44"/>
      <c r="F7" s="237">
        <v>40000</v>
      </c>
      <c r="G7" s="236">
        <v>99456</v>
      </c>
      <c r="H7" s="44">
        <v>24570</v>
      </c>
      <c r="I7" s="236">
        <v>118276</v>
      </c>
      <c r="J7" s="51">
        <f>1270+2022</f>
        <v>3292</v>
      </c>
      <c r="K7" s="67">
        <f t="shared" si="0"/>
        <v>335318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>
        <v>5761</v>
      </c>
      <c r="J8" s="51"/>
      <c r="K8" s="67">
        <f t="shared" si="0"/>
        <v>5761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>
        <v>8979</v>
      </c>
      <c r="G9" s="236"/>
      <c r="H9" s="44">
        <v>25240</v>
      </c>
      <c r="I9" s="236">
        <v>1625</v>
      </c>
      <c r="J9" s="51"/>
      <c r="K9" s="67">
        <f t="shared" si="0"/>
        <v>35844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>
        <v>1597</v>
      </c>
      <c r="G13" s="236"/>
      <c r="H13" s="44"/>
      <c r="I13" s="236"/>
      <c r="J13" s="51"/>
      <c r="K13" s="67">
        <f t="shared" si="0"/>
        <v>1597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/>
      <c r="E14" s="44"/>
      <c r="F14" s="237">
        <v>14630</v>
      </c>
      <c r="G14" s="236"/>
      <c r="H14" s="44">
        <f>13625+1545</f>
        <v>15170</v>
      </c>
      <c r="I14" s="236"/>
      <c r="J14" s="51"/>
      <c r="K14" s="67">
        <f t="shared" si="0"/>
        <v>29800</v>
      </c>
      <c r="L14"/>
    </row>
    <row r="15" spans="1:12" x14ac:dyDescent="0.35">
      <c r="A15" s="93">
        <v>562.33000000000004</v>
      </c>
      <c r="B15" s="28" t="s">
        <v>55</v>
      </c>
      <c r="C15" s="235">
        <v>4969</v>
      </c>
      <c r="D15" s="236"/>
      <c r="E15" s="44"/>
      <c r="F15" s="237"/>
      <c r="G15" s="236"/>
      <c r="H15" s="44"/>
      <c r="I15" s="236"/>
      <c r="J15" s="51"/>
      <c r="K15" s="67">
        <f t="shared" si="0"/>
        <v>4969</v>
      </c>
      <c r="L15"/>
    </row>
    <row r="16" spans="1:12" x14ac:dyDescent="0.35">
      <c r="A16" s="93">
        <v>562.34</v>
      </c>
      <c r="B16" s="16" t="s">
        <v>13</v>
      </c>
      <c r="C16" s="235">
        <v>30494</v>
      </c>
      <c r="D16" s="236"/>
      <c r="E16" s="44">
        <v>12673</v>
      </c>
      <c r="F16" s="237"/>
      <c r="G16" s="236"/>
      <c r="H16" s="44">
        <v>1685</v>
      </c>
      <c r="I16" s="236"/>
      <c r="J16" s="51"/>
      <c r="K16" s="67">
        <f t="shared" si="0"/>
        <v>44852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>
        <v>61407</v>
      </c>
      <c r="D18" s="236"/>
      <c r="E18" s="44"/>
      <c r="F18" s="237"/>
      <c r="G18" s="236"/>
      <c r="H18" s="44"/>
      <c r="I18" s="236"/>
      <c r="J18" s="51"/>
      <c r="K18" s="67">
        <f t="shared" si="0"/>
        <v>61407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>
        <f>12400+1735+12400</f>
        <v>26535</v>
      </c>
      <c r="D25" s="236">
        <v>48991</v>
      </c>
      <c r="E25" s="44"/>
      <c r="F25" s="237">
        <v>31895</v>
      </c>
      <c r="G25" s="236"/>
      <c r="H25" s="44"/>
      <c r="I25" s="236"/>
      <c r="J25" s="51"/>
      <c r="K25" s="67">
        <f t="shared" si="0"/>
        <v>107421</v>
      </c>
      <c r="L25"/>
    </row>
    <row r="26" spans="1:12" x14ac:dyDescent="0.35">
      <c r="A26" s="93">
        <v>562.53</v>
      </c>
      <c r="B26" s="28" t="s">
        <v>59</v>
      </c>
      <c r="C26" s="235">
        <v>40085</v>
      </c>
      <c r="D26" s="236">
        <f>3070+1800+40187</f>
        <v>45057</v>
      </c>
      <c r="E26" s="44"/>
      <c r="F26" s="237"/>
      <c r="G26" s="236">
        <v>38072</v>
      </c>
      <c r="H26" s="44"/>
      <c r="I26" s="236"/>
      <c r="J26" s="51"/>
      <c r="K26" s="67">
        <f t="shared" si="0"/>
        <v>123214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27540+135563+139759+410</f>
        <v>303272</v>
      </c>
      <c r="E27" s="44">
        <v>21382</v>
      </c>
      <c r="F27" s="237"/>
      <c r="G27" s="236"/>
      <c r="H27" s="44">
        <v>99734</v>
      </c>
      <c r="I27" s="236"/>
      <c r="J27" s="51"/>
      <c r="K27" s="67">
        <f t="shared" si="0"/>
        <v>424388</v>
      </c>
      <c r="L27"/>
    </row>
    <row r="28" spans="1:12" x14ac:dyDescent="0.35">
      <c r="A28" s="93">
        <v>562.54999999999995</v>
      </c>
      <c r="B28" s="16" t="s">
        <v>19</v>
      </c>
      <c r="C28" s="235">
        <v>8621</v>
      </c>
      <c r="D28" s="236"/>
      <c r="E28" s="44"/>
      <c r="F28" s="237"/>
      <c r="G28" s="236"/>
      <c r="H28" s="44"/>
      <c r="I28" s="236"/>
      <c r="J28" s="51"/>
      <c r="K28" s="67">
        <f t="shared" si="0"/>
        <v>8621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101876+5661+222</f>
        <v>107759</v>
      </c>
      <c r="E29" s="44"/>
      <c r="F29" s="237"/>
      <c r="G29" s="236"/>
      <c r="H29" s="44"/>
      <c r="I29" s="236"/>
      <c r="J29" s="51"/>
      <c r="K29" s="67">
        <f t="shared" si="0"/>
        <v>107759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1315</v>
      </c>
      <c r="D31" s="236">
        <v>5045</v>
      </c>
      <c r="E31" s="44"/>
      <c r="F31" s="237"/>
      <c r="G31" s="236"/>
      <c r="H31" s="44"/>
      <c r="I31" s="236"/>
      <c r="J31" s="51"/>
      <c r="K31" s="67">
        <f t="shared" si="0"/>
        <v>6360</v>
      </c>
      <c r="L31"/>
    </row>
    <row r="32" spans="1:12" x14ac:dyDescent="0.35">
      <c r="A32" s="93">
        <v>562.59</v>
      </c>
      <c r="B32" s="28" t="s">
        <v>49</v>
      </c>
      <c r="C32" s="235">
        <v>5103</v>
      </c>
      <c r="D32" s="236"/>
      <c r="E32" s="44"/>
      <c r="F32" s="237"/>
      <c r="G32" s="236"/>
      <c r="H32" s="44"/>
      <c r="I32" s="236"/>
      <c r="J32" s="51"/>
      <c r="K32" s="67">
        <f t="shared" si="0"/>
        <v>5103</v>
      </c>
      <c r="L32"/>
    </row>
    <row r="33" spans="1:12" x14ac:dyDescent="0.35">
      <c r="A33" s="93">
        <v>562.6</v>
      </c>
      <c r="B33" s="16" t="s">
        <v>21</v>
      </c>
      <c r="C33" s="235">
        <v>69785</v>
      </c>
      <c r="D33" s="236"/>
      <c r="E33" s="44">
        <v>4495</v>
      </c>
      <c r="F33" s="237">
        <v>14480</v>
      </c>
      <c r="G33" s="236"/>
      <c r="H33" s="44">
        <v>76263</v>
      </c>
      <c r="I33" s="236">
        <v>131591</v>
      </c>
      <c r="J33" s="51"/>
      <c r="K33" s="67">
        <f t="shared" si="0"/>
        <v>296614</v>
      </c>
      <c r="L33"/>
    </row>
    <row r="34" spans="1:12" x14ac:dyDescent="0.35">
      <c r="A34" s="93">
        <v>562.71</v>
      </c>
      <c r="B34" s="16" t="s">
        <v>22</v>
      </c>
      <c r="C34" s="235">
        <v>9689</v>
      </c>
      <c r="D34" s="236">
        <v>26490</v>
      </c>
      <c r="E34" s="44"/>
      <c r="F34" s="237"/>
      <c r="G34" s="236"/>
      <c r="H34" s="44"/>
      <c r="I34" s="236"/>
      <c r="J34" s="51"/>
      <c r="K34" s="67">
        <f t="shared" si="0"/>
        <v>36179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>
        <v>45899</v>
      </c>
      <c r="G36" s="236"/>
      <c r="H36" s="44"/>
      <c r="I36" s="236"/>
      <c r="J36" s="51"/>
      <c r="K36" s="67">
        <f t="shared" si="0"/>
        <v>45899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69968</v>
      </c>
      <c r="G40" s="236"/>
      <c r="H40" s="44"/>
      <c r="I40" s="236"/>
      <c r="J40" s="51"/>
      <c r="K40" s="67">
        <f t="shared" si="0"/>
        <v>69968</v>
      </c>
      <c r="L40"/>
    </row>
    <row r="41" spans="1:12" x14ac:dyDescent="0.35">
      <c r="A41" s="93">
        <v>562.88</v>
      </c>
      <c r="B41" s="28" t="s">
        <v>51</v>
      </c>
      <c r="C41" s="235">
        <v>5865</v>
      </c>
      <c r="D41" s="236"/>
      <c r="E41" s="44"/>
      <c r="F41" s="237"/>
      <c r="G41" s="236"/>
      <c r="H41" s="44">
        <v>41823</v>
      </c>
      <c r="I41" s="236"/>
      <c r="J41" s="51"/>
      <c r="K41" s="67">
        <f t="shared" si="0"/>
        <v>47688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476131</v>
      </c>
      <c r="D44" s="246">
        <f>SUM(D5:D43)</f>
        <v>552677</v>
      </c>
      <c r="E44" s="247">
        <f t="shared" ref="E44:J44" si="1">SUM(E5:E43)</f>
        <v>38550</v>
      </c>
      <c r="F44" s="248">
        <f t="shared" si="1"/>
        <v>227448</v>
      </c>
      <c r="G44" s="246">
        <f t="shared" si="1"/>
        <v>137528</v>
      </c>
      <c r="H44" s="247">
        <f t="shared" si="1"/>
        <v>284485</v>
      </c>
      <c r="I44" s="249">
        <f t="shared" si="1"/>
        <v>280656</v>
      </c>
      <c r="J44" s="250">
        <f t="shared" si="1"/>
        <v>3292</v>
      </c>
      <c r="K44" s="251">
        <f>SUM(C44:J44)</f>
        <v>2000767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/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4674</v>
      </c>
      <c r="D49" s="236"/>
      <c r="E49" s="44"/>
      <c r="F49" s="237"/>
      <c r="G49" s="236"/>
      <c r="H49" s="44"/>
      <c r="I49" s="236">
        <v>14114</v>
      </c>
      <c r="J49" s="51"/>
      <c r="K49" s="67">
        <f t="shared" si="2"/>
        <v>18788</v>
      </c>
      <c r="L49"/>
    </row>
    <row r="50" spans="1:12" x14ac:dyDescent="0.35">
      <c r="A50" s="93">
        <v>555</v>
      </c>
      <c r="B50" s="16" t="s">
        <v>35</v>
      </c>
      <c r="C50" s="235"/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f>40000+21471</f>
        <v>61471</v>
      </c>
      <c r="D52" s="236"/>
      <c r="E52" s="44"/>
      <c r="F52" s="237"/>
      <c r="G52" s="236"/>
      <c r="H52" s="44"/>
      <c r="I52" s="236"/>
      <c r="J52" s="51"/>
      <c r="K52" s="67">
        <f t="shared" si="2"/>
        <v>61471</v>
      </c>
      <c r="L52"/>
    </row>
    <row r="53" spans="1:12" x14ac:dyDescent="0.35">
      <c r="A53" s="93">
        <v>566</v>
      </c>
      <c r="B53" s="16" t="s">
        <v>38</v>
      </c>
      <c r="C53" s="235"/>
      <c r="D53" s="236"/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/>
      <c r="D54" s="236"/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/>
      <c r="D55" s="243"/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542276</v>
      </c>
      <c r="D56" s="276">
        <f>SUM(D44:D55)</f>
        <v>552677</v>
      </c>
      <c r="E56" s="277">
        <f t="shared" ref="E56:J56" si="3">SUM(E44:E55)</f>
        <v>38550</v>
      </c>
      <c r="F56" s="278">
        <f t="shared" si="3"/>
        <v>227448</v>
      </c>
      <c r="G56" s="279">
        <f t="shared" si="3"/>
        <v>137528</v>
      </c>
      <c r="H56" s="277">
        <f t="shared" si="3"/>
        <v>284485</v>
      </c>
      <c r="I56" s="280">
        <f t="shared" si="3"/>
        <v>294770</v>
      </c>
      <c r="J56" s="281">
        <f t="shared" si="3"/>
        <v>3292</v>
      </c>
      <c r="K56" s="282">
        <f>SUM(C56:J56)</f>
        <v>2081026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542276</v>
      </c>
      <c r="D62" s="7">
        <f>C56/K56</f>
        <v>0.26058107875634423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552677</v>
      </c>
      <c r="D63" s="10">
        <f>D56/K56</f>
        <v>0.26557909415836228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1094953</v>
      </c>
      <c r="D64" s="23">
        <f>SUM(D62:D63)</f>
        <v>0.52616017291470651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38550</v>
      </c>
      <c r="D66" s="20">
        <f>E56/$K56</f>
        <v>1.8524516272261857E-2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227448</v>
      </c>
      <c r="D67" s="20">
        <f>F56/$K56</f>
        <v>0.10929608760294202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137528</v>
      </c>
      <c r="D68" s="55">
        <f>G56/$K56</f>
        <v>6.6086632266968315E-2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403526</v>
      </c>
      <c r="D69" s="23">
        <f>SUM(D66:D68)</f>
        <v>0.1939072361421722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284485</v>
      </c>
      <c r="D71" s="7">
        <f>H56/K56</f>
        <v>0.13670420263850619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294770</v>
      </c>
      <c r="D72" s="10">
        <f>I56/K56</f>
        <v>0.14164647630543781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579255</v>
      </c>
      <c r="D73" s="23">
        <f>SUM(D71:D72)</f>
        <v>0.278350678943944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3292</v>
      </c>
      <c r="D75" s="23">
        <f>J56/K56</f>
        <v>1.5819119991773288E-3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2081026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50" priority="3">
      <formula>ROW()=EVEN(ROW())</formula>
    </cfRule>
  </conditionalFormatting>
  <conditionalFormatting sqref="K45:K55">
    <cfRule type="expression" dxfId="49" priority="1">
      <formula>ROW()=EVEN(ROW())</formula>
    </cfRule>
  </conditionalFormatting>
  <conditionalFormatting sqref="K5:K44">
    <cfRule type="expression" dxfId="48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&amp;C&amp;"-,Bold"&amp;16Expendiutes by Expenditure Code and Revenue Source
2016
MASON</oddHeader>
  </headerFooter>
  <rowBreaks count="1" manualBreakCount="1">
    <brk id="44" max="16383" man="1"/>
  </rowBreaks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f>44100+13290+7700</f>
        <v>65090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20.87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221552</v>
      </c>
      <c r="D5" s="236"/>
      <c r="E5" s="44"/>
      <c r="F5" s="237">
        <v>69987</v>
      </c>
      <c r="G5" s="236"/>
      <c r="H5" s="44"/>
      <c r="I5" s="236">
        <v>36497</v>
      </c>
      <c r="J5" s="51">
        <f>2544+2407</f>
        <v>4951</v>
      </c>
      <c r="K5" s="67">
        <f>SUM(C5:J5)</f>
        <v>332987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17134</v>
      </c>
      <c r="D7" s="236"/>
      <c r="E7" s="44"/>
      <c r="F7" s="237">
        <v>5412</v>
      </c>
      <c r="G7" s="236"/>
      <c r="H7" s="44">
        <v>56392</v>
      </c>
      <c r="I7" s="236">
        <v>220</v>
      </c>
      <c r="J7" s="51"/>
      <c r="K7" s="67">
        <f t="shared" si="0"/>
        <v>79158</v>
      </c>
      <c r="L7"/>
    </row>
    <row r="8" spans="1:12" x14ac:dyDescent="0.35">
      <c r="A8" s="93">
        <v>562.24</v>
      </c>
      <c r="B8" s="16" t="s">
        <v>11</v>
      </c>
      <c r="C8" s="235">
        <v>16</v>
      </c>
      <c r="D8" s="236"/>
      <c r="E8" s="44"/>
      <c r="F8" s="237"/>
      <c r="G8" s="236"/>
      <c r="H8" s="239"/>
      <c r="I8" s="240"/>
      <c r="J8" s="51"/>
      <c r="K8" s="67">
        <f t="shared" si="0"/>
        <v>16</v>
      </c>
      <c r="L8"/>
    </row>
    <row r="9" spans="1:12" x14ac:dyDescent="0.35">
      <c r="A9" s="93">
        <v>562.25</v>
      </c>
      <c r="B9" s="28" t="s">
        <v>53</v>
      </c>
      <c r="C9" s="235">
        <v>13603</v>
      </c>
      <c r="D9" s="236"/>
      <c r="E9" s="44"/>
      <c r="F9" s="237">
        <v>4297</v>
      </c>
      <c r="G9" s="236"/>
      <c r="H9" s="44">
        <f>24168+5350</f>
        <v>29518</v>
      </c>
      <c r="I9" s="236"/>
      <c r="J9" s="51"/>
      <c r="K9" s="67">
        <f t="shared" si="0"/>
        <v>47418</v>
      </c>
      <c r="L9"/>
    </row>
    <row r="10" spans="1:12" x14ac:dyDescent="0.35">
      <c r="A10" s="93">
        <v>562.26</v>
      </c>
      <c r="B10" s="28" t="s">
        <v>44</v>
      </c>
      <c r="C10" s="235">
        <v>15402</v>
      </c>
      <c r="D10" s="236">
        <v>28636</v>
      </c>
      <c r="E10" s="44">
        <v>45594</v>
      </c>
      <c r="F10" s="237">
        <v>4865</v>
      </c>
      <c r="G10" s="236"/>
      <c r="H10" s="44"/>
      <c r="I10" s="236"/>
      <c r="J10" s="51"/>
      <c r="K10" s="67">
        <f t="shared" si="0"/>
        <v>94497</v>
      </c>
      <c r="L10"/>
    </row>
    <row r="11" spans="1:12" x14ac:dyDescent="0.35">
      <c r="A11" s="93">
        <v>562.27</v>
      </c>
      <c r="B11" s="28" t="s">
        <v>45</v>
      </c>
      <c r="C11" s="235">
        <v>30674</v>
      </c>
      <c r="D11" s="236">
        <v>15951</v>
      </c>
      <c r="E11" s="44"/>
      <c r="F11" s="237">
        <v>9689</v>
      </c>
      <c r="G11" s="236"/>
      <c r="H11" s="44">
        <v>21550</v>
      </c>
      <c r="I11" s="236"/>
      <c r="J11" s="51"/>
      <c r="K11" s="67">
        <f t="shared" si="0"/>
        <v>77864</v>
      </c>
      <c r="L11"/>
    </row>
    <row r="12" spans="1:12" x14ac:dyDescent="0.35">
      <c r="A12" s="93">
        <v>562.28</v>
      </c>
      <c r="B12" s="28" t="s">
        <v>54</v>
      </c>
      <c r="C12" s="235">
        <v>12306</v>
      </c>
      <c r="D12" s="236"/>
      <c r="E12" s="44"/>
      <c r="F12" s="237">
        <v>3888</v>
      </c>
      <c r="G12" s="236"/>
      <c r="H12" s="44">
        <f>425+226916+22796</f>
        <v>250137</v>
      </c>
      <c r="I12" s="236"/>
      <c r="J12" s="51"/>
      <c r="K12" s="67">
        <f t="shared" si="0"/>
        <v>266331</v>
      </c>
      <c r="L12"/>
    </row>
    <row r="13" spans="1:12" x14ac:dyDescent="0.35">
      <c r="A13" s="93">
        <v>562.29</v>
      </c>
      <c r="B13" s="28" t="s">
        <v>46</v>
      </c>
      <c r="C13" s="235">
        <v>2509</v>
      </c>
      <c r="D13" s="236"/>
      <c r="E13" s="44"/>
      <c r="F13" s="237">
        <v>792</v>
      </c>
      <c r="G13" s="236"/>
      <c r="H13" s="44"/>
      <c r="I13" s="236"/>
      <c r="J13" s="51"/>
      <c r="K13" s="67">
        <f t="shared" si="0"/>
        <v>3301</v>
      </c>
      <c r="L13"/>
    </row>
    <row r="14" spans="1:12" x14ac:dyDescent="0.35">
      <c r="A14" s="93">
        <v>562.32000000000005</v>
      </c>
      <c r="B14" s="16" t="s">
        <v>12</v>
      </c>
      <c r="C14" s="235">
        <v>78757</v>
      </c>
      <c r="D14" s="236">
        <v>24281</v>
      </c>
      <c r="E14" s="44"/>
      <c r="F14" s="237">
        <v>24879</v>
      </c>
      <c r="G14" s="236"/>
      <c r="H14" s="44">
        <f>3875+15091+2759+4666+2689</f>
        <v>29080</v>
      </c>
      <c r="I14" s="236"/>
      <c r="J14" s="51"/>
      <c r="K14" s="67">
        <f t="shared" si="0"/>
        <v>156997</v>
      </c>
      <c r="L14"/>
    </row>
    <row r="15" spans="1:12" x14ac:dyDescent="0.35">
      <c r="A15" s="93">
        <v>562.33000000000004</v>
      </c>
      <c r="B15" s="28" t="s">
        <v>55</v>
      </c>
      <c r="C15" s="235">
        <v>16400</v>
      </c>
      <c r="D15" s="236"/>
      <c r="E15" s="44"/>
      <c r="F15" s="237">
        <v>5181</v>
      </c>
      <c r="G15" s="236"/>
      <c r="H15" s="44"/>
      <c r="I15" s="236"/>
      <c r="J15" s="51"/>
      <c r="K15" s="67">
        <f t="shared" si="0"/>
        <v>21581</v>
      </c>
      <c r="L15"/>
    </row>
    <row r="16" spans="1:12" x14ac:dyDescent="0.35">
      <c r="A16" s="93">
        <v>562.34</v>
      </c>
      <c r="B16" s="16" t="s">
        <v>13</v>
      </c>
      <c r="C16" s="235">
        <v>6098</v>
      </c>
      <c r="D16" s="236">
        <v>1118</v>
      </c>
      <c r="E16" s="44"/>
      <c r="F16" s="237">
        <v>1926</v>
      </c>
      <c r="G16" s="236"/>
      <c r="H16" s="44"/>
      <c r="I16" s="236"/>
      <c r="J16" s="51"/>
      <c r="K16" s="67">
        <f t="shared" si="0"/>
        <v>9142</v>
      </c>
      <c r="L16"/>
    </row>
    <row r="17" spans="1:12" x14ac:dyDescent="0.35">
      <c r="A17" s="93">
        <v>562.35</v>
      </c>
      <c r="B17" s="16" t="s">
        <v>14</v>
      </c>
      <c r="C17" s="235">
        <v>451</v>
      </c>
      <c r="D17" s="236"/>
      <c r="E17" s="44"/>
      <c r="F17" s="237">
        <v>142</v>
      </c>
      <c r="G17" s="236"/>
      <c r="H17" s="44"/>
      <c r="I17" s="236"/>
      <c r="J17" s="51"/>
      <c r="K17" s="67">
        <f t="shared" si="0"/>
        <v>593</v>
      </c>
      <c r="L17"/>
    </row>
    <row r="18" spans="1:12" x14ac:dyDescent="0.35">
      <c r="A18" s="93">
        <v>562.39</v>
      </c>
      <c r="B18" s="16" t="s">
        <v>15</v>
      </c>
      <c r="C18" s="235">
        <v>52527</v>
      </c>
      <c r="D18" s="236"/>
      <c r="E18" s="44"/>
      <c r="F18" s="237">
        <v>16593</v>
      </c>
      <c r="G18" s="236"/>
      <c r="H18" s="44"/>
      <c r="I18" s="236"/>
      <c r="J18" s="51"/>
      <c r="K18" s="67">
        <f t="shared" si="0"/>
        <v>69120</v>
      </c>
      <c r="L18"/>
    </row>
    <row r="19" spans="1:12" x14ac:dyDescent="0.35">
      <c r="A19" s="93">
        <v>562.41</v>
      </c>
      <c r="B19" s="16" t="s">
        <v>16</v>
      </c>
      <c r="C19" s="235">
        <v>45</v>
      </c>
      <c r="D19" s="236"/>
      <c r="E19" s="44"/>
      <c r="F19" s="237"/>
      <c r="G19" s="236"/>
      <c r="H19" s="44"/>
      <c r="I19" s="236"/>
      <c r="J19" s="51"/>
      <c r="K19" s="67">
        <f t="shared" si="0"/>
        <v>45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>
        <v>2262</v>
      </c>
      <c r="D21" s="236"/>
      <c r="E21" s="44"/>
      <c r="F21" s="237">
        <v>715</v>
      </c>
      <c r="G21" s="236"/>
      <c r="H21" s="44"/>
      <c r="I21" s="236"/>
      <c r="J21" s="51">
        <v>2694</v>
      </c>
      <c r="K21" s="67">
        <f t="shared" si="0"/>
        <v>5671</v>
      </c>
      <c r="L21"/>
    </row>
    <row r="22" spans="1:12" x14ac:dyDescent="0.35">
      <c r="A22" s="93">
        <v>562.44000000000005</v>
      </c>
      <c r="B22" s="28" t="s">
        <v>57</v>
      </c>
      <c r="C22" s="235">
        <v>5198</v>
      </c>
      <c r="D22" s="236"/>
      <c r="E22" s="44"/>
      <c r="F22" s="237">
        <v>1642</v>
      </c>
      <c r="G22" s="236">
        <v>64483</v>
      </c>
      <c r="H22" s="44"/>
      <c r="I22" s="236">
        <v>12000</v>
      </c>
      <c r="J22" s="51"/>
      <c r="K22" s="67">
        <f t="shared" si="0"/>
        <v>83323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>
        <v>35033</v>
      </c>
      <c r="D24" s="236"/>
      <c r="E24" s="44"/>
      <c r="F24" s="237">
        <v>11067</v>
      </c>
      <c r="G24" s="236"/>
      <c r="H24" s="44"/>
      <c r="I24" s="236"/>
      <c r="J24" s="51"/>
      <c r="K24" s="67">
        <f t="shared" si="0"/>
        <v>46100</v>
      </c>
      <c r="L24"/>
    </row>
    <row r="25" spans="1:12" x14ac:dyDescent="0.35">
      <c r="A25" s="93">
        <v>562.52</v>
      </c>
      <c r="B25" s="16" t="s">
        <v>18</v>
      </c>
      <c r="C25" s="235">
        <v>11805</v>
      </c>
      <c r="D25" s="236">
        <v>6030</v>
      </c>
      <c r="E25" s="44"/>
      <c r="F25" s="237">
        <v>3729</v>
      </c>
      <c r="G25" s="236"/>
      <c r="H25" s="44"/>
      <c r="I25" s="236"/>
      <c r="J25" s="51"/>
      <c r="K25" s="67">
        <f t="shared" si="0"/>
        <v>21564</v>
      </c>
      <c r="L25"/>
    </row>
    <row r="26" spans="1:12" x14ac:dyDescent="0.35">
      <c r="A26" s="93">
        <v>562.53</v>
      </c>
      <c r="B26" s="28" t="s">
        <v>59</v>
      </c>
      <c r="C26" s="235">
        <v>12101</v>
      </c>
      <c r="D26" s="236">
        <f>3850+50</f>
        <v>3900</v>
      </c>
      <c r="E26" s="44"/>
      <c r="F26" s="237">
        <v>3822</v>
      </c>
      <c r="G26" s="236">
        <v>13794</v>
      </c>
      <c r="H26" s="44"/>
      <c r="I26" s="236"/>
      <c r="J26" s="51"/>
      <c r="K26" s="67">
        <f t="shared" si="0"/>
        <v>33617</v>
      </c>
      <c r="L26"/>
    </row>
    <row r="27" spans="1:12" x14ac:dyDescent="0.35">
      <c r="A27" s="93">
        <v>562.54</v>
      </c>
      <c r="B27" s="28" t="s">
        <v>60</v>
      </c>
      <c r="C27" s="235">
        <v>139128</v>
      </c>
      <c r="D27" s="236">
        <f>6346+182881+6220</f>
        <v>195447</v>
      </c>
      <c r="E27" s="44"/>
      <c r="F27" s="237">
        <v>43949</v>
      </c>
      <c r="G27" s="236"/>
      <c r="H27" s="44"/>
      <c r="I27" s="236"/>
      <c r="J27" s="51"/>
      <c r="K27" s="67">
        <f t="shared" si="0"/>
        <v>378524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>
        <v>51898</v>
      </c>
      <c r="D29" s="236">
        <v>79882</v>
      </c>
      <c r="E29" s="44"/>
      <c r="F29" s="237">
        <v>16394</v>
      </c>
      <c r="G29" s="236"/>
      <c r="H29" s="44"/>
      <c r="I29" s="236"/>
      <c r="J29" s="51"/>
      <c r="K29" s="67">
        <f t="shared" si="0"/>
        <v>148174</v>
      </c>
      <c r="L29"/>
    </row>
    <row r="30" spans="1:12" x14ac:dyDescent="0.35">
      <c r="A30" s="93">
        <v>562.57000000000005</v>
      </c>
      <c r="B30" s="28" t="s">
        <v>61</v>
      </c>
      <c r="C30" s="235">
        <v>2741</v>
      </c>
      <c r="D30" s="236"/>
      <c r="E30" s="44"/>
      <c r="F30" s="237">
        <v>866</v>
      </c>
      <c r="G30" s="236"/>
      <c r="H30" s="44"/>
      <c r="I30" s="236"/>
      <c r="J30" s="51"/>
      <c r="K30" s="67">
        <f t="shared" si="0"/>
        <v>3607</v>
      </c>
      <c r="L30"/>
    </row>
    <row r="31" spans="1:12" x14ac:dyDescent="0.35">
      <c r="A31" s="93">
        <v>562.58000000000004</v>
      </c>
      <c r="B31" s="28" t="s">
        <v>48</v>
      </c>
      <c r="C31" s="235">
        <v>8174</v>
      </c>
      <c r="D31" s="236">
        <v>5036</v>
      </c>
      <c r="E31" s="44"/>
      <c r="F31" s="237">
        <v>2582</v>
      </c>
      <c r="G31" s="236"/>
      <c r="H31" s="44"/>
      <c r="I31" s="236"/>
      <c r="J31" s="51"/>
      <c r="K31" s="67">
        <f t="shared" si="0"/>
        <v>15792</v>
      </c>
      <c r="L31"/>
    </row>
    <row r="32" spans="1:12" x14ac:dyDescent="0.35">
      <c r="A32" s="93">
        <v>562.59</v>
      </c>
      <c r="B32" s="28" t="s">
        <v>49</v>
      </c>
      <c r="C32" s="235">
        <v>328</v>
      </c>
      <c r="D32" s="236"/>
      <c r="E32" s="44"/>
      <c r="F32" s="237">
        <v>104</v>
      </c>
      <c r="G32" s="236"/>
      <c r="H32" s="44"/>
      <c r="I32" s="236"/>
      <c r="J32" s="51"/>
      <c r="K32" s="67">
        <f t="shared" si="0"/>
        <v>432</v>
      </c>
      <c r="L32"/>
    </row>
    <row r="33" spans="1:12" x14ac:dyDescent="0.35">
      <c r="A33" s="93">
        <v>562.6</v>
      </c>
      <c r="B33" s="16" t="s">
        <v>21</v>
      </c>
      <c r="C33" s="235">
        <v>2387</v>
      </c>
      <c r="D33" s="236">
        <v>2727</v>
      </c>
      <c r="E33" s="44"/>
      <c r="F33" s="237">
        <v>754</v>
      </c>
      <c r="G33" s="236"/>
      <c r="H33" s="44"/>
      <c r="I33" s="236"/>
      <c r="J33" s="51"/>
      <c r="K33" s="67">
        <f t="shared" si="0"/>
        <v>5868</v>
      </c>
      <c r="L33"/>
    </row>
    <row r="34" spans="1:12" x14ac:dyDescent="0.35">
      <c r="A34" s="93">
        <v>562.71</v>
      </c>
      <c r="B34" s="16" t="s">
        <v>22</v>
      </c>
      <c r="C34" s="235">
        <v>11797</v>
      </c>
      <c r="D34" s="236">
        <v>19171</v>
      </c>
      <c r="E34" s="44"/>
      <c r="F34" s="237">
        <v>3727</v>
      </c>
      <c r="G34" s="236"/>
      <c r="H34" s="44"/>
      <c r="I34" s="236"/>
      <c r="J34" s="51"/>
      <c r="K34" s="67">
        <f t="shared" si="0"/>
        <v>34695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v>18720</v>
      </c>
      <c r="D40" s="236"/>
      <c r="E40" s="44"/>
      <c r="F40" s="237">
        <v>5913</v>
      </c>
      <c r="G40" s="236"/>
      <c r="H40" s="44"/>
      <c r="I40" s="236"/>
      <c r="J40" s="51"/>
      <c r="K40" s="67">
        <f t="shared" si="0"/>
        <v>24633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24555</v>
      </c>
      <c r="I41" s="236"/>
      <c r="J41" s="51"/>
      <c r="K41" s="67">
        <f t="shared" si="0"/>
        <v>24555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>
        <v>20223</v>
      </c>
      <c r="D43" s="236"/>
      <c r="E43" s="241"/>
      <c r="F43" s="242">
        <v>6388</v>
      </c>
      <c r="G43" s="243"/>
      <c r="H43" s="241"/>
      <c r="I43" s="243"/>
      <c r="J43" s="244"/>
      <c r="K43" s="67">
        <f t="shared" si="0"/>
        <v>26611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789269</v>
      </c>
      <c r="D44" s="246">
        <f>SUM(D5:D43)</f>
        <v>382179</v>
      </c>
      <c r="E44" s="247">
        <f t="shared" ref="E44:J44" si="1">SUM(E5:E43)</f>
        <v>45594</v>
      </c>
      <c r="F44" s="248">
        <f t="shared" si="1"/>
        <v>249303</v>
      </c>
      <c r="G44" s="246">
        <f t="shared" si="1"/>
        <v>78277</v>
      </c>
      <c r="H44" s="247">
        <f t="shared" si="1"/>
        <v>411232</v>
      </c>
      <c r="I44" s="249">
        <f t="shared" si="1"/>
        <v>48717</v>
      </c>
      <c r="J44" s="250">
        <f t="shared" si="1"/>
        <v>7645</v>
      </c>
      <c r="K44" s="251">
        <f>SUM(C44:J44)</f>
        <v>2012216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1604</v>
      </c>
      <c r="D49" s="236">
        <v>0</v>
      </c>
      <c r="E49" s="44"/>
      <c r="F49" s="237"/>
      <c r="G49" s="236">
        <v>8308</v>
      </c>
      <c r="H49" s="44"/>
      <c r="I49" s="236"/>
      <c r="J49" s="51"/>
      <c r="K49" s="67">
        <f t="shared" si="2"/>
        <v>9912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790873</v>
      </c>
      <c r="D56" s="276">
        <f>SUM(D44:D55)</f>
        <v>382179</v>
      </c>
      <c r="E56" s="277">
        <f t="shared" ref="E56:J56" si="3">SUM(E44:E55)</f>
        <v>45594</v>
      </c>
      <c r="F56" s="278">
        <f t="shared" si="3"/>
        <v>249303</v>
      </c>
      <c r="G56" s="279">
        <f t="shared" si="3"/>
        <v>86585</v>
      </c>
      <c r="H56" s="277">
        <f t="shared" si="3"/>
        <v>411232</v>
      </c>
      <c r="I56" s="280">
        <f t="shared" si="3"/>
        <v>48717</v>
      </c>
      <c r="J56" s="281">
        <f t="shared" si="3"/>
        <v>7645</v>
      </c>
      <c r="K56" s="282">
        <f>SUM(C56:J56)</f>
        <v>2022128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790873</v>
      </c>
      <c r="D62" s="7">
        <f>C56/K56</f>
        <v>0.39110926706914695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382179</v>
      </c>
      <c r="D63" s="10">
        <f>D56/K56</f>
        <v>0.18899842146491222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1173052</v>
      </c>
      <c r="D64" s="23">
        <f>SUM(D62:D63)</f>
        <v>0.58010768853405914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45594</v>
      </c>
      <c r="D66" s="20">
        <f>E56/$K56</f>
        <v>2.2547534082906721E-2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249303</v>
      </c>
      <c r="D67" s="20">
        <f>F56/$K56</f>
        <v>0.12328744767888086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86585</v>
      </c>
      <c r="D68" s="55">
        <f>G56/$K56</f>
        <v>4.2818753313341194E-2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381482</v>
      </c>
      <c r="D69" s="23">
        <f>SUM(D66:D68)</f>
        <v>0.18865373507512878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411232</v>
      </c>
      <c r="D71" s="7">
        <f>H56/K56</f>
        <v>0.20336595902929983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48717</v>
      </c>
      <c r="D72" s="10">
        <f>I56/K56</f>
        <v>2.4091946701692474E-2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459949</v>
      </c>
      <c r="D73" s="23">
        <f>SUM(D71:D72)</f>
        <v>0.22745790573099231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7645</v>
      </c>
      <c r="D75" s="23">
        <f>J56/K56</f>
        <v>3.7806706598197543E-3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2022128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47" priority="3">
      <formula>ROW()=EVEN(ROW())</formula>
    </cfRule>
  </conditionalFormatting>
  <conditionalFormatting sqref="K45:K55">
    <cfRule type="expression" dxfId="46" priority="1">
      <formula>ROW()=EVEN(ROW())</formula>
    </cfRule>
  </conditionalFormatting>
  <conditionalFormatting sqref="K5:K44">
    <cfRule type="expression" dxfId="4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&amp;C&amp;"-,Bold"&amp;16Funding by Expenditure Code and Revenue Source
2016
NORTHEAST TRI-COUNTY</oddHeader>
  </headerFooter>
  <rowBreaks count="1" manualBreakCount="1">
    <brk id="44" max="16383" man="1"/>
  </rowBreaks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41730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11.27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135000</v>
      </c>
      <c r="D5" s="236">
        <f>10+73</f>
        <v>83</v>
      </c>
      <c r="E5" s="44"/>
      <c r="F5" s="237">
        <v>32581</v>
      </c>
      <c r="G5" s="236"/>
      <c r="H5" s="44"/>
      <c r="I5" s="236"/>
      <c r="J5" s="51">
        <v>20</v>
      </c>
      <c r="K5" s="67">
        <f>SUM(C5:J5)</f>
        <v>167684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/>
      <c r="G7" s="236"/>
      <c r="H7" s="44">
        <v>58932</v>
      </c>
      <c r="I7" s="236">
        <v>27727</v>
      </c>
      <c r="J7" s="51"/>
      <c r="K7" s="67">
        <f t="shared" si="0"/>
        <v>86659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>
        <v>18600</v>
      </c>
      <c r="J8" s="51"/>
      <c r="K8" s="67">
        <f t="shared" si="0"/>
        <v>18600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v>5072</v>
      </c>
      <c r="E14" s="44"/>
      <c r="F14" s="237"/>
      <c r="G14" s="236"/>
      <c r="H14" s="44">
        <v>20336</v>
      </c>
      <c r="I14" s="236"/>
      <c r="J14" s="51"/>
      <c r="K14" s="67">
        <f t="shared" si="0"/>
        <v>25408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/>
      <c r="G16" s="236"/>
      <c r="H16" s="44"/>
      <c r="I16" s="236"/>
      <c r="J16" s="51"/>
      <c r="K16" s="67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111677</v>
      </c>
      <c r="G18" s="236"/>
      <c r="H18" s="44"/>
      <c r="I18" s="236"/>
      <c r="J18" s="51"/>
      <c r="K18" s="67">
        <f t="shared" si="0"/>
        <v>111677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>
        <v>2216</v>
      </c>
      <c r="J20" s="51"/>
      <c r="K20" s="67">
        <f t="shared" si="0"/>
        <v>2216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78633+1650+13600</f>
        <v>93883</v>
      </c>
      <c r="E25" s="44"/>
      <c r="F25" s="237"/>
      <c r="G25" s="236"/>
      <c r="H25" s="44"/>
      <c r="I25" s="236"/>
      <c r="J25" s="51"/>
      <c r="K25" s="67">
        <f t="shared" si="0"/>
        <v>93883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>
        <v>52743</v>
      </c>
      <c r="H26" s="44"/>
      <c r="I26" s="236"/>
      <c r="J26" s="51"/>
      <c r="K26" s="67">
        <f t="shared" si="0"/>
        <v>52743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12450+6800+113510</f>
        <v>132760</v>
      </c>
      <c r="E27" s="44"/>
      <c r="F27" s="237"/>
      <c r="G27" s="236"/>
      <c r="H27" s="44"/>
      <c r="I27" s="236"/>
      <c r="J27" s="51"/>
      <c r="K27" s="67">
        <f t="shared" si="0"/>
        <v>132760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103019+6225</f>
        <v>109244</v>
      </c>
      <c r="E29" s="44"/>
      <c r="F29" s="237"/>
      <c r="G29" s="236"/>
      <c r="H29" s="44"/>
      <c r="I29" s="236"/>
      <c r="J29" s="51"/>
      <c r="K29" s="67">
        <f t="shared" si="0"/>
        <v>109244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36470</v>
      </c>
      <c r="E31" s="44"/>
      <c r="F31" s="237"/>
      <c r="G31" s="236"/>
      <c r="H31" s="44"/>
      <c r="I31" s="236"/>
      <c r="J31" s="51"/>
      <c r="K31" s="67">
        <f t="shared" si="0"/>
        <v>36470</v>
      </c>
      <c r="L31"/>
    </row>
    <row r="32" spans="1:12" x14ac:dyDescent="0.35">
      <c r="A32" s="93">
        <v>562.59</v>
      </c>
      <c r="B32" s="28" t="s">
        <v>49</v>
      </c>
      <c r="C32" s="235"/>
      <c r="D32" s="236">
        <v>12155</v>
      </c>
      <c r="E32" s="44"/>
      <c r="F32" s="237"/>
      <c r="G32" s="236"/>
      <c r="H32" s="44"/>
      <c r="I32" s="236"/>
      <c r="J32" s="51"/>
      <c r="K32" s="67">
        <f t="shared" si="0"/>
        <v>12155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>
        <v>22850</v>
      </c>
      <c r="H33" s="44"/>
      <c r="I33" s="236"/>
      <c r="J33" s="51"/>
      <c r="K33" s="67">
        <f t="shared" si="0"/>
        <v>22850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23552</v>
      </c>
      <c r="E34" s="44"/>
      <c r="F34" s="237"/>
      <c r="G34" s="236"/>
      <c r="H34" s="44"/>
      <c r="I34" s="236"/>
      <c r="J34" s="51"/>
      <c r="K34" s="67">
        <f t="shared" si="0"/>
        <v>23552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25623</v>
      </c>
      <c r="G40" s="236"/>
      <c r="H40" s="44"/>
      <c r="I40" s="236"/>
      <c r="J40" s="51"/>
      <c r="K40" s="67">
        <f t="shared" si="0"/>
        <v>25623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37047</v>
      </c>
      <c r="I41" s="236"/>
      <c r="J41" s="51"/>
      <c r="K41" s="67">
        <f t="shared" si="0"/>
        <v>37047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>
        <v>10000</v>
      </c>
      <c r="J42" s="51">
        <v>1461</v>
      </c>
      <c r="K42" s="67">
        <f t="shared" si="0"/>
        <v>11461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135000</v>
      </c>
      <c r="D44" s="246">
        <f>SUM(D5:D43)</f>
        <v>413219</v>
      </c>
      <c r="E44" s="247">
        <f t="shared" ref="E44:J44" si="1">SUM(E5:E43)</f>
        <v>0</v>
      </c>
      <c r="F44" s="248">
        <f t="shared" si="1"/>
        <v>169881</v>
      </c>
      <c r="G44" s="246">
        <f t="shared" si="1"/>
        <v>75593</v>
      </c>
      <c r="H44" s="247">
        <f t="shared" si="1"/>
        <v>116315</v>
      </c>
      <c r="I44" s="249">
        <f t="shared" si="1"/>
        <v>58543</v>
      </c>
      <c r="J44" s="250">
        <f t="shared" si="1"/>
        <v>1481</v>
      </c>
      <c r="K44" s="251">
        <f>SUM(C44:J44)</f>
        <v>970032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>
        <v>14400</v>
      </c>
      <c r="K47" s="67">
        <f t="shared" si="2"/>
        <v>14400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>
        <v>20195</v>
      </c>
      <c r="H49" s="44"/>
      <c r="I49" s="236">
        <v>36409</v>
      </c>
      <c r="J49" s="51"/>
      <c r="K49" s="67">
        <f t="shared" si="2"/>
        <v>56604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135000</v>
      </c>
      <c r="D56" s="276">
        <f>SUM(D44:D55)</f>
        <v>413219</v>
      </c>
      <c r="E56" s="277">
        <f t="shared" ref="E56:J56" si="3">SUM(E44:E55)</f>
        <v>0</v>
      </c>
      <c r="F56" s="278">
        <f t="shared" si="3"/>
        <v>169881</v>
      </c>
      <c r="G56" s="279">
        <f t="shared" si="3"/>
        <v>95788</v>
      </c>
      <c r="H56" s="277">
        <f t="shared" si="3"/>
        <v>116315</v>
      </c>
      <c r="I56" s="280">
        <f t="shared" si="3"/>
        <v>94952</v>
      </c>
      <c r="J56" s="281">
        <f t="shared" si="3"/>
        <v>15881</v>
      </c>
      <c r="K56" s="282">
        <f>SUM(C56:J56)</f>
        <v>1041036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135000</v>
      </c>
      <c r="D62" s="7">
        <f>C56/K56</f>
        <v>0.12967851255864352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413219</v>
      </c>
      <c r="D63" s="10">
        <f>D56/K56</f>
        <v>0.39693055763681562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548219</v>
      </c>
      <c r="D64" s="23">
        <f>SUM(D62:D63)</f>
        <v>0.52660907019545911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169881</v>
      </c>
      <c r="D67" s="20">
        <f>F56/$K56</f>
        <v>0.16318455845907345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95788</v>
      </c>
      <c r="D68" s="55">
        <f>G56/$K56</f>
        <v>9.2012187859017366E-2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265669</v>
      </c>
      <c r="D69" s="23">
        <f>SUM(D66:D68)</f>
        <v>0.25519674631809081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116315</v>
      </c>
      <c r="D71" s="7">
        <f>H56/K56</f>
        <v>0.11173004583895274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94952</v>
      </c>
      <c r="D72" s="10">
        <f>I56/K56</f>
        <v>9.1209141662728282E-2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211267</v>
      </c>
      <c r="D73" s="23">
        <f>SUM(D71:D72)</f>
        <v>0.20293918750168102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15881</v>
      </c>
      <c r="D75" s="23">
        <f>J56/K56</f>
        <v>1.5254995984769018E-2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1041036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44" priority="3">
      <formula>ROW()=EVEN(ROW())</formula>
    </cfRule>
  </conditionalFormatting>
  <conditionalFormatting sqref="K45:K55">
    <cfRule type="expression" dxfId="43" priority="1">
      <formula>ROW()=EVEN(ROW())</formula>
    </cfRule>
  </conditionalFormatting>
  <conditionalFormatting sqref="K5:K44">
    <cfRule type="expression" dxfId="4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OKANOGAN</oddHeader>
  </headerFooter>
  <rowBreaks count="1" manualBreakCount="1">
    <brk id="44" max="16383" man="1"/>
  </rowBreaks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21180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15.58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/>
      <c r="D5" s="236"/>
      <c r="E5" s="44"/>
      <c r="F5" s="237"/>
      <c r="G5" s="236"/>
      <c r="H5" s="44"/>
      <c r="I5" s="236"/>
      <c r="J5" s="51"/>
      <c r="K5" s="67">
        <f>SUM(C5:J5)</f>
        <v>0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>
        <v>130</v>
      </c>
      <c r="E7" s="44"/>
      <c r="F7" s="237">
        <f>898+401</f>
        <v>1299</v>
      </c>
      <c r="G7" s="236">
        <v>10</v>
      </c>
      <c r="H7" s="44">
        <v>27067</v>
      </c>
      <c r="I7" s="236"/>
      <c r="J7" s="51"/>
      <c r="K7" s="67">
        <f t="shared" si="0"/>
        <v>28506</v>
      </c>
      <c r="L7"/>
    </row>
    <row r="8" spans="1:12" x14ac:dyDescent="0.35">
      <c r="A8" s="93">
        <v>562.24</v>
      </c>
      <c r="B8" s="16" t="s">
        <v>11</v>
      </c>
      <c r="C8" s="235">
        <v>1364</v>
      </c>
      <c r="D8" s="236"/>
      <c r="E8" s="44"/>
      <c r="F8" s="237"/>
      <c r="G8" s="236">
        <v>4255</v>
      </c>
      <c r="H8" s="239"/>
      <c r="I8" s="240">
        <v>4255</v>
      </c>
      <c r="J8" s="51"/>
      <c r="K8" s="67">
        <f t="shared" si="0"/>
        <v>9874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>
        <v>2267</v>
      </c>
      <c r="G9" s="236"/>
      <c r="H9" s="44"/>
      <c r="I9" s="236">
        <v>9864</v>
      </c>
      <c r="J9" s="51"/>
      <c r="K9" s="67">
        <f t="shared" si="0"/>
        <v>12131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>
        <f>602+6</f>
        <v>608</v>
      </c>
      <c r="E11" s="44">
        <v>15539</v>
      </c>
      <c r="F11" s="237">
        <v>9715</v>
      </c>
      <c r="G11" s="236"/>
      <c r="H11" s="44">
        <v>5982</v>
      </c>
      <c r="I11" s="236">
        <v>9386</v>
      </c>
      <c r="J11" s="51"/>
      <c r="K11" s="67">
        <f t="shared" si="0"/>
        <v>41230</v>
      </c>
      <c r="L11"/>
    </row>
    <row r="12" spans="1:12" x14ac:dyDescent="0.35">
      <c r="A12" s="93">
        <v>562.28</v>
      </c>
      <c r="B12" s="28" t="s">
        <v>54</v>
      </c>
      <c r="C12" s="235">
        <v>66632</v>
      </c>
      <c r="D12" s="236"/>
      <c r="E12" s="44"/>
      <c r="F12" s="237">
        <v>3490</v>
      </c>
      <c r="G12" s="236"/>
      <c r="H12" s="44">
        <f>11803+109420</f>
        <v>121223</v>
      </c>
      <c r="I12" s="236"/>
      <c r="J12" s="51"/>
      <c r="K12" s="67">
        <f t="shared" si="0"/>
        <v>191345</v>
      </c>
      <c r="L12"/>
    </row>
    <row r="13" spans="1:12" x14ac:dyDescent="0.35">
      <c r="A13" s="93">
        <v>562.29</v>
      </c>
      <c r="B13" s="28" t="s">
        <v>46</v>
      </c>
      <c r="C13" s="235">
        <v>13903</v>
      </c>
      <c r="D13" s="236"/>
      <c r="E13" s="44"/>
      <c r="F13" s="237">
        <v>22053</v>
      </c>
      <c r="G13" s="236"/>
      <c r="H13" s="44">
        <v>81272</v>
      </c>
      <c r="I13" s="236"/>
      <c r="J13" s="51"/>
      <c r="K13" s="67">
        <f t="shared" si="0"/>
        <v>117228</v>
      </c>
      <c r="L13"/>
    </row>
    <row r="14" spans="1:12" x14ac:dyDescent="0.35">
      <c r="A14" s="93">
        <v>562.32000000000005</v>
      </c>
      <c r="B14" s="16" t="s">
        <v>12</v>
      </c>
      <c r="C14" s="235">
        <v>6785</v>
      </c>
      <c r="D14" s="236"/>
      <c r="E14" s="44"/>
      <c r="F14" s="237">
        <v>30046</v>
      </c>
      <c r="G14" s="236">
        <v>583</v>
      </c>
      <c r="H14" s="44">
        <v>9084</v>
      </c>
      <c r="I14" s="236">
        <f>1108+1316</f>
        <v>2424</v>
      </c>
      <c r="J14" s="51">
        <v>1387</v>
      </c>
      <c r="K14" s="67">
        <f t="shared" si="0"/>
        <v>50309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/>
      <c r="G16" s="236"/>
      <c r="H16" s="44"/>
      <c r="I16" s="236"/>
      <c r="J16" s="51"/>
      <c r="K16" s="67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67668</v>
      </c>
      <c r="G18" s="236"/>
      <c r="H18" s="44"/>
      <c r="I18" s="236"/>
      <c r="J18" s="51"/>
      <c r="K18" s="67">
        <f t="shared" si="0"/>
        <v>67668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/>
      <c r="E25" s="44"/>
      <c r="F25" s="237"/>
      <c r="G25" s="236"/>
      <c r="H25" s="44"/>
      <c r="I25" s="236"/>
      <c r="J25" s="51"/>
      <c r="K25" s="67">
        <f t="shared" si="0"/>
        <v>0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/>
      <c r="H26" s="44"/>
      <c r="I26" s="236"/>
      <c r="J26" s="51"/>
      <c r="K26" s="67">
        <f t="shared" si="0"/>
        <v>0</v>
      </c>
      <c r="L26"/>
    </row>
    <row r="27" spans="1:12" x14ac:dyDescent="0.35">
      <c r="A27" s="93">
        <v>562.54</v>
      </c>
      <c r="B27" s="28" t="s">
        <v>60</v>
      </c>
      <c r="C27" s="235"/>
      <c r="D27" s="236"/>
      <c r="E27" s="44"/>
      <c r="F27" s="237"/>
      <c r="G27" s="236"/>
      <c r="H27" s="44"/>
      <c r="I27" s="236"/>
      <c r="J27" s="51"/>
      <c r="K27" s="67">
        <f t="shared" si="0"/>
        <v>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/>
      <c r="E29" s="44"/>
      <c r="F29" s="237"/>
      <c r="G29" s="236"/>
      <c r="H29" s="44"/>
      <c r="I29" s="236"/>
      <c r="J29" s="51"/>
      <c r="K29" s="67">
        <f t="shared" si="0"/>
        <v>0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/>
      <c r="G31" s="236"/>
      <c r="H31" s="44"/>
      <c r="I31" s="236"/>
      <c r="J31" s="51"/>
      <c r="K31" s="67">
        <f t="shared" si="0"/>
        <v>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>
        <v>1118</v>
      </c>
      <c r="F33" s="237"/>
      <c r="G33" s="236"/>
      <c r="H33" s="44"/>
      <c r="I33" s="236"/>
      <c r="J33" s="51"/>
      <c r="K33" s="67">
        <f t="shared" si="0"/>
        <v>1118</v>
      </c>
      <c r="L33"/>
    </row>
    <row r="34" spans="1:12" x14ac:dyDescent="0.35">
      <c r="A34" s="93">
        <v>562.71</v>
      </c>
      <c r="B34" s="16" t="s">
        <v>22</v>
      </c>
      <c r="C34" s="235">
        <v>5408</v>
      </c>
      <c r="D34" s="236">
        <v>5872</v>
      </c>
      <c r="E34" s="44"/>
      <c r="F34" s="237"/>
      <c r="G34" s="236"/>
      <c r="H34" s="44"/>
      <c r="I34" s="236"/>
      <c r="J34" s="51"/>
      <c r="K34" s="67">
        <f t="shared" si="0"/>
        <v>11280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>
        <f>5373+35715</f>
        <v>41088</v>
      </c>
      <c r="G36" s="236"/>
      <c r="H36" s="44">
        <v>96468</v>
      </c>
      <c r="I36" s="236"/>
      <c r="J36" s="51"/>
      <c r="K36" s="67">
        <f t="shared" si="0"/>
        <v>137556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>
        <v>1086</v>
      </c>
      <c r="D41" s="236"/>
      <c r="E41" s="44"/>
      <c r="F41" s="237"/>
      <c r="G41" s="236"/>
      <c r="H41" s="44">
        <v>57881</v>
      </c>
      <c r="I41" s="236"/>
      <c r="J41" s="51"/>
      <c r="K41" s="67">
        <f t="shared" si="0"/>
        <v>58967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95178</v>
      </c>
      <c r="D44" s="246">
        <f>SUM(D5:D43)</f>
        <v>6610</v>
      </c>
      <c r="E44" s="247">
        <f t="shared" ref="E44:J44" si="1">SUM(E5:E43)</f>
        <v>16657</v>
      </c>
      <c r="F44" s="248">
        <f t="shared" si="1"/>
        <v>177626</v>
      </c>
      <c r="G44" s="246">
        <f t="shared" si="1"/>
        <v>4848</v>
      </c>
      <c r="H44" s="247">
        <f t="shared" si="1"/>
        <v>398977</v>
      </c>
      <c r="I44" s="249">
        <f t="shared" si="1"/>
        <v>25929</v>
      </c>
      <c r="J44" s="250">
        <f t="shared" si="1"/>
        <v>1387</v>
      </c>
      <c r="K44" s="251">
        <f>SUM(C44:J44)</f>
        <v>727212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3472</v>
      </c>
      <c r="D49" s="236">
        <v>0</v>
      </c>
      <c r="E49" s="44"/>
      <c r="F49" s="237"/>
      <c r="G49" s="236"/>
      <c r="H49" s="44"/>
      <c r="I49" s="236">
        <v>547</v>
      </c>
      <c r="J49" s="51"/>
      <c r="K49" s="67">
        <f t="shared" si="2"/>
        <v>4019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98650</v>
      </c>
      <c r="D56" s="276">
        <f>SUM(D44:D55)</f>
        <v>6610</v>
      </c>
      <c r="E56" s="277">
        <f t="shared" ref="E56:J56" si="3">SUM(E44:E55)</f>
        <v>16657</v>
      </c>
      <c r="F56" s="278">
        <f t="shared" si="3"/>
        <v>177626</v>
      </c>
      <c r="G56" s="279">
        <f t="shared" si="3"/>
        <v>4848</v>
      </c>
      <c r="H56" s="277">
        <f t="shared" si="3"/>
        <v>398977</v>
      </c>
      <c r="I56" s="280">
        <f t="shared" si="3"/>
        <v>26476</v>
      </c>
      <c r="J56" s="281">
        <f t="shared" si="3"/>
        <v>1387</v>
      </c>
      <c r="K56" s="282">
        <f>SUM(C56:J56)</f>
        <v>731231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98650</v>
      </c>
      <c r="D62" s="7">
        <f>C56/K56</f>
        <v>0.13490948824653221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6610</v>
      </c>
      <c r="D63" s="10">
        <f>D56/K56</f>
        <v>9.0395511131229397E-3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105260</v>
      </c>
      <c r="D64" s="23">
        <f>SUM(D62:D63)</f>
        <v>0.14394903935965514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16657</v>
      </c>
      <c r="D66" s="20">
        <f>E56/$K56</f>
        <v>2.2779395293689681E-2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177626</v>
      </c>
      <c r="D67" s="20">
        <f>F56/$K56</f>
        <v>0.24291366203019293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4848</v>
      </c>
      <c r="D68" s="55">
        <f>G56/$K56</f>
        <v>6.6299158542239044E-3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199131</v>
      </c>
      <c r="D69" s="23">
        <f>SUM(D66:D68)</f>
        <v>0.2723229731781065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398977</v>
      </c>
      <c r="D71" s="7">
        <f>H56/K56</f>
        <v>0.54562374954015902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26476</v>
      </c>
      <c r="D72" s="10">
        <f>I56/K56</f>
        <v>3.6207436500914209E-2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425453</v>
      </c>
      <c r="D73" s="23">
        <f>SUM(D71:D72)</f>
        <v>0.5818311860410732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1387</v>
      </c>
      <c r="D75" s="23">
        <f>J56/K56</f>
        <v>1.896801421165131E-3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731231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41" priority="3">
      <formula>ROW()=EVEN(ROW())</formula>
    </cfRule>
  </conditionalFormatting>
  <conditionalFormatting sqref="K45:K55">
    <cfRule type="expression" dxfId="40" priority="1">
      <formula>ROW()=EVEN(ROW())</formula>
    </cfRule>
  </conditionalFormatting>
  <conditionalFormatting sqref="K5:K44">
    <cfRule type="expression" dxfId="39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PACIFIC</oddHeader>
  </headerFooter>
  <rowBreaks count="1" manualBreakCount="1">
    <brk id="4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3"/>
  <sheetViews>
    <sheetView showZeros="0" topLeftCell="A22" zoomScaleNormal="100" zoomScalePageLayoutView="85" workbookViewId="0">
      <selection activeCell="A5" sqref="A5"/>
    </sheetView>
  </sheetViews>
  <sheetFormatPr defaultRowHeight="14.5" x14ac:dyDescent="0.35"/>
  <cols>
    <col min="1" max="2" width="14.08984375" customWidth="1"/>
    <col min="3" max="3" width="14.08984375" style="58" customWidth="1"/>
    <col min="4" max="4" width="15.6328125" customWidth="1"/>
    <col min="5" max="5" width="13" style="42" customWidth="1"/>
    <col min="6" max="6" width="13.36328125" style="42" bestFit="1" customWidth="1"/>
    <col min="7" max="7" width="13.08984375" customWidth="1"/>
    <col min="8" max="8" width="12.6328125" bestFit="1" customWidth="1"/>
    <col min="9" max="9" width="13.6328125" style="42" customWidth="1"/>
    <col min="10" max="10" width="15.6328125" style="42" customWidth="1"/>
    <col min="11" max="11" width="14.36328125" style="42" customWidth="1"/>
    <col min="12" max="12" width="13.6328125" bestFit="1" customWidth="1"/>
    <col min="13" max="13" width="13.36328125" bestFit="1" customWidth="1"/>
    <col min="14" max="14" width="11.54296875" style="42" customWidth="1"/>
  </cols>
  <sheetData>
    <row r="1" spans="1:14" x14ac:dyDescent="0.35">
      <c r="D1" s="147"/>
    </row>
    <row r="2" spans="1:14" ht="15" thickBot="1" x14ac:dyDescent="0.4"/>
    <row r="3" spans="1:14" ht="20" customHeight="1" thickTop="1" thickBot="1" x14ac:dyDescent="0.4">
      <c r="A3" s="71"/>
      <c r="B3" s="68"/>
      <c r="C3" s="69"/>
      <c r="D3" s="70"/>
      <c r="E3" s="431" t="s">
        <v>71</v>
      </c>
      <c r="F3" s="430"/>
      <c r="G3" s="428" t="s">
        <v>69</v>
      </c>
      <c r="H3" s="429"/>
      <c r="I3" s="430"/>
      <c r="J3" s="431" t="s">
        <v>70</v>
      </c>
      <c r="K3" s="430"/>
      <c r="L3" s="73" t="s">
        <v>72</v>
      </c>
      <c r="M3" s="90"/>
      <c r="N3"/>
    </row>
    <row r="4" spans="1:14" ht="60" customHeight="1" thickTop="1" thickBot="1" x14ac:dyDescent="0.4">
      <c r="A4" s="74"/>
      <c r="B4" s="75" t="s">
        <v>81</v>
      </c>
      <c r="C4" s="76" t="s">
        <v>153</v>
      </c>
      <c r="D4" s="77" t="s">
        <v>82</v>
      </c>
      <c r="E4" s="38" t="s">
        <v>63</v>
      </c>
      <c r="F4" s="49" t="s">
        <v>6</v>
      </c>
      <c r="G4" s="299" t="s">
        <v>1</v>
      </c>
      <c r="H4" s="48" t="s">
        <v>2</v>
      </c>
      <c r="I4" s="41" t="s">
        <v>3</v>
      </c>
      <c r="J4" s="43" t="s">
        <v>4</v>
      </c>
      <c r="K4" s="45" t="s">
        <v>64</v>
      </c>
      <c r="L4" s="50" t="s">
        <v>8</v>
      </c>
      <c r="M4" s="81" t="s">
        <v>0</v>
      </c>
      <c r="N4"/>
    </row>
    <row r="5" spans="1:14" ht="15.75" customHeight="1" x14ac:dyDescent="0.35">
      <c r="A5" s="92" t="s">
        <v>78</v>
      </c>
      <c r="B5" s="152" t="str">
        <f>'Adams Pgs 8-9'!K2</f>
        <v>Cash</v>
      </c>
      <c r="C5" s="78">
        <f>'Adams Pgs 8-9'!C1</f>
        <v>19510</v>
      </c>
      <c r="D5" s="148">
        <f>'Adams Pgs 8-9'!C2</f>
        <v>8.75</v>
      </c>
      <c r="E5" s="91">
        <f>'Adams Pgs 8-9'!C56</f>
        <v>92687.5</v>
      </c>
      <c r="F5" s="66">
        <f>'Adams Pgs 8-9'!D56</f>
        <v>79051</v>
      </c>
      <c r="G5" s="64">
        <f>'Adams Pgs 8-9'!E56</f>
        <v>0</v>
      </c>
      <c r="H5" s="64">
        <f>'Adams Pgs 8-9'!F56</f>
        <v>121213</v>
      </c>
      <c r="I5" s="66">
        <f>'Adams Pgs 8-9'!G56</f>
        <v>44594</v>
      </c>
      <c r="J5" s="64">
        <f>'Adams Pgs 8-9'!H56</f>
        <v>165401</v>
      </c>
      <c r="K5" s="66">
        <f>'Adams Pgs 8-9'!I56</f>
        <v>49095</v>
      </c>
      <c r="L5" s="51">
        <f>'Adams Pgs 8-9'!J56</f>
        <v>140000</v>
      </c>
      <c r="M5" s="67">
        <f>SUM(E5:L5)</f>
        <v>692041.5</v>
      </c>
      <c r="N5"/>
    </row>
    <row r="6" spans="1:14" ht="15.75" customHeight="1" x14ac:dyDescent="0.35">
      <c r="A6" s="93" t="s">
        <v>83</v>
      </c>
      <c r="B6" s="153" t="str">
        <f>'Asotin Pgs 10-11'!K2</f>
        <v>Cash</v>
      </c>
      <c r="C6" s="72">
        <f>'Asotin Pgs 10-11'!C1</f>
        <v>22150</v>
      </c>
      <c r="D6" s="149">
        <f>'Asotin Pgs 10-11'!C2</f>
        <v>5.57</v>
      </c>
      <c r="E6" s="52">
        <f>'Asotin Pgs 10-11'!C56</f>
        <v>45270</v>
      </c>
      <c r="F6" s="66">
        <f>'Asotin Pgs 10-11'!D56</f>
        <v>30094</v>
      </c>
      <c r="G6" s="65">
        <f>'Asotin Pgs 10-11'!E56</f>
        <v>0</v>
      </c>
      <c r="H6" s="65">
        <f>'Asotin Pgs 10-11'!F56</f>
        <v>159890</v>
      </c>
      <c r="I6" s="66">
        <f>'Asotin Pgs 10-11'!G56</f>
        <v>8987</v>
      </c>
      <c r="J6" s="65">
        <f>'Asotin Pgs 10-11'!H56</f>
        <v>182259</v>
      </c>
      <c r="K6" s="66">
        <f>'Asotin Pgs 10-11'!I56</f>
        <v>55874</v>
      </c>
      <c r="L6" s="51">
        <f>'Asotin Pgs 10-11'!J56</f>
        <v>70548</v>
      </c>
      <c r="M6" s="67">
        <f t="shared" ref="M6:M39" si="0">SUM(E6:L6)</f>
        <v>552922</v>
      </c>
      <c r="N6"/>
    </row>
    <row r="7" spans="1:14" ht="15.75" customHeight="1" x14ac:dyDescent="0.35">
      <c r="A7" s="93" t="s">
        <v>79</v>
      </c>
      <c r="B7" s="153" t="str">
        <f>'Benton-Franklin Pgs 12-13'!K2</f>
        <v>Accrual</v>
      </c>
      <c r="C7" s="72">
        <f>'Benton-Franklin Pgs 12-13'!C1</f>
        <v>279170</v>
      </c>
      <c r="D7" s="150">
        <f>'Benton-Franklin Pgs 12-13'!C2</f>
        <v>90.38</v>
      </c>
      <c r="E7" s="52">
        <f>'Benton-Franklin Pgs 12-13'!C56</f>
        <v>719036</v>
      </c>
      <c r="F7" s="66">
        <f>'Benton-Franklin Pgs 12-13'!D56</f>
        <v>3004027</v>
      </c>
      <c r="G7" s="65">
        <f>'Benton-Franklin Pgs 12-13'!E56</f>
        <v>243244</v>
      </c>
      <c r="H7" s="65">
        <f>'Benton-Franklin Pgs 12-13'!F56</f>
        <v>1606720</v>
      </c>
      <c r="I7" s="66">
        <f>'Benton-Franklin Pgs 12-13'!G56</f>
        <v>339705</v>
      </c>
      <c r="J7" s="65">
        <f>'Benton-Franklin Pgs 12-13'!H56</f>
        <v>2098878</v>
      </c>
      <c r="K7" s="66">
        <f>'Benton-Franklin Pgs 12-13'!I56</f>
        <v>1067182</v>
      </c>
      <c r="L7" s="51">
        <f>'Benton-Franklin Pgs 12-13'!J56</f>
        <v>78012</v>
      </c>
      <c r="M7" s="67">
        <f t="shared" si="0"/>
        <v>9156804</v>
      </c>
      <c r="N7"/>
    </row>
    <row r="8" spans="1:14" ht="15.75" customHeight="1" x14ac:dyDescent="0.35">
      <c r="A8" s="93" t="s">
        <v>80</v>
      </c>
      <c r="B8" s="153" t="str">
        <f>'Chelan-Douglas Pgs 14-15'!K2</f>
        <v>Accrual</v>
      </c>
      <c r="C8" s="72">
        <f>'Chelan-Douglas Pgs 14-15'!C1</f>
        <v>116630</v>
      </c>
      <c r="D8" s="149">
        <f>'Chelan-Douglas Pgs 14-15'!C2</f>
        <v>37</v>
      </c>
      <c r="E8" s="52">
        <f>'Chelan-Douglas Pgs 14-15'!C56</f>
        <v>512099</v>
      </c>
      <c r="F8" s="66">
        <f>'Chelan-Douglas Pgs 14-15'!D56</f>
        <v>1218101</v>
      </c>
      <c r="G8" s="65">
        <f>'Chelan-Douglas Pgs 14-15'!E56</f>
        <v>0</v>
      </c>
      <c r="H8" s="65">
        <f>'Chelan-Douglas Pgs 14-15'!F56</f>
        <v>399636</v>
      </c>
      <c r="I8" s="66">
        <f>'Chelan-Douglas Pgs 14-15'!G44</f>
        <v>109118</v>
      </c>
      <c r="J8" s="65">
        <f>'Chelan-Douglas Pgs 14-15'!H56</f>
        <v>603579</v>
      </c>
      <c r="K8" s="66">
        <f>'Chelan-Douglas Pgs 14-15'!I56</f>
        <v>619062</v>
      </c>
      <c r="L8" s="51">
        <f>'Chelan-Douglas Pgs 14-15'!J56</f>
        <v>23913</v>
      </c>
      <c r="M8" s="67">
        <f t="shared" si="0"/>
        <v>3485508</v>
      </c>
      <c r="N8"/>
    </row>
    <row r="9" spans="1:14" ht="15.75" customHeight="1" x14ac:dyDescent="0.35">
      <c r="A9" s="93" t="s">
        <v>84</v>
      </c>
      <c r="B9" s="153" t="str">
        <f>'Clallam Pgs 16-17'!K2</f>
        <v>Cash</v>
      </c>
      <c r="C9" s="72">
        <f>'Clallam Pgs 16-17'!C1</f>
        <v>73410</v>
      </c>
      <c r="D9" s="150">
        <f>'Clallam Pgs 16-17'!C2</f>
        <v>28.3</v>
      </c>
      <c r="E9" s="52">
        <f>'Clallam Pgs 16-17'!C56</f>
        <v>1269192</v>
      </c>
      <c r="F9" s="66">
        <f>'Clallam Pgs 16-17'!D56</f>
        <v>638246</v>
      </c>
      <c r="G9" s="65">
        <f>'Clallam Pgs 16-17'!E56</f>
        <v>116264</v>
      </c>
      <c r="H9" s="65">
        <f>'Clallam Pgs 16-17'!F56</f>
        <v>291492</v>
      </c>
      <c r="I9" s="66">
        <f>'Clallam Pgs 16-17'!G56</f>
        <v>83171</v>
      </c>
      <c r="J9" s="65">
        <f>'Clallam Pgs 16-17'!H56</f>
        <v>579259</v>
      </c>
      <c r="K9" s="66">
        <f>'Clallam Pgs 16-17'!I56</f>
        <v>72377</v>
      </c>
      <c r="L9" s="51">
        <f>'Clallam Pgs 16-17'!J56</f>
        <v>64787</v>
      </c>
      <c r="M9" s="67">
        <f t="shared" si="0"/>
        <v>3114788</v>
      </c>
      <c r="N9"/>
    </row>
    <row r="10" spans="1:14" ht="15.75" customHeight="1" x14ac:dyDescent="0.35">
      <c r="A10" s="93" t="s">
        <v>85</v>
      </c>
      <c r="B10" s="153" t="str">
        <f>'Clark Pgs 18-19'!K2</f>
        <v>Accrual</v>
      </c>
      <c r="C10" s="72">
        <f>'Clark Pgs 18-19'!C1</f>
        <v>461010</v>
      </c>
      <c r="D10" s="150">
        <f>'Clark Pgs 18-19'!C2</f>
        <v>87</v>
      </c>
      <c r="E10" s="44">
        <f>'Clark Pgs 18-19'!C56</f>
        <v>2539444</v>
      </c>
      <c r="F10" s="44">
        <f>'Clark Pgs 18-19'!D56</f>
        <v>2825113</v>
      </c>
      <c r="G10" s="44">
        <f>'Clark Pgs 18-19'!E56</f>
        <v>481085</v>
      </c>
      <c r="H10" s="44">
        <f>'Clark Pgs 18-19'!F56</f>
        <v>1767341</v>
      </c>
      <c r="I10" s="44">
        <f>'Clark Pgs 18-19'!G56</f>
        <v>478093</v>
      </c>
      <c r="J10" s="44">
        <f>'Clark Pgs 18-19'!H56</f>
        <v>1304504</v>
      </c>
      <c r="K10" s="44">
        <f>'Clark Pgs 18-19'!I56</f>
        <v>695871</v>
      </c>
      <c r="L10" s="44">
        <f>'Clark Pgs 18-19'!J56</f>
        <v>1055028</v>
      </c>
      <c r="M10" s="67">
        <f t="shared" si="0"/>
        <v>11146479</v>
      </c>
      <c r="N10"/>
    </row>
    <row r="11" spans="1:14" ht="15.75" customHeight="1" x14ac:dyDescent="0.35">
      <c r="A11" s="93" t="s">
        <v>86</v>
      </c>
      <c r="B11" s="153" t="str">
        <f>'Columbia Pgs 20-21'!K2</f>
        <v>Cash</v>
      </c>
      <c r="C11" s="72">
        <f>'Columbia Pgs 20-21'!C1</f>
        <v>4050</v>
      </c>
      <c r="D11" s="150">
        <f>'Columbia Pgs 20-21'!C2</f>
        <v>4.05</v>
      </c>
      <c r="E11" s="44">
        <f>'Columbia Pgs 20-21'!C56</f>
        <v>85158</v>
      </c>
      <c r="F11" s="44">
        <f>'Columbia Pgs 20-21'!D56</f>
        <v>17178</v>
      </c>
      <c r="G11" s="44">
        <f>'Columbia Pgs 20-21'!E56</f>
        <v>0</v>
      </c>
      <c r="H11" s="44">
        <f>'Columbia Pgs 20-21'!F56</f>
        <v>119991</v>
      </c>
      <c r="I11" s="44">
        <f>'Columbia Pgs 20-21'!G56</f>
        <v>8699</v>
      </c>
      <c r="J11" s="44">
        <f>'Columbia Pgs 20-21'!H56</f>
        <v>94628</v>
      </c>
      <c r="K11" s="44">
        <f>'Columbia Pgs 20-21'!I56</f>
        <v>16825</v>
      </c>
      <c r="L11" s="44">
        <f>'Columbia Pgs 20-21'!J56</f>
        <v>35617</v>
      </c>
      <c r="M11" s="67">
        <f t="shared" si="0"/>
        <v>378096</v>
      </c>
      <c r="N11"/>
    </row>
    <row r="12" spans="1:14" ht="15.75" customHeight="1" x14ac:dyDescent="0.35">
      <c r="A12" s="93" t="s">
        <v>87</v>
      </c>
      <c r="B12" s="153" t="str">
        <f>'Cowlitz Pgs 22-23'!K2</f>
        <v>Accrual</v>
      </c>
      <c r="C12" s="72">
        <f>'Cowlitz Pgs 22-23'!C1</f>
        <v>104850</v>
      </c>
      <c r="D12" s="150">
        <f>'Cowlitz Pgs 22-23'!C2</f>
        <v>28.25</v>
      </c>
      <c r="E12" s="44">
        <f>'Cowlitz Pgs 22-23'!C56</f>
        <v>254078</v>
      </c>
      <c r="F12" s="44">
        <f>'Cowlitz Pgs 22-23'!D56</f>
        <v>1272162</v>
      </c>
      <c r="G12" s="44">
        <f>'Cowlitz Pgs 22-23'!E56</f>
        <v>0</v>
      </c>
      <c r="H12" s="44">
        <f>'Cowlitz Pgs 22-23'!F56</f>
        <v>477981</v>
      </c>
      <c r="I12" s="44">
        <f>'Cowlitz Pgs 22-23'!G56</f>
        <v>87864</v>
      </c>
      <c r="J12" s="44">
        <f>'Cowlitz Pgs 22-23'!H56</f>
        <v>146758</v>
      </c>
      <c r="K12" s="44">
        <f>'Cowlitz Pgs 22-23'!I56</f>
        <v>355415</v>
      </c>
      <c r="L12" s="44">
        <f>'Cowlitz Pgs 22-23'!J56</f>
        <v>317873</v>
      </c>
      <c r="M12" s="67">
        <f t="shared" si="0"/>
        <v>2912131</v>
      </c>
      <c r="N12"/>
    </row>
    <row r="13" spans="1:14" ht="15.75" customHeight="1" x14ac:dyDescent="0.35">
      <c r="A13" s="93" t="s">
        <v>88</v>
      </c>
      <c r="B13" s="153" t="str">
        <f>'Garfield Pgs 24-25'!K2</f>
        <v>Accrual</v>
      </c>
      <c r="C13" s="72">
        <f>'Garfield Pgs 24-25'!C1</f>
        <v>2200</v>
      </c>
      <c r="D13" s="150">
        <f>'Garfield Pgs 24-25'!C2</f>
        <v>3.12</v>
      </c>
      <c r="E13" s="44">
        <f>'Garfield Pgs 24-25'!C56</f>
        <v>32499</v>
      </c>
      <c r="F13" s="44">
        <f>'Garfield Pgs 24-25'!D56</f>
        <v>15584</v>
      </c>
      <c r="G13" s="44">
        <f>'Garfield Pgs 24-25'!E56</f>
        <v>0</v>
      </c>
      <c r="H13" s="44">
        <f>'Garfield Pgs 24-25'!F56</f>
        <v>93154</v>
      </c>
      <c r="I13" s="44">
        <f>'Garfield Pgs 24-25'!G56</f>
        <v>580</v>
      </c>
      <c r="J13" s="44">
        <f>'Garfield Pgs 24-25'!H56</f>
        <v>68040</v>
      </c>
      <c r="K13" s="44">
        <f>'Garfield Pgs 24-25'!I56</f>
        <v>0</v>
      </c>
      <c r="L13" s="44">
        <f>'Garfield Pgs 24-25'!J56</f>
        <v>40450</v>
      </c>
      <c r="M13" s="67">
        <f t="shared" si="0"/>
        <v>250307</v>
      </c>
      <c r="N13"/>
    </row>
    <row r="14" spans="1:14" ht="15.75" customHeight="1" x14ac:dyDescent="0.35">
      <c r="A14" s="93" t="s">
        <v>89</v>
      </c>
      <c r="B14" s="153" t="str">
        <f>'Grant Pgs 26-27'!K2</f>
        <v>Accrual</v>
      </c>
      <c r="C14" s="72">
        <f>'Grant Pgs 26-27'!C1</f>
        <v>94610</v>
      </c>
      <c r="D14" s="149">
        <f>'Grant Pgs 26-27'!C2</f>
        <v>28.37</v>
      </c>
      <c r="E14" s="44">
        <f>'Grant Pgs 26-27'!C56</f>
        <v>270363</v>
      </c>
      <c r="F14" s="44">
        <f>'Grant Pgs 26-27'!D56</f>
        <v>785548</v>
      </c>
      <c r="G14" s="44">
        <f>'Grant Pgs 26-27'!E56</f>
        <v>388205</v>
      </c>
      <c r="H14" s="44">
        <f>'Grant Pgs 26-27'!F56</f>
        <v>297760</v>
      </c>
      <c r="I14" s="44">
        <f>'Grant Pgs 26-27'!G56</f>
        <v>65245</v>
      </c>
      <c r="J14" s="44">
        <f>'Grant Pgs 26-27'!H56</f>
        <v>437358</v>
      </c>
      <c r="K14" s="44">
        <f>'Grant Pgs 26-27'!I56</f>
        <v>457132</v>
      </c>
      <c r="L14" s="44">
        <f>'Grant Pgs 26-27'!J56</f>
        <v>7117</v>
      </c>
      <c r="M14" s="67">
        <f t="shared" si="0"/>
        <v>2708728</v>
      </c>
      <c r="N14"/>
    </row>
    <row r="15" spans="1:14" ht="15.75" customHeight="1" x14ac:dyDescent="0.35">
      <c r="A15" s="93" t="s">
        <v>90</v>
      </c>
      <c r="B15" s="153" t="str">
        <f>'Grays Harbor Pgs 28-29'!K2</f>
        <v>Accrual</v>
      </c>
      <c r="C15" s="72">
        <f>'Grays Harbor Pgs 28-29'!C1</f>
        <v>72820</v>
      </c>
      <c r="D15" s="150">
        <f>'Grays Harbor Pgs 28-29'!C2</f>
        <v>24.34</v>
      </c>
      <c r="E15" s="44">
        <f>'Grays Harbor Pgs 28-29'!C56</f>
        <v>849288</v>
      </c>
      <c r="F15" s="44">
        <f>'Grays Harbor Pgs 28-29'!D56</f>
        <v>248864</v>
      </c>
      <c r="G15" s="44">
        <f>'Grays Harbor Pgs 28-29'!E56</f>
        <v>106192</v>
      </c>
      <c r="H15" s="44">
        <f>'Grays Harbor Pgs 28-29'!F56</f>
        <v>0</v>
      </c>
      <c r="I15" s="44">
        <f>'Grays Harbor Pgs 28-29'!G56</f>
        <v>57284</v>
      </c>
      <c r="J15" s="44">
        <f>'Grays Harbor Pgs 28-29'!H56</f>
        <v>822685</v>
      </c>
      <c r="K15" s="44">
        <f>'Grays Harbor Pgs 28-29'!I56</f>
        <v>559629</v>
      </c>
      <c r="L15" s="44">
        <f>'Grays Harbor Pgs 28-29'!J56</f>
        <v>42127</v>
      </c>
      <c r="M15" s="67">
        <f t="shared" si="0"/>
        <v>2686069</v>
      </c>
      <c r="N15"/>
    </row>
    <row r="16" spans="1:14" ht="15.75" customHeight="1" x14ac:dyDescent="0.35">
      <c r="A16" s="93" t="s">
        <v>91</v>
      </c>
      <c r="B16" s="153" t="str">
        <f>'Island Pgs 30-31'!K2</f>
        <v>Accrual</v>
      </c>
      <c r="C16" s="72">
        <f>'Island Pgs 30-31'!C1</f>
        <v>82910</v>
      </c>
      <c r="D16" s="149">
        <f>'Island Pgs 30-31'!C2</f>
        <v>35.5</v>
      </c>
      <c r="E16" s="44">
        <f>'Island Pgs 30-31'!C56</f>
        <v>458494</v>
      </c>
      <c r="F16" s="44">
        <f>'Island Pgs 30-31'!D56</f>
        <v>1665084</v>
      </c>
      <c r="G16" s="44">
        <f>'Island Pgs 30-31'!E56</f>
        <v>37222</v>
      </c>
      <c r="H16" s="44">
        <f>'Island Pgs 30-31'!F56</f>
        <v>255224</v>
      </c>
      <c r="I16" s="44">
        <f>'Island Pgs 30-31'!G56</f>
        <v>170188</v>
      </c>
      <c r="J16" s="44">
        <f>'Island Pgs 30-31'!H56</f>
        <v>566545</v>
      </c>
      <c r="K16" s="44">
        <f>'Island Pgs 30-31'!I56</f>
        <v>707285</v>
      </c>
      <c r="L16" s="44">
        <f>'Island Pgs 30-31'!J56</f>
        <v>1476</v>
      </c>
      <c r="M16" s="67">
        <f t="shared" si="0"/>
        <v>3861518</v>
      </c>
      <c r="N16"/>
    </row>
    <row r="17" spans="1:20" ht="15.75" customHeight="1" x14ac:dyDescent="0.35">
      <c r="A17" s="93" t="s">
        <v>92</v>
      </c>
      <c r="B17" s="153" t="str">
        <f>'Jefferson Pgs 32-33'!K2</f>
        <v>Cash</v>
      </c>
      <c r="C17" s="72">
        <f>'Jefferson Pgs 32-33'!C1</f>
        <v>31090</v>
      </c>
      <c r="D17" s="149">
        <f>'Jefferson Pgs 32-33'!C2</f>
        <v>33.274000000000001</v>
      </c>
      <c r="E17" s="44">
        <f>'Jefferson Pgs 32-33'!C56</f>
        <v>862304</v>
      </c>
      <c r="F17" s="44">
        <f>'Jefferson Pgs 32-33'!D56</f>
        <v>1725113</v>
      </c>
      <c r="G17" s="44">
        <f>'Jefferson Pgs 32-33'!E56</f>
        <v>132642</v>
      </c>
      <c r="H17" s="44">
        <f>'Jefferson Pgs 32-33'!F56</f>
        <v>184080</v>
      </c>
      <c r="I17" s="44">
        <f>'Jefferson Pgs 32-33'!G56</f>
        <v>431136</v>
      </c>
      <c r="J17" s="44">
        <f>'Jefferson Pgs 32-33'!H56</f>
        <v>293295</v>
      </c>
      <c r="K17" s="44">
        <f>'Jefferson Pgs 32-33'!I56</f>
        <v>459581</v>
      </c>
      <c r="L17" s="44">
        <f>'Jefferson Pgs 32-33'!J56</f>
        <v>2325</v>
      </c>
      <c r="M17" s="67">
        <f t="shared" si="0"/>
        <v>4090476</v>
      </c>
      <c r="N17"/>
    </row>
    <row r="18" spans="1:20" ht="15.75" customHeight="1" x14ac:dyDescent="0.35">
      <c r="A18" s="93" t="s">
        <v>93</v>
      </c>
      <c r="B18" s="153" t="str">
        <f>'Kitsap Pgs 34-35'!K2</f>
        <v>Cash</v>
      </c>
      <c r="C18" s="72">
        <f>'Kitsap Pgs 34-35'!C1</f>
        <v>262590</v>
      </c>
      <c r="D18" s="149">
        <f>'Kitsap Pgs 34-35'!C2</f>
        <v>102.6</v>
      </c>
      <c r="E18" s="44">
        <f>'Kitsap Pgs 34-35'!C56</f>
        <v>2819018</v>
      </c>
      <c r="F18" s="44">
        <f>'Kitsap Pgs 34-35'!D56</f>
        <v>4700577</v>
      </c>
      <c r="G18" s="44">
        <f>'Kitsap Pgs 34-35'!E56</f>
        <v>628267</v>
      </c>
      <c r="H18" s="44">
        <f>'Kitsap Pgs 34-35'!F56</f>
        <v>997477</v>
      </c>
      <c r="I18" s="44">
        <f>'Kitsap Pgs 34-35'!G56</f>
        <v>1282639</v>
      </c>
      <c r="J18" s="44">
        <f>'Kitsap Pgs 34-35'!H56</f>
        <v>1396479</v>
      </c>
      <c r="K18" s="44">
        <f>'Kitsap Pgs 34-35'!I56</f>
        <v>1410824</v>
      </c>
      <c r="L18" s="44">
        <f>'Kitsap Pgs 34-35'!J56</f>
        <v>-305805</v>
      </c>
      <c r="M18" s="67">
        <f t="shared" si="0"/>
        <v>12929476</v>
      </c>
      <c r="N18"/>
    </row>
    <row r="19" spans="1:20" ht="15.75" customHeight="1" x14ac:dyDescent="0.35">
      <c r="A19" s="93" t="s">
        <v>94</v>
      </c>
      <c r="B19" s="153" t="str">
        <f>'Kittitas Pgs 36-37'!K2</f>
        <v>Accrual</v>
      </c>
      <c r="C19" s="72">
        <f>'Kittitas Pgs 36-37'!C1</f>
        <v>43710</v>
      </c>
      <c r="D19" s="149">
        <f>'Kittitas Pgs 36-37'!C2</f>
        <v>17.899999999999999</v>
      </c>
      <c r="E19" s="44">
        <f>'Kittitas Pgs 36-37'!C56</f>
        <v>320749</v>
      </c>
      <c r="F19" s="44">
        <f>'Kittitas Pgs 36-37'!D56</f>
        <v>562380</v>
      </c>
      <c r="G19" s="44">
        <f>'Kittitas Pgs 36-37'!E56</f>
        <v>0</v>
      </c>
      <c r="H19" s="44">
        <f>'Kittitas Pgs 36-37'!F56</f>
        <v>220718</v>
      </c>
      <c r="I19" s="44">
        <f>'Kittitas Pgs 36-37'!G56</f>
        <v>89547</v>
      </c>
      <c r="J19" s="44">
        <f>'Kittitas Pgs 36-37'!H56</f>
        <v>96829</v>
      </c>
      <c r="K19" s="44">
        <f>'Kittitas Pgs 36-37'!I56</f>
        <v>121568</v>
      </c>
      <c r="L19" s="44">
        <f>'Kittitas Pgs 36-37'!J56</f>
        <v>62563</v>
      </c>
      <c r="M19" s="67">
        <f t="shared" si="0"/>
        <v>1474354</v>
      </c>
      <c r="N19"/>
    </row>
    <row r="20" spans="1:20" ht="15.75" customHeight="1" x14ac:dyDescent="0.35">
      <c r="A20" s="93" t="s">
        <v>95</v>
      </c>
      <c r="B20" s="153" t="str">
        <f>'Klickitat Pgs 38-39'!K2</f>
        <v>Accrual</v>
      </c>
      <c r="C20" s="72">
        <f>'Klickitat Pgs 38-39'!C1</f>
        <v>21270</v>
      </c>
      <c r="D20" s="149">
        <f>'Klickitat Pgs 38-39'!C2</f>
        <v>15.6</v>
      </c>
      <c r="E20" s="44">
        <f>'Klickitat Pgs 38-39'!C56</f>
        <v>374147</v>
      </c>
      <c r="F20" s="44">
        <f>'Klickitat Pgs 38-39'!D56</f>
        <v>398482</v>
      </c>
      <c r="G20" s="44">
        <f>'Klickitat Pgs 38-39'!E56</f>
        <v>38662</v>
      </c>
      <c r="H20" s="44">
        <f>'Klickitat Pgs 38-39'!F56</f>
        <v>153784</v>
      </c>
      <c r="I20" s="44">
        <f>'Klickitat Pgs 38-39'!G56</f>
        <v>159044</v>
      </c>
      <c r="J20" s="44">
        <f>'Klickitat Pgs 38-39'!H56</f>
        <v>234056</v>
      </c>
      <c r="K20" s="44">
        <f>'Klickitat Pgs 38-39'!I56</f>
        <v>99876</v>
      </c>
      <c r="L20" s="44">
        <f>'Klickitat Pgs 38-39'!J56</f>
        <v>41850</v>
      </c>
      <c r="M20" s="67">
        <f t="shared" si="0"/>
        <v>1499901</v>
      </c>
      <c r="N20"/>
    </row>
    <row r="21" spans="1:20" ht="15.75" customHeight="1" x14ac:dyDescent="0.35">
      <c r="A21" s="93" t="s">
        <v>96</v>
      </c>
      <c r="B21" s="153" t="str">
        <f>'Lewis Pgs 40-41'!K2</f>
        <v>Accrual</v>
      </c>
      <c r="C21" s="72">
        <f>'Lewis Pgs 40-41'!C1</f>
        <v>76890</v>
      </c>
      <c r="D21" s="150">
        <f>'Lewis Pgs 40-41'!C2</f>
        <v>37.200000000000003</v>
      </c>
      <c r="E21" s="44">
        <f>'Lewis Pgs 40-41'!C56</f>
        <v>781730</v>
      </c>
      <c r="F21" s="44">
        <f>'Lewis Pgs 40-41'!D56</f>
        <v>1965579</v>
      </c>
      <c r="G21" s="44">
        <f>'Lewis Pgs 40-41'!E56</f>
        <v>0</v>
      </c>
      <c r="H21" s="44">
        <f>'Lewis Pgs 40-41'!F56</f>
        <v>263134</v>
      </c>
      <c r="I21" s="44">
        <f>'Lewis Pgs 40-41'!G56</f>
        <v>710184</v>
      </c>
      <c r="J21" s="44">
        <f>'Lewis Pgs 40-41'!H56</f>
        <v>817426</v>
      </c>
      <c r="K21" s="44">
        <f>'Lewis Pgs 40-41'!I56</f>
        <v>398177</v>
      </c>
      <c r="L21" s="44">
        <f>'Lewis Pgs 40-41'!J56</f>
        <v>13078</v>
      </c>
      <c r="M21" s="67">
        <f t="shared" si="0"/>
        <v>4949308</v>
      </c>
      <c r="N21"/>
    </row>
    <row r="22" spans="1:20" ht="15.75" customHeight="1" x14ac:dyDescent="0.35">
      <c r="A22" s="93" t="s">
        <v>97</v>
      </c>
      <c r="B22" s="153" t="str">
        <f>'Lincoln Pgs 42-43'!K2</f>
        <v>Accrual</v>
      </c>
      <c r="C22" s="72">
        <f>'Lincoln Pgs 42-43'!C1</f>
        <v>10640</v>
      </c>
      <c r="D22" s="150">
        <f>'Lincoln Pgs 42-43'!C2</f>
        <v>5.5</v>
      </c>
      <c r="E22" s="44">
        <f>'Lincoln Pgs 42-43'!C56</f>
        <v>95486</v>
      </c>
      <c r="F22" s="44">
        <f>'Lincoln Pgs 42-43'!D56</f>
        <v>115594</v>
      </c>
      <c r="G22" s="44">
        <f>'Lincoln Pgs 42-43'!E56</f>
        <v>0</v>
      </c>
      <c r="H22" s="44">
        <f>'Lincoln Pgs 42-43'!F56</f>
        <v>113917</v>
      </c>
      <c r="I22" s="44">
        <f>'Lincoln Pgs 42-43'!G56</f>
        <v>39957</v>
      </c>
      <c r="J22" s="44">
        <f>'Lincoln Pgs 42-43'!H56</f>
        <v>114445</v>
      </c>
      <c r="K22" s="44">
        <f>'Lincoln Pgs 42-43'!I56</f>
        <v>13643</v>
      </c>
      <c r="L22" s="44">
        <f>'Lincoln Pgs 42-43'!J56</f>
        <v>5342</v>
      </c>
      <c r="M22" s="67">
        <f t="shared" si="0"/>
        <v>498384</v>
      </c>
      <c r="N22"/>
    </row>
    <row r="23" spans="1:20" ht="15.75" customHeight="1" x14ac:dyDescent="0.35">
      <c r="A23" s="93" t="s">
        <v>98</v>
      </c>
      <c r="B23" s="153" t="str">
        <f>'Mason Pgs 44-45'!K2</f>
        <v>Accrual</v>
      </c>
      <c r="C23" s="72">
        <f>'Mason Pgs 44-45'!C1</f>
        <v>62320</v>
      </c>
      <c r="D23" s="150">
        <f>'Mason Pgs 44-45'!C2</f>
        <v>19.25</v>
      </c>
      <c r="E23" s="44">
        <f>'Mason Pgs 44-45'!C56</f>
        <v>542276</v>
      </c>
      <c r="F23" s="44">
        <f>'Mason Pgs 44-45'!D56</f>
        <v>552677</v>
      </c>
      <c r="G23" s="44">
        <f>'Mason Pgs 44-45'!E56</f>
        <v>38550</v>
      </c>
      <c r="H23" s="44">
        <f>'Mason Pgs 44-45'!F56</f>
        <v>227448</v>
      </c>
      <c r="I23" s="44">
        <f>'Mason Pgs 44-45'!G56</f>
        <v>137528</v>
      </c>
      <c r="J23" s="44">
        <f>'Mason Pgs 44-45'!H56</f>
        <v>284485</v>
      </c>
      <c r="K23" s="44">
        <f>'Mason Pgs 44-45'!I56</f>
        <v>294770</v>
      </c>
      <c r="L23" s="44">
        <f>'Mason Pgs 44-45'!J56</f>
        <v>3292</v>
      </c>
      <c r="M23" s="67">
        <f t="shared" si="0"/>
        <v>2081026</v>
      </c>
      <c r="N23"/>
    </row>
    <row r="24" spans="1:20" ht="15.75" customHeight="1" x14ac:dyDescent="0.35">
      <c r="A24" s="93" t="s">
        <v>99</v>
      </c>
      <c r="B24" s="153" t="str">
        <f>'Northeast Tri Pgs 46-47'!K2</f>
        <v>Accrual</v>
      </c>
      <c r="C24" s="72">
        <f>'Northeast Tri Pgs 46-47'!C1</f>
        <v>65090</v>
      </c>
      <c r="D24" s="150">
        <f>'Northeast Tri Pgs 46-47'!C2</f>
        <v>20.87</v>
      </c>
      <c r="E24" s="44">
        <f>'Northeast Tri Pgs 46-47'!C56</f>
        <v>790873</v>
      </c>
      <c r="F24" s="44">
        <f>'Northeast Tri Pgs 46-47'!D56</f>
        <v>382179</v>
      </c>
      <c r="G24" s="44">
        <f>'Northeast Tri Pgs 46-47'!E56</f>
        <v>45594</v>
      </c>
      <c r="H24" s="44">
        <f>'Northeast Tri Pgs 46-47'!F56</f>
        <v>249303</v>
      </c>
      <c r="I24" s="44">
        <f>'Northeast Tri Pgs 46-47'!G56</f>
        <v>86585</v>
      </c>
      <c r="J24" s="44">
        <f>'Northeast Tri Pgs 46-47'!H56</f>
        <v>411232</v>
      </c>
      <c r="K24" s="44">
        <f>'Northeast Tri Pgs 46-47'!I56</f>
        <v>48717</v>
      </c>
      <c r="L24" s="44">
        <f>'Northeast Tri Pgs 46-47'!J56</f>
        <v>7645</v>
      </c>
      <c r="M24" s="67">
        <f t="shared" si="0"/>
        <v>2022128</v>
      </c>
      <c r="N24"/>
    </row>
    <row r="25" spans="1:20" ht="15.75" customHeight="1" x14ac:dyDescent="0.35">
      <c r="A25" s="93" t="s">
        <v>100</v>
      </c>
      <c r="B25" s="153" t="str">
        <f>'Okanogan Pgs 48-49'!K2</f>
        <v>Cash</v>
      </c>
      <c r="C25" s="72">
        <f>'Okanogan Pgs 48-49'!C1</f>
        <v>41730</v>
      </c>
      <c r="D25" s="149">
        <f>'Okanogan Pgs 48-49'!C2</f>
        <v>11.27</v>
      </c>
      <c r="E25" s="44">
        <f>'Okanogan Pgs 48-49'!C56</f>
        <v>135000</v>
      </c>
      <c r="F25" s="44">
        <f>'Okanogan Pgs 48-49'!D56</f>
        <v>413219</v>
      </c>
      <c r="G25" s="44">
        <f>'Okanogan Pgs 48-49'!E56</f>
        <v>0</v>
      </c>
      <c r="H25" s="44">
        <f>'Okanogan Pgs 48-49'!F56</f>
        <v>169881</v>
      </c>
      <c r="I25" s="44">
        <f>'Okanogan Pgs 48-49'!G56</f>
        <v>95788</v>
      </c>
      <c r="J25" s="44">
        <f>'Okanogan Pgs 48-49'!H56</f>
        <v>116315</v>
      </c>
      <c r="K25" s="44">
        <f>'Okanogan Pgs 48-49'!I56</f>
        <v>94952</v>
      </c>
      <c r="L25" s="44">
        <f>'Okanogan Pgs 48-49'!J56</f>
        <v>15881</v>
      </c>
      <c r="M25" s="67">
        <f t="shared" si="0"/>
        <v>1041036</v>
      </c>
      <c r="N25"/>
    </row>
    <row r="26" spans="1:20" ht="15.75" customHeight="1" x14ac:dyDescent="0.35">
      <c r="A26" s="93" t="s">
        <v>101</v>
      </c>
      <c r="B26" s="153" t="str">
        <f>'Pacific Pgs 50-51'!K2</f>
        <v>Cash</v>
      </c>
      <c r="C26" s="72">
        <f>'Pacific Pgs 50-51'!C1</f>
        <v>21180</v>
      </c>
      <c r="D26" s="150">
        <f>'Pacific Pgs 50-51'!C2</f>
        <v>15.58</v>
      </c>
      <c r="E26" s="44">
        <f>'Pacific Pgs 50-51'!C56</f>
        <v>98650</v>
      </c>
      <c r="F26" s="44">
        <f>'Pacific Pgs 50-51'!D56</f>
        <v>6610</v>
      </c>
      <c r="G26" s="44">
        <f>'Pacific Pgs 50-51'!E56</f>
        <v>16657</v>
      </c>
      <c r="H26" s="44">
        <f>'Pacific Pgs 50-51'!F56</f>
        <v>177626</v>
      </c>
      <c r="I26" s="44">
        <f>'Pacific Pgs 50-51'!G56</f>
        <v>4848</v>
      </c>
      <c r="J26" s="44">
        <f>'Pacific Pgs 50-51'!H56</f>
        <v>398977</v>
      </c>
      <c r="K26" s="44">
        <f>'Pacific Pgs 50-51'!I56</f>
        <v>26476</v>
      </c>
      <c r="L26" s="44">
        <f>'Pacific Pgs 50-51'!J56</f>
        <v>1387</v>
      </c>
      <c r="M26" s="67">
        <f t="shared" si="0"/>
        <v>731231</v>
      </c>
      <c r="N26"/>
    </row>
    <row r="27" spans="1:20" ht="15.75" customHeight="1" x14ac:dyDescent="0.35">
      <c r="A27" s="93" t="s">
        <v>102</v>
      </c>
      <c r="B27" s="153" t="str">
        <f>'San Juan Pgs 52-53'!K2</f>
        <v>Cash</v>
      </c>
      <c r="C27" s="72">
        <f>'San Juan Pgs 52-53'!C1</f>
        <v>16320</v>
      </c>
      <c r="D27" s="150">
        <f>'San Juan Pgs 52-53'!C2</f>
        <v>25.6</v>
      </c>
      <c r="E27" s="44">
        <f>'San Juan Pgs 52-53'!C56</f>
        <v>1480415</v>
      </c>
      <c r="F27" s="44">
        <f>'San Juan Pgs 52-53'!D56</f>
        <v>904234</v>
      </c>
      <c r="G27" s="44">
        <f>'San Juan Pgs 52-53'!E56</f>
        <v>71991</v>
      </c>
      <c r="H27" s="44">
        <f>'San Juan Pgs 52-53'!F56</f>
        <v>126570</v>
      </c>
      <c r="I27" s="44">
        <f>'San Juan Pgs 52-53'!G56</f>
        <v>773215</v>
      </c>
      <c r="J27" s="44">
        <f>'San Juan Pgs 52-53'!H56</f>
        <v>196547</v>
      </c>
      <c r="K27" s="44">
        <f>'San Juan Pgs 52-53'!I56</f>
        <v>227248</v>
      </c>
      <c r="L27" s="44">
        <f>'San Juan Pgs 52-53'!J56</f>
        <v>8669</v>
      </c>
      <c r="M27" s="67">
        <f t="shared" si="0"/>
        <v>3788889</v>
      </c>
      <c r="N27"/>
    </row>
    <row r="28" spans="1:20" ht="15.75" customHeight="1" x14ac:dyDescent="0.35">
      <c r="A28" s="93" t="s">
        <v>103</v>
      </c>
      <c r="B28" s="153" t="str">
        <f>'Seattle-King Pgs 54-55'!K2</f>
        <v>Accrual</v>
      </c>
      <c r="C28" s="72">
        <f>'Seattle-King Pgs 54-55'!C1</f>
        <v>2105100</v>
      </c>
      <c r="D28" s="149">
        <f>'Seattle-King Pgs 54-55'!C2</f>
        <v>1344</v>
      </c>
      <c r="E28" s="44">
        <f>'Seattle-King Pgs 54-55'!C56</f>
        <v>55620104</v>
      </c>
      <c r="F28" s="44">
        <f>'Seattle-King Pgs 54-55'!D56</f>
        <v>78642924</v>
      </c>
      <c r="G28" s="44">
        <f>'Seattle-King Pgs 54-55'!E56</f>
        <v>6220605</v>
      </c>
      <c r="H28" s="44">
        <f>'Seattle-King Pgs 54-55'!F56</f>
        <v>12685523</v>
      </c>
      <c r="I28" s="44">
        <f>'Seattle-King Pgs 54-55'!G56</f>
        <v>2429712</v>
      </c>
      <c r="J28" s="44">
        <f>'Seattle-King Pgs 54-55'!H56</f>
        <v>18635607</v>
      </c>
      <c r="K28" s="44">
        <f>'Seattle-King Pgs 54-55'!I56</f>
        <v>28711202</v>
      </c>
      <c r="L28" s="44">
        <f>'Seattle-King Pgs 54-55'!J56</f>
        <v>9476571</v>
      </c>
      <c r="M28" s="67">
        <f t="shared" si="0"/>
        <v>212422248</v>
      </c>
      <c r="N28"/>
    </row>
    <row r="29" spans="1:20" ht="15.75" customHeight="1" x14ac:dyDescent="0.35">
      <c r="A29" s="93" t="s">
        <v>104</v>
      </c>
      <c r="B29" s="153" t="str">
        <f>'Skagit Pgs 56-57'!K2</f>
        <v>Accrual</v>
      </c>
      <c r="C29" s="72">
        <f>'Skagit Pgs 56-57'!C1</f>
        <v>122270</v>
      </c>
      <c r="D29" s="149">
        <f>'Skagit Pgs 56-57'!C2</f>
        <v>25.841000000000001</v>
      </c>
      <c r="E29" s="44">
        <f>'Skagit Pgs 56-57'!C56</f>
        <v>1401980</v>
      </c>
      <c r="F29" s="44">
        <f>'Skagit Pgs 56-57'!D56</f>
        <v>1007589</v>
      </c>
      <c r="G29" s="44">
        <f>'Skagit Pgs 56-57'!E56</f>
        <v>27240</v>
      </c>
      <c r="H29" s="44">
        <f>'Skagit Pgs 56-57'!F56</f>
        <v>449745</v>
      </c>
      <c r="I29" s="44">
        <f>'Skagit Pgs 56-57'!G56</f>
        <v>199653</v>
      </c>
      <c r="J29" s="44">
        <f>'Skagit Pgs 56-57'!H56</f>
        <v>376021</v>
      </c>
      <c r="K29" s="44">
        <f>'Skagit Pgs 56-57'!I56</f>
        <v>558468.87</v>
      </c>
      <c r="L29" s="44">
        <f>'Skagit Pgs 56-57'!J56</f>
        <v>102765</v>
      </c>
      <c r="M29" s="67">
        <f t="shared" si="0"/>
        <v>4123461.87</v>
      </c>
      <c r="N29">
        <f>'San Juan Pgs 52-53'!L58</f>
        <v>0</v>
      </c>
      <c r="O29">
        <f>'San Juan Pgs 52-53'!M58</f>
        <v>0</v>
      </c>
      <c r="P29">
        <f>'San Juan Pgs 52-53'!N58</f>
        <v>0</v>
      </c>
      <c r="Q29">
        <f>'San Juan Pgs 52-53'!O58</f>
        <v>0</v>
      </c>
      <c r="R29">
        <f>'San Juan Pgs 52-53'!P58</f>
        <v>0</v>
      </c>
      <c r="S29">
        <f>'San Juan Pgs 52-53'!Q58</f>
        <v>0</v>
      </c>
      <c r="T29">
        <f t="shared" ref="T29" si="1">SUM(L29:S29)</f>
        <v>4226226.87</v>
      </c>
    </row>
    <row r="30" spans="1:20" ht="15.75" customHeight="1" x14ac:dyDescent="0.35">
      <c r="A30" s="93" t="s">
        <v>105</v>
      </c>
      <c r="B30" s="153" t="str">
        <f>'Skamania Pgs 58-59'!K2</f>
        <v>Cash</v>
      </c>
      <c r="C30" s="72">
        <f>'Skamania Pgs 58-59'!C1</f>
        <v>11500</v>
      </c>
      <c r="D30" s="150">
        <f>'Skamania Pgs 58-59'!C2</f>
        <v>2.06</v>
      </c>
      <c r="E30" s="44">
        <f>'Skamania Pgs 58-59'!C56</f>
        <v>115699</v>
      </c>
      <c r="F30" s="44">
        <f>'Skamania Pgs 58-59'!D56</f>
        <v>936724</v>
      </c>
      <c r="G30" s="44">
        <f>'Skamania Pgs 58-59'!E56</f>
        <v>11949</v>
      </c>
      <c r="H30" s="44">
        <f>'Skamania Pgs 58-59'!F56</f>
        <v>98249</v>
      </c>
      <c r="I30" s="44">
        <f>'Skamania Pgs 58-59'!G56</f>
        <v>285927</v>
      </c>
      <c r="J30" s="44">
        <f>'Skamania Pgs 58-59'!H56</f>
        <v>101258</v>
      </c>
      <c r="K30" s="44">
        <f>'Skamania Pgs 58-59'!I56</f>
        <v>17288</v>
      </c>
      <c r="L30" s="44">
        <f>'Skamania Pgs 58-59'!J56</f>
        <v>6282</v>
      </c>
      <c r="M30" s="67">
        <f t="shared" si="0"/>
        <v>1573376</v>
      </c>
      <c r="N30"/>
    </row>
    <row r="31" spans="1:20" ht="15.75" customHeight="1" x14ac:dyDescent="0.35">
      <c r="A31" s="93" t="s">
        <v>106</v>
      </c>
      <c r="B31" s="153" t="str">
        <f>'Snohomish Pgs 60-61'!K2</f>
        <v>Accrual</v>
      </c>
      <c r="C31" s="72">
        <f>'Snohomish Pgs 60-61'!C1</f>
        <v>772860</v>
      </c>
      <c r="D31" s="150">
        <f>'Snohomish Pgs 60-61'!C2</f>
        <v>128.80000000000001</v>
      </c>
      <c r="E31" s="44">
        <f>'Snohomish Pgs 60-61'!C56</f>
        <v>2694913</v>
      </c>
      <c r="F31" s="44">
        <f>'Snohomish Pgs 60-61'!D56</f>
        <v>6416304</v>
      </c>
      <c r="G31" s="44">
        <f>'Snohomish Pgs 60-61'!E56</f>
        <v>258829</v>
      </c>
      <c r="H31" s="44">
        <f>'Snohomish Pgs 60-61'!F56</f>
        <v>3433292</v>
      </c>
      <c r="I31" s="44">
        <f>'Snohomish Pgs 60-61'!G56</f>
        <v>623291</v>
      </c>
      <c r="J31" s="44">
        <f>'Snohomish Pgs 60-61'!H56</f>
        <v>3061555</v>
      </c>
      <c r="K31" s="44">
        <f>'Snohomish Pgs 60-61'!I56</f>
        <v>156304</v>
      </c>
      <c r="L31" s="44">
        <f>'Snohomish Pgs 60-61'!J56</f>
        <v>-707932</v>
      </c>
      <c r="M31" s="67">
        <f t="shared" si="0"/>
        <v>15936556</v>
      </c>
      <c r="N31"/>
    </row>
    <row r="32" spans="1:20" ht="15.75" customHeight="1" x14ac:dyDescent="0.35">
      <c r="A32" s="93" t="s">
        <v>107</v>
      </c>
      <c r="B32" s="153" t="str">
        <f>'Spokane Pgs 62-63'!K2</f>
        <v>Accrual</v>
      </c>
      <c r="C32" s="72">
        <f>'Spokane Pgs 62-63'!C1</f>
        <v>492530</v>
      </c>
      <c r="D32" s="150">
        <f>'Spokane Pgs 62-63'!C2</f>
        <v>217.88</v>
      </c>
      <c r="E32" s="44">
        <f>'Spokane Pgs 62-63'!C56</f>
        <v>2503150</v>
      </c>
      <c r="F32" s="44">
        <f>'Spokane Pgs 62-63'!D56</f>
        <v>7104475</v>
      </c>
      <c r="G32" s="44">
        <f>'Spokane Pgs 62-63'!E56</f>
        <v>982435</v>
      </c>
      <c r="H32" s="44">
        <f>'Spokane Pgs 62-63'!F56</f>
        <v>2877317</v>
      </c>
      <c r="I32" s="44">
        <f>'Spokane Pgs 62-63'!G56</f>
        <v>5060454</v>
      </c>
      <c r="J32" s="44">
        <f>'Spokane Pgs 62-63'!H56</f>
        <v>4492092</v>
      </c>
      <c r="K32" s="44">
        <f>'Spokane Pgs 62-63'!I56</f>
        <v>2602067</v>
      </c>
      <c r="L32" s="44">
        <f>'Spokane Pgs 62-63'!J56</f>
        <v>207634</v>
      </c>
      <c r="M32" s="67">
        <f t="shared" si="0"/>
        <v>25829624</v>
      </c>
      <c r="N32"/>
    </row>
    <row r="33" spans="1:14" ht="15.75" customHeight="1" x14ac:dyDescent="0.35">
      <c r="A33" s="93" t="s">
        <v>108</v>
      </c>
      <c r="B33" s="153" t="str">
        <f>'Tacoma-Pierce Pgs 64-65'!K2</f>
        <v>Accrual</v>
      </c>
      <c r="C33" s="72">
        <f>'Tacoma-Pierce Pgs 64-65'!C1</f>
        <v>844490</v>
      </c>
      <c r="D33" s="149">
        <f>'Tacoma-Pierce Pgs 64-65'!C2</f>
        <v>261.35000000000002</v>
      </c>
      <c r="E33" s="44">
        <f>'Tacoma-Pierce Pgs 64-65'!C56</f>
        <v>4670241</v>
      </c>
      <c r="F33" s="44">
        <f>'Tacoma-Pierce Pgs 64-65'!D56</f>
        <v>13369674</v>
      </c>
      <c r="G33" s="44">
        <f>'Tacoma-Pierce Pgs 64-65'!E56</f>
        <v>761417</v>
      </c>
      <c r="H33" s="44">
        <f>'Tacoma-Pierce Pgs 64-65'!F56</f>
        <v>4143171</v>
      </c>
      <c r="I33" s="44">
        <f>'Tacoma-Pierce Pgs 64-65'!G56</f>
        <v>2090377</v>
      </c>
      <c r="J33" s="44">
        <f>'Tacoma-Pierce Pgs 64-65'!H56</f>
        <v>3076401</v>
      </c>
      <c r="K33" s="44">
        <f>'Tacoma-Pierce Pgs 64-65'!I56</f>
        <v>2839170</v>
      </c>
      <c r="L33" s="44">
        <f>'Tacoma-Pierce Pgs 64-65'!J56</f>
        <v>1181791</v>
      </c>
      <c r="M33" s="67">
        <f t="shared" si="0"/>
        <v>32132242</v>
      </c>
      <c r="N33"/>
    </row>
    <row r="34" spans="1:14" ht="15.75" customHeight="1" x14ac:dyDescent="0.35">
      <c r="A34" s="93" t="s">
        <v>109</v>
      </c>
      <c r="B34" s="153" t="str">
        <f>'Thurston Pgs 66-67'!K2</f>
        <v>Accrual</v>
      </c>
      <c r="C34" s="72">
        <f>'Thurston Pgs 66-67'!C1</f>
        <v>272690</v>
      </c>
      <c r="D34" s="149">
        <f>'Thurston Pgs 66-67'!C2</f>
        <v>77.2</v>
      </c>
      <c r="E34" s="44">
        <f>'Thurston Pgs 66-67'!C56</f>
        <v>936886</v>
      </c>
      <c r="F34" s="44">
        <f>'Thurston Pgs 66-67'!D56</f>
        <v>4012373</v>
      </c>
      <c r="G34" s="44">
        <f>'Thurston Pgs 66-67'!E56</f>
        <v>88849</v>
      </c>
      <c r="H34" s="44">
        <f>'Thurston Pgs 66-67'!F56</f>
        <v>1046897</v>
      </c>
      <c r="I34" s="44">
        <f>'Thurston Pgs 66-67'!G56</f>
        <v>801308</v>
      </c>
      <c r="J34" s="44">
        <f>'Thurston Pgs 66-67'!H56</f>
        <v>627021</v>
      </c>
      <c r="K34" s="44">
        <f>'Thurston Pgs 66-67'!I56</f>
        <v>341688</v>
      </c>
      <c r="L34" s="44">
        <f>'Thurston Pgs 66-67'!J56</f>
        <v>5309</v>
      </c>
      <c r="M34" s="67">
        <f t="shared" si="0"/>
        <v>7860331</v>
      </c>
      <c r="N34"/>
    </row>
    <row r="35" spans="1:14" ht="15.75" customHeight="1" x14ac:dyDescent="0.35">
      <c r="A35" s="93" t="s">
        <v>110</v>
      </c>
      <c r="B35" s="153" t="str">
        <f>'Wahkiakum Pgs 68-69'!K2</f>
        <v>Cash</v>
      </c>
      <c r="C35" s="72">
        <f>'Wahkiakum Pgs 68-69'!C1</f>
        <v>4000</v>
      </c>
      <c r="D35" s="149">
        <f>'Wahkiakum Pgs 68-69'!C2</f>
        <v>3.25</v>
      </c>
      <c r="E35" s="44">
        <f>'Wahkiakum Pgs 68-69'!C56</f>
        <v>67382</v>
      </c>
      <c r="F35" s="44">
        <f>'Wahkiakum Pgs 68-69'!D56</f>
        <v>39308</v>
      </c>
      <c r="G35" s="44">
        <f>'Wahkiakum Pgs 68-69'!E56</f>
        <v>0</v>
      </c>
      <c r="H35" s="44">
        <f>'Wahkiakum Pgs 68-69'!F56</f>
        <v>93181</v>
      </c>
      <c r="I35" s="44">
        <f>'Wahkiakum Pgs 68-69'!G56</f>
        <v>34823</v>
      </c>
      <c r="J35" s="44">
        <f>'Wahkiakum Pgs 68-69'!H56</f>
        <v>78300</v>
      </c>
      <c r="K35" s="44">
        <f>'Wahkiakum Pgs 68-69'!I56</f>
        <v>0</v>
      </c>
      <c r="L35" s="44">
        <f>'Wahkiakum Pgs 68-69'!J56</f>
        <v>235</v>
      </c>
      <c r="M35" s="67">
        <f t="shared" si="0"/>
        <v>313229</v>
      </c>
      <c r="N35"/>
    </row>
    <row r="36" spans="1:14" ht="15.75" customHeight="1" x14ac:dyDescent="0.35">
      <c r="A36" s="93" t="s">
        <v>111</v>
      </c>
      <c r="B36" s="153" t="str">
        <f>'Walla Walla Pgs 70-71'!K2</f>
        <v>Accrual</v>
      </c>
      <c r="C36" s="72">
        <f>'Walla Walla Pgs 70-71'!C1</f>
        <v>60730</v>
      </c>
      <c r="D36" s="149">
        <f>'Walla Walla Pgs 70-71'!C2</f>
        <v>18.25</v>
      </c>
      <c r="E36" s="44">
        <f>'Walla Walla Pgs 70-71'!C56</f>
        <v>395000</v>
      </c>
      <c r="F36" s="44">
        <f>'Walla Walla Pgs 70-71'!D56</f>
        <v>148207</v>
      </c>
      <c r="G36" s="44">
        <f>'Walla Walla Pgs 70-71'!E56</f>
        <v>0</v>
      </c>
      <c r="H36" s="44">
        <f>'Walla Walla Pgs 70-71'!F56</f>
        <v>302173</v>
      </c>
      <c r="I36" s="44">
        <f>'Walla Walla Pgs 70-71'!G56</f>
        <v>141562</v>
      </c>
      <c r="J36" s="44">
        <f>'Walla Walla Pgs 70-71'!H56</f>
        <v>324152</v>
      </c>
      <c r="K36" s="44">
        <f>'Walla Walla Pgs 70-71'!I56</f>
        <v>12310</v>
      </c>
      <c r="L36" s="44">
        <f>'Walla Walla Pgs 70-71'!J56</f>
        <v>16900</v>
      </c>
      <c r="M36" s="67">
        <f t="shared" si="0"/>
        <v>1340304</v>
      </c>
      <c r="N36"/>
    </row>
    <row r="37" spans="1:14" ht="15.75" customHeight="1" x14ac:dyDescent="0.35">
      <c r="A37" s="93" t="s">
        <v>112</v>
      </c>
      <c r="B37" s="153" t="str">
        <f>'Whatcom Pgs 72-73'!K2</f>
        <v>Accrual</v>
      </c>
      <c r="C37" s="72">
        <f>'Whatcom Pgs 72-73'!C1</f>
        <v>212540</v>
      </c>
      <c r="D37" s="150">
        <f>'Whatcom Pgs 72-73'!C2</f>
        <v>75.349999999999994</v>
      </c>
      <c r="E37" s="44">
        <f>'Whatcom Pgs 72-73'!C56</f>
        <v>2187582.85</v>
      </c>
      <c r="F37" s="44">
        <f>'Whatcom Pgs 72-73'!D56</f>
        <v>8364897</v>
      </c>
      <c r="G37" s="44">
        <f>'Whatcom Pgs 72-73'!E56</f>
        <v>38545</v>
      </c>
      <c r="H37" s="44">
        <f>'Whatcom Pgs 72-73'!F56</f>
        <v>1214301</v>
      </c>
      <c r="I37" s="44">
        <f>'Whatcom Pgs 72-73'!G56</f>
        <v>5540161</v>
      </c>
      <c r="J37" s="44">
        <f>'Whatcom Pgs 72-73'!H56</f>
        <v>711259</v>
      </c>
      <c r="K37" s="44">
        <f>'Whatcom Pgs 72-73'!I56</f>
        <v>610468</v>
      </c>
      <c r="L37" s="44">
        <f>'Whatcom Pgs 72-73'!J56</f>
        <v>376124</v>
      </c>
      <c r="M37" s="67">
        <f t="shared" si="0"/>
        <v>19043337.850000001</v>
      </c>
      <c r="N37"/>
    </row>
    <row r="38" spans="1:14" ht="15.75" customHeight="1" x14ac:dyDescent="0.35">
      <c r="A38" s="185" t="s">
        <v>113</v>
      </c>
      <c r="B38" s="153" t="str">
        <f>'Whitman Pgs 74-75'!K2</f>
        <v>Cash</v>
      </c>
      <c r="C38" s="72">
        <f>'Whitman Pgs 74-75'!C1</f>
        <v>47940</v>
      </c>
      <c r="D38" s="149">
        <f>'Whitman Pgs 74-75'!C2</f>
        <v>10.6</v>
      </c>
      <c r="E38" s="44">
        <f>'Whitman Pgs 74-75'!C56</f>
        <v>197655</v>
      </c>
      <c r="F38" s="44">
        <f>'Whitman Pgs 74-75'!D56</f>
        <v>215004</v>
      </c>
      <c r="G38" s="44">
        <f>'Whitman Pgs 74-75'!E56</f>
        <v>0</v>
      </c>
      <c r="H38" s="44">
        <f>'Whitman Pgs 74-75'!F56</f>
        <v>189355</v>
      </c>
      <c r="I38" s="44">
        <f>'Whitman Pgs 74-75'!G56</f>
        <v>23476</v>
      </c>
      <c r="J38" s="44">
        <f>'Whitman Pgs 74-75'!H56</f>
        <v>204730</v>
      </c>
      <c r="K38" s="44">
        <f>'Whitman Pgs 74-75'!I56</f>
        <v>0</v>
      </c>
      <c r="L38" s="44">
        <f>'Whitman Pgs 74-75'!J56</f>
        <v>5378</v>
      </c>
      <c r="M38" s="67">
        <f t="shared" si="0"/>
        <v>835598</v>
      </c>
      <c r="N38"/>
    </row>
    <row r="39" spans="1:14" ht="15.75" customHeight="1" x14ac:dyDescent="0.35">
      <c r="A39" s="185" t="s">
        <v>114</v>
      </c>
      <c r="B39" s="153" t="str">
        <f>'Yakima Pgs 76-77'!K2</f>
        <v>Accrual</v>
      </c>
      <c r="C39" s="72">
        <f>'Yakima Pgs 76-77'!C1</f>
        <v>250900</v>
      </c>
      <c r="D39" s="149">
        <f>'Yakima Pgs 76-77'!C2</f>
        <v>24.91</v>
      </c>
      <c r="E39" s="44">
        <f>'Yakima Pgs 76-77'!C56</f>
        <v>162598</v>
      </c>
      <c r="F39" s="44">
        <f>'Yakima Pgs 76-77'!D56</f>
        <v>3273285</v>
      </c>
      <c r="G39" s="44">
        <f>'Yakima Pgs 76-77'!E56</f>
        <v>116068</v>
      </c>
      <c r="H39" s="44">
        <f>'Yakima Pgs 76-77'!F56</f>
        <v>1052482</v>
      </c>
      <c r="I39" s="44">
        <f>'Yakima Pgs 76-77'!G56</f>
        <v>69974</v>
      </c>
      <c r="J39" s="44">
        <f>'Yakima Pgs 76-77'!H56</f>
        <v>599670</v>
      </c>
      <c r="K39" s="44">
        <f>'Yakima Pgs 76-77'!I56</f>
        <v>25445</v>
      </c>
      <c r="L39" s="44">
        <f>'Yakima Pgs 76-77'!J56</f>
        <v>-89571</v>
      </c>
      <c r="M39" s="67">
        <f t="shared" si="0"/>
        <v>5209951</v>
      </c>
      <c r="N39"/>
    </row>
    <row r="40" spans="1:14" ht="19.25" customHeight="1" thickBot="1" x14ac:dyDescent="0.4">
      <c r="A40" s="194" t="s">
        <v>42</v>
      </c>
      <c r="B40" s="186"/>
      <c r="C40" s="184">
        <f t="shared" ref="C40:L40" si="2">SUM(C5:C39)</f>
        <v>7183700</v>
      </c>
      <c r="D40" s="151">
        <f t="shared" si="2"/>
        <v>2874.7649999999999</v>
      </c>
      <c r="E40" s="62">
        <f>SUM(E5:E39)</f>
        <v>86381447.349999994</v>
      </c>
      <c r="F40" s="61">
        <f>SUM(F5:F39)</f>
        <v>147056460</v>
      </c>
      <c r="G40" s="59">
        <f t="shared" si="2"/>
        <v>10850512</v>
      </c>
      <c r="H40" s="60">
        <f t="shared" si="2"/>
        <v>36060026</v>
      </c>
      <c r="I40" s="61">
        <f t="shared" si="2"/>
        <v>22564717</v>
      </c>
      <c r="J40" s="59">
        <f t="shared" si="2"/>
        <v>43718046</v>
      </c>
      <c r="K40" s="61">
        <f t="shared" si="2"/>
        <v>43725989.869999997</v>
      </c>
      <c r="L40" s="63">
        <f t="shared" si="2"/>
        <v>12314661</v>
      </c>
      <c r="M40" s="82">
        <f>SUM(E40:L40)</f>
        <v>402671859.22000003</v>
      </c>
      <c r="N40"/>
    </row>
    <row r="41" spans="1:14" ht="15" thickTop="1" x14ac:dyDescent="0.35">
      <c r="A41" s="188"/>
      <c r="B41" s="187"/>
      <c r="C41" s="189"/>
    </row>
    <row r="42" spans="1:14" x14ac:dyDescent="0.35">
      <c r="A42" s="187"/>
      <c r="B42" s="187"/>
      <c r="C42" s="190"/>
    </row>
    <row r="43" spans="1:14" x14ac:dyDescent="0.35">
      <c r="A43" s="187"/>
      <c r="B43" s="187"/>
      <c r="C43" s="190"/>
    </row>
  </sheetData>
  <mergeCells count="3">
    <mergeCell ref="G3:I3"/>
    <mergeCell ref="J3:K3"/>
    <mergeCell ref="E3:F3"/>
  </mergeCells>
  <conditionalFormatting sqref="A5:D7 A8:B39 D8:D39 A40:D40 G40:K40 G5:K7 H10:K39 G9:K9 H8:K8 L5:M40 E5:F40">
    <cfRule type="expression" dxfId="111" priority="9">
      <formula>ROW()=EVEN(ROW())</formula>
    </cfRule>
  </conditionalFormatting>
  <conditionalFormatting sqref="C8:C39">
    <cfRule type="expression" dxfId="110" priority="6">
      <formula>ROW()=EVEN(ROW())</formula>
    </cfRule>
  </conditionalFormatting>
  <conditionalFormatting sqref="G10:G39">
    <cfRule type="expression" dxfId="109" priority="4">
      <formula>ROW()=EVEN(ROW())</formula>
    </cfRule>
  </conditionalFormatting>
  <conditionalFormatting sqref="G8">
    <cfRule type="expression" dxfId="108" priority="3">
      <formula>ROW()=EVEN(ROW())</formula>
    </cfRule>
  </conditionalFormatting>
  <printOptions horizontalCentered="1"/>
  <pageMargins left="0" right="0" top="1.25" bottom="0.5" header="0.5" footer="0.5"/>
  <pageSetup scale="65" fitToHeight="2" orientation="landscape" r:id="rId1"/>
  <headerFooter>
    <oddHeader xml:space="preserve">&amp;C&amp;"-,Bold"&amp;20Summary
2016
All Local Health Jurisdictions
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16320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25.6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223124</v>
      </c>
      <c r="D5" s="236">
        <v>18505</v>
      </c>
      <c r="E5" s="44"/>
      <c r="F5" s="237">
        <v>70503</v>
      </c>
      <c r="G5" s="236"/>
      <c r="H5" s="44"/>
      <c r="I5" s="236"/>
      <c r="J5" s="51"/>
      <c r="K5" s="67">
        <f>SUM(C5:J5)</f>
        <v>312132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31757</v>
      </c>
      <c r="D7" s="236">
        <f>826+1082</f>
        <v>1908</v>
      </c>
      <c r="E7" s="44"/>
      <c r="F7" s="237">
        <v>7572</v>
      </c>
      <c r="G7" s="236">
        <v>3000</v>
      </c>
      <c r="H7" s="44">
        <v>19491</v>
      </c>
      <c r="I7" s="236"/>
      <c r="J7" s="51"/>
      <c r="K7" s="67">
        <f t="shared" si="0"/>
        <v>63728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>
        <v>4143</v>
      </c>
      <c r="H8" s="239"/>
      <c r="I8" s="240">
        <v>4143</v>
      </c>
      <c r="J8" s="51"/>
      <c r="K8" s="67">
        <f t="shared" si="0"/>
        <v>8286</v>
      </c>
      <c r="L8"/>
    </row>
    <row r="9" spans="1:12" x14ac:dyDescent="0.35">
      <c r="A9" s="93">
        <v>562.25</v>
      </c>
      <c r="B9" s="28" t="s">
        <v>53</v>
      </c>
      <c r="C9" s="235">
        <v>3298</v>
      </c>
      <c r="D9" s="236">
        <v>25828</v>
      </c>
      <c r="E9" s="44"/>
      <c r="F9" s="237"/>
      <c r="G9" s="236"/>
      <c r="H9" s="44">
        <v>10802</v>
      </c>
      <c r="I9" s="236">
        <v>21630</v>
      </c>
      <c r="J9" s="51"/>
      <c r="K9" s="67">
        <f t="shared" si="0"/>
        <v>61558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54979</v>
      </c>
      <c r="D12" s="236"/>
      <c r="E12" s="44"/>
      <c r="F12" s="237"/>
      <c r="G12" s="236"/>
      <c r="H12" s="44">
        <f>335+26271+69096</f>
        <v>95702</v>
      </c>
      <c r="I12" s="236">
        <v>4677</v>
      </c>
      <c r="J12" s="51"/>
      <c r="K12" s="67">
        <f t="shared" si="0"/>
        <v>155358</v>
      </c>
      <c r="L12"/>
    </row>
    <row r="13" spans="1:12" x14ac:dyDescent="0.35">
      <c r="A13" s="93">
        <v>562.29</v>
      </c>
      <c r="B13" s="28" t="s">
        <v>46</v>
      </c>
      <c r="C13" s="235">
        <v>231965</v>
      </c>
      <c r="D13" s="236">
        <f>21173+25545</f>
        <v>46718</v>
      </c>
      <c r="E13" s="44"/>
      <c r="F13" s="237">
        <v>10586</v>
      </c>
      <c r="G13" s="236"/>
      <c r="H13" s="44"/>
      <c r="I13" s="236">
        <v>45090</v>
      </c>
      <c r="J13" s="51"/>
      <c r="K13" s="67">
        <f t="shared" si="0"/>
        <v>334359</v>
      </c>
      <c r="L13"/>
    </row>
    <row r="14" spans="1:12" x14ac:dyDescent="0.35">
      <c r="A14" s="93">
        <v>562.32000000000005</v>
      </c>
      <c r="B14" s="16" t="s">
        <v>12</v>
      </c>
      <c r="C14" s="235">
        <v>32677</v>
      </c>
      <c r="D14" s="236">
        <v>19328</v>
      </c>
      <c r="E14" s="44"/>
      <c r="F14" s="237">
        <v>8745</v>
      </c>
      <c r="G14" s="236"/>
      <c r="H14" s="44">
        <v>8248</v>
      </c>
      <c r="I14" s="236"/>
      <c r="J14" s="51"/>
      <c r="K14" s="67">
        <f t="shared" si="0"/>
        <v>68998</v>
      </c>
      <c r="L14"/>
    </row>
    <row r="15" spans="1:12" x14ac:dyDescent="0.35">
      <c r="A15" s="93">
        <v>562.33000000000004</v>
      </c>
      <c r="B15" s="28" t="s">
        <v>55</v>
      </c>
      <c r="C15" s="235">
        <v>16</v>
      </c>
      <c r="D15" s="236"/>
      <c r="E15" s="44"/>
      <c r="F15" s="237"/>
      <c r="G15" s="236"/>
      <c r="H15" s="44"/>
      <c r="I15" s="236"/>
      <c r="J15" s="51"/>
      <c r="K15" s="67">
        <f t="shared" si="0"/>
        <v>16</v>
      </c>
      <c r="L15"/>
    </row>
    <row r="16" spans="1:12" x14ac:dyDescent="0.35">
      <c r="A16" s="93">
        <v>562.34</v>
      </c>
      <c r="B16" s="16" t="s">
        <v>13</v>
      </c>
      <c r="C16" s="235">
        <v>437</v>
      </c>
      <c r="D16" s="236">
        <v>167</v>
      </c>
      <c r="E16" s="44"/>
      <c r="F16" s="237"/>
      <c r="G16" s="236"/>
      <c r="H16" s="44"/>
      <c r="I16" s="236"/>
      <c r="J16" s="51"/>
      <c r="K16" s="67">
        <f t="shared" si="0"/>
        <v>604</v>
      </c>
      <c r="L16"/>
    </row>
    <row r="17" spans="1:12" x14ac:dyDescent="0.35">
      <c r="A17" s="93">
        <v>562.35</v>
      </c>
      <c r="B17" s="16" t="s">
        <v>14</v>
      </c>
      <c r="C17" s="235">
        <v>15</v>
      </c>
      <c r="D17" s="236"/>
      <c r="E17" s="44"/>
      <c r="F17" s="237"/>
      <c r="G17" s="236"/>
      <c r="H17" s="44"/>
      <c r="I17" s="236"/>
      <c r="J17" s="51"/>
      <c r="K17" s="67">
        <f t="shared" si="0"/>
        <v>15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24677</v>
      </c>
      <c r="G18" s="236"/>
      <c r="H18" s="44"/>
      <c r="I18" s="236"/>
      <c r="J18" s="51"/>
      <c r="K18" s="67">
        <f t="shared" si="0"/>
        <v>24677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v>4487</v>
      </c>
      <c r="G24" s="236"/>
      <c r="H24" s="44"/>
      <c r="I24" s="236"/>
      <c r="J24" s="51"/>
      <c r="K24" s="67">
        <f t="shared" si="0"/>
        <v>4487</v>
      </c>
      <c r="L24"/>
    </row>
    <row r="25" spans="1:12" x14ac:dyDescent="0.35">
      <c r="A25" s="93">
        <v>562.52</v>
      </c>
      <c r="B25" s="16" t="s">
        <v>18</v>
      </c>
      <c r="C25" s="235">
        <v>24818</v>
      </c>
      <c r="D25" s="236">
        <f>6480+45080+5675</f>
        <v>57235</v>
      </c>
      <c r="E25" s="44"/>
      <c r="F25" s="237"/>
      <c r="G25" s="236"/>
      <c r="H25" s="44"/>
      <c r="I25" s="236"/>
      <c r="J25" s="51"/>
      <c r="K25" s="67">
        <f t="shared" si="0"/>
        <v>82053</v>
      </c>
      <c r="L25"/>
    </row>
    <row r="26" spans="1:12" x14ac:dyDescent="0.35">
      <c r="A26" s="93">
        <v>562.53</v>
      </c>
      <c r="B26" s="28" t="s">
        <v>59</v>
      </c>
      <c r="C26" s="235">
        <v>2676</v>
      </c>
      <c r="D26" s="236">
        <v>2910</v>
      </c>
      <c r="E26" s="44"/>
      <c r="F26" s="237"/>
      <c r="G26" s="236">
        <v>25317</v>
      </c>
      <c r="H26" s="44"/>
      <c r="I26" s="236"/>
      <c r="J26" s="51"/>
      <c r="K26" s="67">
        <f t="shared" si="0"/>
        <v>30903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123000+76536+2035</f>
        <v>201571</v>
      </c>
      <c r="E27" s="44">
        <v>59752</v>
      </c>
      <c r="F27" s="237"/>
      <c r="G27" s="236"/>
      <c r="H27" s="44">
        <v>38795</v>
      </c>
      <c r="I27" s="236"/>
      <c r="J27" s="51"/>
      <c r="K27" s="67">
        <f t="shared" si="0"/>
        <v>300118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v>75546</v>
      </c>
      <c r="E29" s="44"/>
      <c r="F29" s="237"/>
      <c r="G29" s="236"/>
      <c r="H29" s="44"/>
      <c r="I29" s="236"/>
      <c r="J29" s="51"/>
      <c r="K29" s="67">
        <f t="shared" si="0"/>
        <v>75546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6573</v>
      </c>
      <c r="E31" s="44"/>
      <c r="F31" s="237"/>
      <c r="G31" s="236"/>
      <c r="H31" s="44"/>
      <c r="I31" s="236"/>
      <c r="J31" s="51"/>
      <c r="K31" s="67">
        <f t="shared" si="0"/>
        <v>6573</v>
      </c>
      <c r="L31"/>
    </row>
    <row r="32" spans="1:12" x14ac:dyDescent="0.35">
      <c r="A32" s="93">
        <v>562.59</v>
      </c>
      <c r="B32" s="28" t="s">
        <v>49</v>
      </c>
      <c r="C32" s="235">
        <v>2433</v>
      </c>
      <c r="D32" s="236"/>
      <c r="E32" s="44"/>
      <c r="F32" s="237"/>
      <c r="G32" s="236"/>
      <c r="H32" s="44"/>
      <c r="I32" s="236"/>
      <c r="J32" s="51"/>
      <c r="K32" s="67">
        <f t="shared" si="0"/>
        <v>2433</v>
      </c>
      <c r="L32"/>
    </row>
    <row r="33" spans="1:12" x14ac:dyDescent="0.35">
      <c r="A33" s="93">
        <v>562.6</v>
      </c>
      <c r="B33" s="16" t="s">
        <v>21</v>
      </c>
      <c r="C33" s="235">
        <v>93</v>
      </c>
      <c r="D33" s="236"/>
      <c r="E33" s="44">
        <v>12239</v>
      </c>
      <c r="F33" s="237"/>
      <c r="G33" s="236"/>
      <c r="H33" s="44"/>
      <c r="I33" s="236"/>
      <c r="J33" s="51"/>
      <c r="K33" s="67">
        <f t="shared" si="0"/>
        <v>12332</v>
      </c>
      <c r="L33"/>
    </row>
    <row r="34" spans="1:12" x14ac:dyDescent="0.35">
      <c r="A34" s="93">
        <v>562.71</v>
      </c>
      <c r="B34" s="16" t="s">
        <v>22</v>
      </c>
      <c r="C34" s="235">
        <v>2267</v>
      </c>
      <c r="D34" s="236">
        <v>4144</v>
      </c>
      <c r="E34" s="44"/>
      <c r="F34" s="237"/>
      <c r="G34" s="236"/>
      <c r="H34" s="44"/>
      <c r="I34" s="236"/>
      <c r="J34" s="51"/>
      <c r="K34" s="67">
        <f t="shared" si="0"/>
        <v>6411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>
        <v>516</v>
      </c>
      <c r="D41" s="236"/>
      <c r="E41" s="44"/>
      <c r="F41" s="237"/>
      <c r="G41" s="236"/>
      <c r="H41" s="44">
        <v>23509</v>
      </c>
      <c r="I41" s="236"/>
      <c r="J41" s="51"/>
      <c r="K41" s="67">
        <f t="shared" si="0"/>
        <v>24025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611071</v>
      </c>
      <c r="D44" s="246">
        <f>SUM(D5:D43)</f>
        <v>460433</v>
      </c>
      <c r="E44" s="247">
        <f t="shared" ref="E44:J44" si="1">SUM(E5:E43)</f>
        <v>71991</v>
      </c>
      <c r="F44" s="248">
        <f t="shared" si="1"/>
        <v>126570</v>
      </c>
      <c r="G44" s="246">
        <f t="shared" si="1"/>
        <v>32460</v>
      </c>
      <c r="H44" s="247">
        <f t="shared" si="1"/>
        <v>196547</v>
      </c>
      <c r="I44" s="249">
        <f t="shared" si="1"/>
        <v>75540</v>
      </c>
      <c r="J44" s="250">
        <f t="shared" si="1"/>
        <v>0</v>
      </c>
      <c r="K44" s="251">
        <f>SUM(C44:J44)</f>
        <v>1574612</v>
      </c>
      <c r="L44"/>
    </row>
    <row r="45" spans="1:12" x14ac:dyDescent="0.35">
      <c r="A45" s="93">
        <v>523</v>
      </c>
      <c r="B45" s="16" t="s">
        <v>31</v>
      </c>
      <c r="C45" s="235"/>
      <c r="D45" s="236"/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/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/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/>
      <c r="D49" s="236"/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348481</v>
      </c>
      <c r="D50" s="236">
        <v>4000</v>
      </c>
      <c r="E50" s="44"/>
      <c r="F50" s="237"/>
      <c r="G50" s="236">
        <f>121374+72626</f>
        <v>194000</v>
      </c>
      <c r="H50" s="44"/>
      <c r="I50" s="236">
        <f>7200+64750</f>
        <v>71950</v>
      </c>
      <c r="J50" s="51"/>
      <c r="K50" s="67">
        <f t="shared" si="2"/>
        <v>618431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f>459786+49696</f>
        <v>509482</v>
      </c>
      <c r="D52" s="236">
        <v>175732</v>
      </c>
      <c r="E52" s="44"/>
      <c r="F52" s="237"/>
      <c r="G52" s="236"/>
      <c r="H52" s="44"/>
      <c r="I52" s="236"/>
      <c r="J52" s="51"/>
      <c r="K52" s="67">
        <f t="shared" si="2"/>
        <v>685214</v>
      </c>
      <c r="L52"/>
    </row>
    <row r="53" spans="1:12" x14ac:dyDescent="0.35">
      <c r="A53" s="93">
        <v>566</v>
      </c>
      <c r="B53" s="16" t="s">
        <v>38</v>
      </c>
      <c r="C53" s="235">
        <v>3460</v>
      </c>
      <c r="D53" s="236">
        <v>5000</v>
      </c>
      <c r="E53" s="44"/>
      <c r="F53" s="237"/>
      <c r="G53" s="236">
        <f>35561+25510+8527+4507+42081</f>
        <v>116186</v>
      </c>
      <c r="H53" s="44"/>
      <c r="I53" s="236">
        <f>36106+43652</f>
        <v>79758</v>
      </c>
      <c r="J53" s="51"/>
      <c r="K53" s="67">
        <f t="shared" si="2"/>
        <v>204404</v>
      </c>
      <c r="L53"/>
    </row>
    <row r="54" spans="1:12" x14ac:dyDescent="0.35">
      <c r="A54" s="93">
        <v>568</v>
      </c>
      <c r="B54" s="16" t="s">
        <v>39</v>
      </c>
      <c r="C54" s="235">
        <v>7921</v>
      </c>
      <c r="D54" s="236">
        <v>116471</v>
      </c>
      <c r="E54" s="44"/>
      <c r="F54" s="237"/>
      <c r="G54" s="236"/>
      <c r="H54" s="44"/>
      <c r="I54" s="236"/>
      <c r="J54" s="51"/>
      <c r="K54" s="67">
        <f t="shared" si="2"/>
        <v>124392</v>
      </c>
      <c r="L54"/>
    </row>
    <row r="55" spans="1:12" x14ac:dyDescent="0.35">
      <c r="A55" s="95">
        <v>500</v>
      </c>
      <c r="B55" s="14" t="s">
        <v>68</v>
      </c>
      <c r="C55" s="273"/>
      <c r="D55" s="243">
        <v>142598</v>
      </c>
      <c r="E55" s="241"/>
      <c r="F55" s="242"/>
      <c r="G55" s="243">
        <v>430569</v>
      </c>
      <c r="H55" s="241"/>
      <c r="I55" s="243"/>
      <c r="J55" s="244">
        <f>419+8250</f>
        <v>8669</v>
      </c>
      <c r="K55" s="274">
        <f t="shared" si="2"/>
        <v>581836</v>
      </c>
      <c r="L55"/>
    </row>
    <row r="56" spans="1:12" ht="15" thickBot="1" x14ac:dyDescent="0.4">
      <c r="A56" s="97"/>
      <c r="B56" s="29" t="s">
        <v>42</v>
      </c>
      <c r="C56" s="275">
        <f>SUM(C44:C55)</f>
        <v>1480415</v>
      </c>
      <c r="D56" s="276">
        <f>SUM(D44:D55)</f>
        <v>904234</v>
      </c>
      <c r="E56" s="277">
        <f t="shared" ref="E56:J56" si="3">SUM(E44:E55)</f>
        <v>71991</v>
      </c>
      <c r="F56" s="278">
        <f t="shared" si="3"/>
        <v>126570</v>
      </c>
      <c r="G56" s="279">
        <f t="shared" si="3"/>
        <v>773215</v>
      </c>
      <c r="H56" s="277">
        <f t="shared" si="3"/>
        <v>196547</v>
      </c>
      <c r="I56" s="280">
        <f t="shared" si="3"/>
        <v>227248</v>
      </c>
      <c r="J56" s="281">
        <f t="shared" si="3"/>
        <v>8669</v>
      </c>
      <c r="K56" s="282">
        <f>SUM(C56:J56)</f>
        <v>3788889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1480415</v>
      </c>
      <c r="D62" s="7">
        <f>C56/K56</f>
        <v>0.3907253551106934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904234</v>
      </c>
      <c r="D63" s="10">
        <f>D56/K56</f>
        <v>0.23865412789870594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2384649</v>
      </c>
      <c r="D64" s="23">
        <f>SUM(D62:D63)</f>
        <v>0.62937948300939928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71991</v>
      </c>
      <c r="D66" s="20">
        <f>E56/$K56</f>
        <v>1.900055662754966E-2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126570</v>
      </c>
      <c r="D67" s="20">
        <f>F56/$K56</f>
        <v>3.3405570867871826E-2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773215</v>
      </c>
      <c r="D68" s="55">
        <f>G56/$K56</f>
        <v>0.2040743341913685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971776</v>
      </c>
      <c r="D69" s="23">
        <f>SUM(D66:D68)</f>
        <v>0.25648046168679001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196547</v>
      </c>
      <c r="D71" s="7">
        <f>H56/K56</f>
        <v>5.1874573258810168E-2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227248</v>
      </c>
      <c r="D72" s="10">
        <f>I56/K56</f>
        <v>5.9977476246994829E-2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423795</v>
      </c>
      <c r="D73" s="23">
        <f>SUM(D71:D72)</f>
        <v>0.11185204950580499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8669</v>
      </c>
      <c r="D75" s="23">
        <f>J56/K56</f>
        <v>2.288005798005695E-3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3788889</v>
      </c>
      <c r="D76" s="37">
        <f>D69+D73+D64+D75</f>
        <v>1</v>
      </c>
      <c r="E76" s="42"/>
      <c r="F76" s="42"/>
      <c r="H76"/>
      <c r="I76"/>
      <c r="J76" s="42"/>
      <c r="L76"/>
    </row>
    <row r="77" spans="2:12" x14ac:dyDescent="0.35">
      <c r="C77"/>
      <c r="D77"/>
      <c r="E77" s="42"/>
      <c r="F77" s="42"/>
      <c r="H77"/>
      <c r="I77"/>
      <c r="J77" s="42"/>
      <c r="L77"/>
    </row>
    <row r="78" spans="2:12" x14ac:dyDescent="0.35">
      <c r="C78"/>
      <c r="D78"/>
      <c r="E78" s="42"/>
      <c r="F78" s="42"/>
      <c r="H78"/>
      <c r="I78"/>
      <c r="J78" s="42"/>
      <c r="L78"/>
    </row>
    <row r="79" spans="2:12" x14ac:dyDescent="0.35">
      <c r="C79"/>
      <c r="D79"/>
      <c r="E79" s="42"/>
      <c r="F79" s="42"/>
      <c r="H79"/>
      <c r="I79"/>
      <c r="J79" s="42"/>
      <c r="L79"/>
    </row>
    <row r="80" spans="2:12" x14ac:dyDescent="0.35">
      <c r="C80"/>
      <c r="D80"/>
      <c r="E80" s="42"/>
      <c r="F80" s="42"/>
      <c r="H80"/>
      <c r="I80"/>
      <c r="J80" s="42"/>
      <c r="L80"/>
    </row>
    <row r="81" spans="3:12" x14ac:dyDescent="0.35">
      <c r="C81"/>
      <c r="D81"/>
      <c r="E81" s="42"/>
      <c r="F81" s="42"/>
      <c r="H81"/>
      <c r="I81"/>
      <c r="J81" s="42"/>
      <c r="L81"/>
    </row>
    <row r="86" spans="3:12" x14ac:dyDescent="0.35">
      <c r="L86" s="47"/>
    </row>
    <row r="87" spans="3:12" x14ac:dyDescent="0.35">
      <c r="L87" s="47"/>
    </row>
    <row r="88" spans="3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38" priority="3">
      <formula>ROW()=EVEN(ROW())</formula>
    </cfRule>
  </conditionalFormatting>
  <conditionalFormatting sqref="K45:K55">
    <cfRule type="expression" dxfId="37" priority="1">
      <formula>ROW()=EVEN(ROW())</formula>
    </cfRule>
  </conditionalFormatting>
  <conditionalFormatting sqref="K5:K44">
    <cfRule type="expression" dxfId="3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&amp;C&amp;"-,Bold"&amp;16Expenditures by Expenditure Code and Revenue Source
2016
SAN JUAN 
</oddHeader>
  </headerFooter>
  <rowBreaks count="1" manualBreakCount="1">
    <brk id="44" max="16383" man="1"/>
  </rowBreaks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2105100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1344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1359778</v>
      </c>
      <c r="D5" s="236">
        <v>246905</v>
      </c>
      <c r="E5" s="44">
        <v>202826</v>
      </c>
      <c r="F5" s="237">
        <v>698243</v>
      </c>
      <c r="G5" s="236">
        <v>346723</v>
      </c>
      <c r="H5" s="44"/>
      <c r="I5" s="236">
        <v>6830017</v>
      </c>
      <c r="J5" s="51">
        <v>5362161</v>
      </c>
      <c r="K5" s="67">
        <f>SUM(C5:J5)</f>
        <v>15046653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6201357</v>
      </c>
      <c r="D7" s="236">
        <v>20759408</v>
      </c>
      <c r="E7" s="44"/>
      <c r="F7" s="237">
        <v>3051202</v>
      </c>
      <c r="G7" s="236">
        <v>595346</v>
      </c>
      <c r="H7" s="44">
        <v>1324876</v>
      </c>
      <c r="I7" s="236">
        <v>977887</v>
      </c>
      <c r="J7" s="51">
        <v>197480</v>
      </c>
      <c r="K7" s="67">
        <f t="shared" si="0"/>
        <v>33107556</v>
      </c>
      <c r="L7"/>
    </row>
    <row r="8" spans="1:12" x14ac:dyDescent="0.35">
      <c r="A8" s="93">
        <v>562.24</v>
      </c>
      <c r="B8" s="16" t="s">
        <v>11</v>
      </c>
      <c r="C8" s="235">
        <v>3494366</v>
      </c>
      <c r="D8" s="236">
        <v>12368597</v>
      </c>
      <c r="E8" s="44"/>
      <c r="F8" s="237"/>
      <c r="G8" s="236"/>
      <c r="H8" s="239"/>
      <c r="I8" s="240">
        <v>420901</v>
      </c>
      <c r="J8" s="51"/>
      <c r="K8" s="67">
        <f t="shared" si="0"/>
        <v>16283864</v>
      </c>
      <c r="L8"/>
    </row>
    <row r="9" spans="1:12" x14ac:dyDescent="0.35">
      <c r="A9" s="93">
        <v>562.25</v>
      </c>
      <c r="B9" s="28" t="s">
        <v>53</v>
      </c>
      <c r="C9" s="235">
        <v>230696</v>
      </c>
      <c r="D9" s="236">
        <v>256989</v>
      </c>
      <c r="E9" s="44">
        <v>4867</v>
      </c>
      <c r="F9" s="237"/>
      <c r="G9" s="236">
        <v>8775</v>
      </c>
      <c r="H9" s="44">
        <v>389712</v>
      </c>
      <c r="I9" s="236"/>
      <c r="J9" s="51"/>
      <c r="K9" s="67">
        <f t="shared" si="0"/>
        <v>891039</v>
      </c>
      <c r="L9"/>
    </row>
    <row r="10" spans="1:12" x14ac:dyDescent="0.35">
      <c r="A10" s="93">
        <v>562.26</v>
      </c>
      <c r="B10" s="28" t="s">
        <v>44</v>
      </c>
      <c r="C10" s="235">
        <v>3834739</v>
      </c>
      <c r="D10" s="236">
        <v>4522053</v>
      </c>
      <c r="E10" s="44">
        <v>1007268</v>
      </c>
      <c r="F10" s="237">
        <v>1034325</v>
      </c>
      <c r="G10" s="236"/>
      <c r="H10" s="44"/>
      <c r="I10" s="236">
        <v>1866511</v>
      </c>
      <c r="J10" s="51">
        <v>57663</v>
      </c>
      <c r="K10" s="67">
        <f t="shared" si="0"/>
        <v>12322559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>
        <v>391186</v>
      </c>
      <c r="I11" s="236"/>
      <c r="J11" s="51"/>
      <c r="K11" s="67">
        <f t="shared" si="0"/>
        <v>391186</v>
      </c>
      <c r="L11"/>
    </row>
    <row r="12" spans="1:12" x14ac:dyDescent="0.35">
      <c r="A12" s="93">
        <v>562.28</v>
      </c>
      <c r="B12" s="28" t="s">
        <v>54</v>
      </c>
      <c r="C12" s="235">
        <v>498832</v>
      </c>
      <c r="D12" s="236">
        <v>1315800</v>
      </c>
      <c r="E12" s="44"/>
      <c r="F12" s="237">
        <v>1620590</v>
      </c>
      <c r="G12" s="236"/>
      <c r="H12" s="44">
        <v>7569029</v>
      </c>
      <c r="I12" s="236"/>
      <c r="J12" s="51"/>
      <c r="K12" s="67">
        <f t="shared" si="0"/>
        <v>11004251</v>
      </c>
      <c r="L12"/>
    </row>
    <row r="13" spans="1:12" x14ac:dyDescent="0.35">
      <c r="A13" s="93">
        <v>562.29</v>
      </c>
      <c r="B13" s="28" t="s">
        <v>46</v>
      </c>
      <c r="C13" s="235">
        <v>5382077</v>
      </c>
      <c r="D13" s="236">
        <v>11411809</v>
      </c>
      <c r="E13" s="44"/>
      <c r="F13" s="237">
        <v>360492</v>
      </c>
      <c r="G13" s="236"/>
      <c r="H13" s="44">
        <v>102846</v>
      </c>
      <c r="I13" s="236">
        <v>5464343</v>
      </c>
      <c r="J13" s="51">
        <v>1112091</v>
      </c>
      <c r="K13" s="67">
        <f t="shared" si="0"/>
        <v>23833658</v>
      </c>
      <c r="L13"/>
    </row>
    <row r="14" spans="1:12" x14ac:dyDescent="0.35">
      <c r="A14" s="93">
        <v>562.32000000000005</v>
      </c>
      <c r="B14" s="16" t="s">
        <v>12</v>
      </c>
      <c r="C14" s="235">
        <v>126786</v>
      </c>
      <c r="D14" s="236">
        <v>182848</v>
      </c>
      <c r="E14" s="44"/>
      <c r="F14" s="237"/>
      <c r="G14" s="236"/>
      <c r="H14" s="44">
        <v>508513</v>
      </c>
      <c r="I14" s="236"/>
      <c r="J14" s="51">
        <v>33428</v>
      </c>
      <c r="K14" s="67">
        <f t="shared" si="0"/>
        <v>851575</v>
      </c>
      <c r="L14"/>
    </row>
    <row r="15" spans="1:12" x14ac:dyDescent="0.35">
      <c r="A15" s="93">
        <v>562.33000000000004</v>
      </c>
      <c r="B15" s="28" t="s">
        <v>55</v>
      </c>
      <c r="C15" s="235">
        <v>854700</v>
      </c>
      <c r="D15" s="236">
        <v>1043426</v>
      </c>
      <c r="E15" s="44">
        <v>1197273</v>
      </c>
      <c r="F15" s="237">
        <v>474383</v>
      </c>
      <c r="G15" s="236"/>
      <c r="H15" s="44">
        <v>1726202</v>
      </c>
      <c r="I15" s="236">
        <v>95619</v>
      </c>
      <c r="J15" s="51">
        <v>881</v>
      </c>
      <c r="K15" s="67">
        <f t="shared" si="0"/>
        <v>5392484</v>
      </c>
      <c r="L15"/>
    </row>
    <row r="16" spans="1:12" x14ac:dyDescent="0.35">
      <c r="A16" s="93">
        <v>562.34</v>
      </c>
      <c r="B16" s="16" t="s">
        <v>13</v>
      </c>
      <c r="C16" s="235">
        <v>3050662</v>
      </c>
      <c r="D16" s="236">
        <v>647047</v>
      </c>
      <c r="E16" s="44"/>
      <c r="F16" s="237">
        <v>743243</v>
      </c>
      <c r="G16" s="236"/>
      <c r="H16" s="44">
        <v>431805</v>
      </c>
      <c r="I16" s="236">
        <v>205193</v>
      </c>
      <c r="J16" s="51">
        <v>48111</v>
      </c>
      <c r="K16" s="67">
        <f t="shared" si="0"/>
        <v>5126061</v>
      </c>
      <c r="L16"/>
    </row>
    <row r="17" spans="1:12" x14ac:dyDescent="0.35">
      <c r="A17" s="93">
        <v>562.35</v>
      </c>
      <c r="B17" s="16" t="s">
        <v>14</v>
      </c>
      <c r="C17" s="235">
        <v>2629541</v>
      </c>
      <c r="D17" s="236">
        <v>69387</v>
      </c>
      <c r="E17" s="44">
        <v>3064519</v>
      </c>
      <c r="F17" s="237">
        <v>58404</v>
      </c>
      <c r="G17" s="236"/>
      <c r="H17" s="44">
        <v>1808663</v>
      </c>
      <c r="I17" s="236">
        <v>7088338</v>
      </c>
      <c r="J17" s="51"/>
      <c r="K17" s="67">
        <f t="shared" si="0"/>
        <v>14718852</v>
      </c>
      <c r="L17"/>
    </row>
    <row r="18" spans="1:12" x14ac:dyDescent="0.35">
      <c r="A18" s="93">
        <v>562.39</v>
      </c>
      <c r="B18" s="16" t="s">
        <v>15</v>
      </c>
      <c r="C18" s="235"/>
      <c r="D18" s="236">
        <v>22335</v>
      </c>
      <c r="E18" s="44"/>
      <c r="F18" s="237"/>
      <c r="G18" s="236"/>
      <c r="H18" s="44">
        <v>212835</v>
      </c>
      <c r="I18" s="236">
        <v>1473035</v>
      </c>
      <c r="J18" s="51"/>
      <c r="K18" s="67">
        <f t="shared" si="0"/>
        <v>1708205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>
        <v>240312</v>
      </c>
      <c r="D20" s="236"/>
      <c r="E20" s="44"/>
      <c r="F20" s="237">
        <v>131376</v>
      </c>
      <c r="G20" s="236"/>
      <c r="H20" s="44"/>
      <c r="I20" s="236"/>
      <c r="J20" s="51"/>
      <c r="K20" s="67">
        <f t="shared" si="0"/>
        <v>371688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>
        <v>3600</v>
      </c>
      <c r="E22" s="44">
        <v>529429</v>
      </c>
      <c r="F22" s="237"/>
      <c r="G22" s="236"/>
      <c r="H22" s="44">
        <v>80492</v>
      </c>
      <c r="I22" s="236"/>
      <c r="J22" s="51"/>
      <c r="K22" s="67">
        <f t="shared" si="0"/>
        <v>613521</v>
      </c>
      <c r="L22"/>
    </row>
    <row r="23" spans="1:12" x14ac:dyDescent="0.35">
      <c r="A23" s="93">
        <v>562.45000000000005</v>
      </c>
      <c r="B23" s="28" t="s">
        <v>58</v>
      </c>
      <c r="C23" s="235">
        <v>152928</v>
      </c>
      <c r="D23" s="236"/>
      <c r="E23" s="44"/>
      <c r="F23" s="237">
        <v>264240</v>
      </c>
      <c r="G23" s="236">
        <v>87641</v>
      </c>
      <c r="H23" s="44"/>
      <c r="I23" s="236"/>
      <c r="J23" s="51"/>
      <c r="K23" s="67">
        <f t="shared" si="0"/>
        <v>504809</v>
      </c>
      <c r="L23"/>
    </row>
    <row r="24" spans="1:12" x14ac:dyDescent="0.35">
      <c r="A24" s="93">
        <v>562.49</v>
      </c>
      <c r="B24" s="28" t="s">
        <v>47</v>
      </c>
      <c r="C24" s="235"/>
      <c r="D24" s="236">
        <v>34224</v>
      </c>
      <c r="E24" s="44">
        <v>210081</v>
      </c>
      <c r="F24" s="237">
        <v>1167923</v>
      </c>
      <c r="G24" s="236"/>
      <c r="H24" s="44">
        <v>1638960</v>
      </c>
      <c r="I24" s="236">
        <v>2937739</v>
      </c>
      <c r="J24" s="51">
        <v>1170787</v>
      </c>
      <c r="K24" s="67">
        <f t="shared" si="0"/>
        <v>7159714</v>
      </c>
      <c r="L24"/>
    </row>
    <row r="25" spans="1:12" x14ac:dyDescent="0.35">
      <c r="A25" s="93">
        <v>562.52</v>
      </c>
      <c r="B25" s="16" t="s">
        <v>18</v>
      </c>
      <c r="C25" s="235"/>
      <c r="D25" s="236">
        <v>36749</v>
      </c>
      <c r="E25" s="44"/>
      <c r="F25" s="237">
        <v>32592</v>
      </c>
      <c r="G25" s="236"/>
      <c r="H25" s="44"/>
      <c r="I25" s="236"/>
      <c r="J25" s="51">
        <v>9851</v>
      </c>
      <c r="K25" s="67">
        <f t="shared" si="0"/>
        <v>79192</v>
      </c>
      <c r="L25"/>
    </row>
    <row r="26" spans="1:12" x14ac:dyDescent="0.35">
      <c r="A26" s="93">
        <v>562.53</v>
      </c>
      <c r="B26" s="28" t="s">
        <v>59</v>
      </c>
      <c r="C26" s="235">
        <v>3132715</v>
      </c>
      <c r="D26" s="236">
        <v>1422861</v>
      </c>
      <c r="E26" s="44"/>
      <c r="F26" s="237"/>
      <c r="G26" s="236">
        <v>75317</v>
      </c>
      <c r="H26" s="44"/>
      <c r="I26" s="236"/>
      <c r="J26" s="51"/>
      <c r="K26" s="67">
        <f t="shared" si="0"/>
        <v>4630893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v>2121012</v>
      </c>
      <c r="E27" s="44"/>
      <c r="F27" s="237"/>
      <c r="G27" s="236"/>
      <c r="H27" s="44"/>
      <c r="I27" s="236"/>
      <c r="J27" s="51">
        <v>39</v>
      </c>
      <c r="K27" s="67">
        <f t="shared" si="0"/>
        <v>2121051</v>
      </c>
      <c r="L27"/>
    </row>
    <row r="28" spans="1:12" x14ac:dyDescent="0.35">
      <c r="A28" s="93">
        <v>562.54999999999995</v>
      </c>
      <c r="B28" s="16" t="s">
        <v>19</v>
      </c>
      <c r="C28" s="235">
        <v>449825</v>
      </c>
      <c r="D28" s="236">
        <v>140665</v>
      </c>
      <c r="E28" s="44"/>
      <c r="F28" s="237"/>
      <c r="G28" s="236"/>
      <c r="H28" s="44"/>
      <c r="I28" s="236"/>
      <c r="J28" s="51"/>
      <c r="K28" s="67">
        <f t="shared" si="0"/>
        <v>590490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v>9559576</v>
      </c>
      <c r="E29" s="44"/>
      <c r="F29" s="237"/>
      <c r="G29" s="236"/>
      <c r="H29" s="44"/>
      <c r="I29" s="236"/>
      <c r="J29" s="51">
        <v>22459</v>
      </c>
      <c r="K29" s="67">
        <f t="shared" si="0"/>
        <v>9582035</v>
      </c>
      <c r="L29"/>
    </row>
    <row r="30" spans="1:12" x14ac:dyDescent="0.35">
      <c r="A30" s="93">
        <v>562.57000000000005</v>
      </c>
      <c r="B30" s="28" t="s">
        <v>61</v>
      </c>
      <c r="C30" s="235">
        <v>15729</v>
      </c>
      <c r="D30" s="236"/>
      <c r="E30" s="44"/>
      <c r="F30" s="237"/>
      <c r="G30" s="236"/>
      <c r="H30" s="44"/>
      <c r="I30" s="236"/>
      <c r="J30" s="51"/>
      <c r="K30" s="67">
        <f t="shared" si="0"/>
        <v>15729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1207954</v>
      </c>
      <c r="E31" s="44"/>
      <c r="F31" s="237"/>
      <c r="G31" s="236"/>
      <c r="H31" s="44"/>
      <c r="I31" s="236"/>
      <c r="J31" s="51"/>
      <c r="K31" s="67">
        <f t="shared" si="0"/>
        <v>1207954</v>
      </c>
      <c r="L31"/>
    </row>
    <row r="32" spans="1:12" x14ac:dyDescent="0.35">
      <c r="A32" s="93">
        <v>562.59</v>
      </c>
      <c r="B32" s="28" t="s">
        <v>49</v>
      </c>
      <c r="C32" s="235">
        <v>236088</v>
      </c>
      <c r="D32" s="236">
        <v>3145950</v>
      </c>
      <c r="E32" s="44"/>
      <c r="F32" s="237">
        <v>329304</v>
      </c>
      <c r="G32" s="236"/>
      <c r="H32" s="44"/>
      <c r="I32" s="236"/>
      <c r="J32" s="51">
        <v>15000</v>
      </c>
      <c r="K32" s="67">
        <f t="shared" si="0"/>
        <v>3726342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>
        <v>3052</v>
      </c>
      <c r="F33" s="237"/>
      <c r="G33" s="236">
        <v>663500</v>
      </c>
      <c r="H33" s="44">
        <v>317948</v>
      </c>
      <c r="I33" s="236"/>
      <c r="J33" s="51"/>
      <c r="K33" s="67">
        <f t="shared" si="0"/>
        <v>984500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904892</v>
      </c>
      <c r="E34" s="44"/>
      <c r="F34" s="237"/>
      <c r="G34" s="236"/>
      <c r="H34" s="44"/>
      <c r="I34" s="236"/>
      <c r="J34" s="51">
        <v>61</v>
      </c>
      <c r="K34" s="67">
        <f t="shared" si="0"/>
        <v>904953</v>
      </c>
      <c r="L34"/>
    </row>
    <row r="35" spans="1:12" x14ac:dyDescent="0.35">
      <c r="A35" s="93">
        <v>562.72</v>
      </c>
      <c r="B35" s="16" t="s">
        <v>23</v>
      </c>
      <c r="C35" s="235"/>
      <c r="D35" s="236">
        <v>2339975</v>
      </c>
      <c r="E35" s="44"/>
      <c r="F35" s="237">
        <v>290016</v>
      </c>
      <c r="G35" s="236"/>
      <c r="H35" s="44"/>
      <c r="I35" s="236"/>
      <c r="J35" s="51"/>
      <c r="K35" s="67">
        <f t="shared" si="0"/>
        <v>2629991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>
        <v>14508087</v>
      </c>
      <c r="D37" s="236">
        <v>2242292</v>
      </c>
      <c r="E37" s="44"/>
      <c r="F37" s="237">
        <v>60000</v>
      </c>
      <c r="G37" s="236"/>
      <c r="H37" s="44"/>
      <c r="I37" s="236">
        <v>913975</v>
      </c>
      <c r="J37" s="51">
        <v>633585</v>
      </c>
      <c r="K37" s="67">
        <f t="shared" si="0"/>
        <v>18357939</v>
      </c>
      <c r="L37"/>
    </row>
    <row r="38" spans="1:12" x14ac:dyDescent="0.35">
      <c r="A38" s="93">
        <v>562.78</v>
      </c>
      <c r="B38" s="16" t="s">
        <v>25</v>
      </c>
      <c r="C38" s="235">
        <v>238675</v>
      </c>
      <c r="D38" s="236">
        <v>391054</v>
      </c>
      <c r="E38" s="44"/>
      <c r="F38" s="237">
        <v>105599</v>
      </c>
      <c r="G38" s="236"/>
      <c r="H38" s="44"/>
      <c r="I38" s="236"/>
      <c r="J38" s="51">
        <v>100475</v>
      </c>
      <c r="K38" s="67">
        <f t="shared" si="0"/>
        <v>835803</v>
      </c>
      <c r="L38"/>
    </row>
    <row r="39" spans="1:12" x14ac:dyDescent="0.35">
      <c r="A39" s="93">
        <v>562.79</v>
      </c>
      <c r="B39" s="16" t="s">
        <v>26</v>
      </c>
      <c r="C39" s="235">
        <v>1568419</v>
      </c>
      <c r="D39" s="236">
        <v>335151</v>
      </c>
      <c r="E39" s="44"/>
      <c r="F39" s="237">
        <v>1215191</v>
      </c>
      <c r="G39" s="236"/>
      <c r="H39" s="44"/>
      <c r="I39" s="236">
        <v>339932</v>
      </c>
      <c r="J39" s="51"/>
      <c r="K39" s="67">
        <f t="shared" si="0"/>
        <v>3458693</v>
      </c>
      <c r="L39"/>
    </row>
    <row r="40" spans="1:12" x14ac:dyDescent="0.35">
      <c r="A40" s="93">
        <v>562.79999999999995</v>
      </c>
      <c r="B40" s="16" t="s">
        <v>27</v>
      </c>
      <c r="C40" s="235">
        <v>1719244</v>
      </c>
      <c r="D40" s="236">
        <v>177659</v>
      </c>
      <c r="E40" s="44"/>
      <c r="F40" s="237">
        <v>1003187</v>
      </c>
      <c r="G40" s="236"/>
      <c r="H40" s="44">
        <v>101050</v>
      </c>
      <c r="I40" s="236">
        <v>2097</v>
      </c>
      <c r="J40" s="51">
        <v>417073</v>
      </c>
      <c r="K40" s="67">
        <f t="shared" si="0"/>
        <v>3420310</v>
      </c>
      <c r="L40"/>
    </row>
    <row r="41" spans="1:12" x14ac:dyDescent="0.35">
      <c r="A41" s="93">
        <v>562.88</v>
      </c>
      <c r="B41" s="28" t="s">
        <v>51</v>
      </c>
      <c r="C41" s="235"/>
      <c r="D41" s="236">
        <v>22940</v>
      </c>
      <c r="E41" s="44"/>
      <c r="F41" s="237"/>
      <c r="G41" s="236"/>
      <c r="H41" s="44">
        <v>2031490</v>
      </c>
      <c r="I41" s="236">
        <v>95615</v>
      </c>
      <c r="J41" s="51">
        <v>50000</v>
      </c>
      <c r="K41" s="67">
        <f t="shared" si="0"/>
        <v>2200045</v>
      </c>
      <c r="L41"/>
    </row>
    <row r="42" spans="1:12" x14ac:dyDescent="0.35">
      <c r="A42" s="93">
        <v>562.9</v>
      </c>
      <c r="B42" s="16" t="s">
        <v>28</v>
      </c>
      <c r="C42" s="235">
        <v>1577833</v>
      </c>
      <c r="D42" s="236">
        <v>266698</v>
      </c>
      <c r="E42" s="44"/>
      <c r="F42" s="237">
        <v>45213</v>
      </c>
      <c r="G42" s="236"/>
      <c r="H42" s="44"/>
      <c r="I42" s="236"/>
      <c r="J42" s="51">
        <v>144597</v>
      </c>
      <c r="K42" s="67">
        <f t="shared" si="0"/>
        <v>2034341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51503389</v>
      </c>
      <c r="D44" s="246">
        <f>SUM(D5:D43)</f>
        <v>77199856</v>
      </c>
      <c r="E44" s="247">
        <f t="shared" ref="E44:J44" si="1">SUM(E5:E43)</f>
        <v>6219315</v>
      </c>
      <c r="F44" s="248">
        <f t="shared" si="1"/>
        <v>12685523</v>
      </c>
      <c r="G44" s="246">
        <f t="shared" si="1"/>
        <v>1777302</v>
      </c>
      <c r="H44" s="247">
        <f t="shared" si="1"/>
        <v>18635607</v>
      </c>
      <c r="I44" s="249">
        <f t="shared" si="1"/>
        <v>28711202</v>
      </c>
      <c r="J44" s="250">
        <f t="shared" si="1"/>
        <v>9375742</v>
      </c>
      <c r="K44" s="251">
        <f>SUM(C44:J44)</f>
        <v>206107936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>
        <v>358732</v>
      </c>
      <c r="E46" s="44">
        <v>1290</v>
      </c>
      <c r="F46" s="237"/>
      <c r="G46" s="236">
        <v>65800</v>
      </c>
      <c r="H46" s="44"/>
      <c r="I46" s="236"/>
      <c r="J46" s="51">
        <v>100830</v>
      </c>
      <c r="K46" s="67">
        <f t="shared" si="2"/>
        <v>526652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4116715</v>
      </c>
      <c r="D51" s="236">
        <v>1084336</v>
      </c>
      <c r="E51" s="44"/>
      <c r="F51" s="237"/>
      <c r="G51" s="236">
        <v>586610</v>
      </c>
      <c r="H51" s="44"/>
      <c r="I51" s="236"/>
      <c r="J51" s="51">
        <v>-1</v>
      </c>
      <c r="K51" s="67">
        <f t="shared" si="2"/>
        <v>5787660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55620104</v>
      </c>
      <c r="D56" s="276">
        <f>SUM(D44:D55)</f>
        <v>78642924</v>
      </c>
      <c r="E56" s="277">
        <f t="shared" ref="E56:J56" si="3">SUM(E44:E55)</f>
        <v>6220605</v>
      </c>
      <c r="F56" s="278">
        <f t="shared" si="3"/>
        <v>12685523</v>
      </c>
      <c r="G56" s="279">
        <f t="shared" si="3"/>
        <v>2429712</v>
      </c>
      <c r="H56" s="277">
        <f t="shared" si="3"/>
        <v>18635607</v>
      </c>
      <c r="I56" s="280">
        <f t="shared" si="3"/>
        <v>28711202</v>
      </c>
      <c r="J56" s="281">
        <f t="shared" si="3"/>
        <v>9476571</v>
      </c>
      <c r="K56" s="282">
        <f>SUM(C56:J56)</f>
        <v>212422248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55620104</v>
      </c>
      <c r="D62" s="7">
        <f>C56/K56</f>
        <v>0.26183747005633795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78642924</v>
      </c>
      <c r="D63" s="10">
        <f>D56/K56</f>
        <v>0.37021980861439713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134263028</v>
      </c>
      <c r="D64" s="23">
        <f>SUM(D62:D63)</f>
        <v>0.63205727867073502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6220605</v>
      </c>
      <c r="D66" s="20">
        <f>E56/$K56</f>
        <v>2.9284150123484242E-2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12685523</v>
      </c>
      <c r="D67" s="20">
        <f>F56/$K56</f>
        <v>5.9718429305013289E-2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2429712</v>
      </c>
      <c r="D68" s="55">
        <f>G56/$K56</f>
        <v>1.1438123938882334E-2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21335840</v>
      </c>
      <c r="D69" s="23">
        <f>SUM(D66:D68)</f>
        <v>0.10044070336737987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18635607</v>
      </c>
      <c r="D71" s="7">
        <f>H56/K56</f>
        <v>8.7729073463152507E-2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28711202</v>
      </c>
      <c r="D72" s="10">
        <f>I56/K56</f>
        <v>0.13516099311782068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47346809</v>
      </c>
      <c r="D73" s="23">
        <f>SUM(D71:D72)</f>
        <v>0.22289006658097318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9476571</v>
      </c>
      <c r="D75" s="23">
        <f>J56/K56</f>
        <v>4.4611951380911855E-2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212422248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C3:D3"/>
    <mergeCell ref="E3:G3"/>
    <mergeCell ref="H3:I3"/>
  </mergeCells>
  <conditionalFormatting sqref="I8 A5:B55 E7:I7 E9:I43 E8:G8 C7:D43 C5:I6 J5:J55 C44:I55">
    <cfRule type="expression" dxfId="35" priority="3">
      <formula>ROW()=EVEN(ROW())</formula>
    </cfRule>
  </conditionalFormatting>
  <conditionalFormatting sqref="K45:K55">
    <cfRule type="expression" dxfId="34" priority="1">
      <formula>ROW()=EVEN(ROW())</formula>
    </cfRule>
  </conditionalFormatting>
  <conditionalFormatting sqref="K5:K44">
    <cfRule type="expression" dxfId="3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SEATTLE-KING</oddHeader>
  </headerFooter>
  <rowBreaks count="1" manualBreakCount="1">
    <brk id="44" max="16383" man="1"/>
  </rowBreaks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122270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25.841000000000001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1401980</v>
      </c>
      <c r="D5" s="236"/>
      <c r="E5" s="44"/>
      <c r="F5" s="237"/>
      <c r="G5" s="236"/>
      <c r="H5" s="44"/>
      <c r="I5" s="236">
        <v>186640.87</v>
      </c>
      <c r="J5" s="51">
        <f>389-20+4177+66250+6009</f>
        <v>76805</v>
      </c>
      <c r="K5" s="67">
        <f>SUM(C5:J5)</f>
        <v>1665425.87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>
        <v>2150</v>
      </c>
      <c r="E7" s="44"/>
      <c r="F7" s="237">
        <v>11646</v>
      </c>
      <c r="G7" s="236">
        <v>12992</v>
      </c>
      <c r="H7" s="44">
        <v>71075</v>
      </c>
      <c r="I7" s="236">
        <f>356553+1525</f>
        <v>358078</v>
      </c>
      <c r="J7" s="51">
        <v>720</v>
      </c>
      <c r="K7" s="67">
        <f t="shared" si="0"/>
        <v>456661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>
        <v>13750</v>
      </c>
      <c r="H8" s="239"/>
      <c r="I8" s="240">
        <v>13750</v>
      </c>
      <c r="J8" s="51"/>
      <c r="K8" s="67">
        <f t="shared" si="0"/>
        <v>27500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>
        <v>32074</v>
      </c>
      <c r="I9" s="236"/>
      <c r="J9" s="51"/>
      <c r="K9" s="67">
        <f t="shared" si="0"/>
        <v>32074</v>
      </c>
      <c r="L9"/>
    </row>
    <row r="10" spans="1:12" x14ac:dyDescent="0.35">
      <c r="A10" s="93">
        <v>562.26</v>
      </c>
      <c r="B10" s="28" t="s">
        <v>44</v>
      </c>
      <c r="C10" s="235"/>
      <c r="D10" s="236">
        <v>1019</v>
      </c>
      <c r="E10" s="44"/>
      <c r="F10" s="237"/>
      <c r="G10" s="236"/>
      <c r="H10" s="44"/>
      <c r="I10" s="236"/>
      <c r="J10" s="51"/>
      <c r="K10" s="67">
        <f t="shared" si="0"/>
        <v>1019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>
        <v>30900</v>
      </c>
      <c r="I12" s="236"/>
      <c r="J12" s="51"/>
      <c r="K12" s="67">
        <f t="shared" si="0"/>
        <v>30900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v>370</v>
      </c>
      <c r="E14" s="44"/>
      <c r="F14" s="237"/>
      <c r="G14" s="236"/>
      <c r="H14" s="44">
        <f>37482+3605</f>
        <v>41087</v>
      </c>
      <c r="I14" s="236"/>
      <c r="J14" s="51"/>
      <c r="K14" s="67">
        <f t="shared" si="0"/>
        <v>41457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>
        <v>36</v>
      </c>
      <c r="E16" s="44"/>
      <c r="F16" s="237">
        <v>117350</v>
      </c>
      <c r="G16" s="236"/>
      <c r="H16" s="44"/>
      <c r="I16" s="236"/>
      <c r="J16" s="51"/>
      <c r="K16" s="67">
        <f t="shared" si="0"/>
        <v>117386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320749</v>
      </c>
      <c r="G18" s="236"/>
      <c r="H18" s="44"/>
      <c r="I18" s="236"/>
      <c r="J18" s="51"/>
      <c r="K18" s="67">
        <f t="shared" si="0"/>
        <v>320749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2800+34385+4000+9476</f>
        <v>50661</v>
      </c>
      <c r="E25" s="44"/>
      <c r="F25" s="237"/>
      <c r="G25" s="236"/>
      <c r="H25" s="44"/>
      <c r="I25" s="236"/>
      <c r="J25" s="51"/>
      <c r="K25" s="67">
        <f t="shared" si="0"/>
        <v>50661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14410+6012+8650+122093</f>
        <v>151165</v>
      </c>
      <c r="E26" s="44"/>
      <c r="F26" s="237"/>
      <c r="G26" s="236">
        <f>58678+19874+94359</f>
        <v>172911</v>
      </c>
      <c r="H26" s="44"/>
      <c r="I26" s="236"/>
      <c r="J26" s="51"/>
      <c r="K26" s="67">
        <f t="shared" si="0"/>
        <v>324076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29375+121780+150+221711</f>
        <v>373016</v>
      </c>
      <c r="E27" s="44">
        <v>21649</v>
      </c>
      <c r="F27" s="237"/>
      <c r="G27" s="236"/>
      <c r="H27" s="44">
        <v>89965</v>
      </c>
      <c r="I27" s="236"/>
      <c r="J27" s="51"/>
      <c r="K27" s="67">
        <f t="shared" si="0"/>
        <v>484630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221735+47454+50471+1205</f>
        <v>320865</v>
      </c>
      <c r="E29" s="44">
        <v>5591</v>
      </c>
      <c r="F29" s="237"/>
      <c r="G29" s="236"/>
      <c r="H29" s="44"/>
      <c r="I29" s="236"/>
      <c r="J29" s="51">
        <v>-50</v>
      </c>
      <c r="K29" s="67">
        <f t="shared" si="0"/>
        <v>326406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11825+1700+75</f>
        <v>13600</v>
      </c>
      <c r="E31" s="44"/>
      <c r="F31" s="237"/>
      <c r="G31" s="236"/>
      <c r="H31" s="44"/>
      <c r="I31" s="236"/>
      <c r="J31" s="51"/>
      <c r="K31" s="67">
        <f t="shared" si="0"/>
        <v>13600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>
        <v>290</v>
      </c>
      <c r="K32" s="67">
        <f t="shared" si="0"/>
        <v>290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94707</v>
      </c>
      <c r="E34" s="44"/>
      <c r="F34" s="237"/>
      <c r="G34" s="236"/>
      <c r="H34" s="44"/>
      <c r="I34" s="236"/>
      <c r="J34" s="51"/>
      <c r="K34" s="67">
        <f t="shared" si="0"/>
        <v>94707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>
        <v>25000</v>
      </c>
      <c r="K36" s="67">
        <f t="shared" si="0"/>
        <v>25000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110920</v>
      </c>
      <c r="I41" s="236"/>
      <c r="J41" s="51"/>
      <c r="K41" s="67">
        <f t="shared" si="0"/>
        <v>110920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1401980</v>
      </c>
      <c r="D44" s="246">
        <f>SUM(D5:D43)</f>
        <v>1007589</v>
      </c>
      <c r="E44" s="247">
        <f t="shared" ref="E44:J44" si="1">SUM(E5:E43)</f>
        <v>27240</v>
      </c>
      <c r="F44" s="248">
        <f t="shared" si="1"/>
        <v>449745</v>
      </c>
      <c r="G44" s="246">
        <f t="shared" si="1"/>
        <v>199653</v>
      </c>
      <c r="H44" s="247">
        <f t="shared" si="1"/>
        <v>376021</v>
      </c>
      <c r="I44" s="249">
        <f t="shared" si="1"/>
        <v>558468.87</v>
      </c>
      <c r="J44" s="250">
        <f t="shared" si="1"/>
        <v>102765</v>
      </c>
      <c r="K44" s="251">
        <f>SUM(C44:J44)</f>
        <v>4123461.87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1401980</v>
      </c>
      <c r="D56" s="276">
        <f>SUM(D44:D55)</f>
        <v>1007589</v>
      </c>
      <c r="E56" s="277">
        <f t="shared" ref="E56:J56" si="3">SUM(E44:E55)</f>
        <v>27240</v>
      </c>
      <c r="F56" s="278">
        <f t="shared" si="3"/>
        <v>449745</v>
      </c>
      <c r="G56" s="279">
        <f t="shared" si="3"/>
        <v>199653</v>
      </c>
      <c r="H56" s="277">
        <f t="shared" si="3"/>
        <v>376021</v>
      </c>
      <c r="I56" s="280">
        <f t="shared" si="3"/>
        <v>558468.87</v>
      </c>
      <c r="J56" s="281">
        <f t="shared" si="3"/>
        <v>102765</v>
      </c>
      <c r="K56" s="282">
        <f>SUM(C56:J56)</f>
        <v>4123461.87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1401980</v>
      </c>
      <c r="D62" s="7">
        <f>C56/K56</f>
        <v>0.34000071886198863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1007589</v>
      </c>
      <c r="D63" s="10">
        <f>D56/K56</f>
        <v>0.24435511513533165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2409569</v>
      </c>
      <c r="D64" s="23">
        <f>SUM(D62:D63)</f>
        <v>0.58435583399732027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27240</v>
      </c>
      <c r="D66" s="20">
        <f>E56/$K56</f>
        <v>6.6060996460723907E-3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449745</v>
      </c>
      <c r="D67" s="20">
        <f>F56/$K56</f>
        <v>0.10906976084151349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199653</v>
      </c>
      <c r="D68" s="55">
        <f>G56/$K56</f>
        <v>4.8418781668035649E-2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676638</v>
      </c>
      <c r="D69" s="23">
        <f>SUM(D66:D68)</f>
        <v>0.16409464215562153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376021</v>
      </c>
      <c r="D71" s="7">
        <f>H56/K56</f>
        <v>9.1190609214970131E-2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558468.87</v>
      </c>
      <c r="D72" s="10">
        <f>I56/K56</f>
        <v>0.1354368944364702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934489.87</v>
      </c>
      <c r="D73" s="23">
        <f>SUM(D71:D72)</f>
        <v>0.22662750365144033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102765</v>
      </c>
      <c r="D75" s="23">
        <f>J56/K56</f>
        <v>2.4922020195617813E-2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4123461.87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32" priority="3">
      <formula>ROW()=EVEN(ROW())</formula>
    </cfRule>
  </conditionalFormatting>
  <conditionalFormatting sqref="K45:K55">
    <cfRule type="expression" dxfId="31" priority="1">
      <formula>ROW()=EVEN(ROW())</formula>
    </cfRule>
  </conditionalFormatting>
  <conditionalFormatting sqref="K5:K44">
    <cfRule type="expression" dxfId="3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SKAGIT</oddHeader>
  </headerFooter>
  <rowBreaks count="1" manualBreakCount="1">
    <brk id="44" max="16383" man="1"/>
  </rowBreaks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11500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2.06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1444</v>
      </c>
      <c r="D5" s="236"/>
      <c r="E5" s="44"/>
      <c r="F5" s="237"/>
      <c r="G5" s="236"/>
      <c r="H5" s="44"/>
      <c r="I5" s="236">
        <v>9624</v>
      </c>
      <c r="J5" s="51">
        <f>556+10+5000</f>
        <v>5566</v>
      </c>
      <c r="K5" s="67">
        <f>SUM(C5:J5)</f>
        <v>16634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3297</v>
      </c>
      <c r="D7" s="236"/>
      <c r="E7" s="44"/>
      <c r="F7" s="237">
        <v>3609</v>
      </c>
      <c r="G7" s="236"/>
      <c r="H7" s="44">
        <v>26361</v>
      </c>
      <c r="I7" s="236"/>
      <c r="J7" s="51"/>
      <c r="K7" s="67">
        <f t="shared" si="0"/>
        <v>33267</v>
      </c>
      <c r="L7"/>
    </row>
    <row r="8" spans="1:12" x14ac:dyDescent="0.35">
      <c r="A8" s="93">
        <v>562.24</v>
      </c>
      <c r="B8" s="16" t="s">
        <v>11</v>
      </c>
      <c r="C8" s="235">
        <v>1989</v>
      </c>
      <c r="D8" s="236"/>
      <c r="E8" s="44"/>
      <c r="F8" s="237">
        <v>8272</v>
      </c>
      <c r="G8" s="236">
        <v>4907</v>
      </c>
      <c r="H8" s="239"/>
      <c r="I8" s="240">
        <v>4907</v>
      </c>
      <c r="J8" s="51"/>
      <c r="K8" s="67">
        <f t="shared" si="0"/>
        <v>20075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>
        <v>5867</v>
      </c>
      <c r="D10" s="236">
        <v>16740</v>
      </c>
      <c r="E10" s="44">
        <v>11949</v>
      </c>
      <c r="F10" s="237">
        <v>24651</v>
      </c>
      <c r="G10" s="236"/>
      <c r="H10" s="44"/>
      <c r="I10" s="236"/>
      <c r="J10" s="51"/>
      <c r="K10" s="67">
        <f t="shared" si="0"/>
        <v>59207</v>
      </c>
      <c r="L10"/>
    </row>
    <row r="11" spans="1:12" x14ac:dyDescent="0.35">
      <c r="A11" s="93">
        <v>562.27</v>
      </c>
      <c r="B11" s="28" t="s">
        <v>45</v>
      </c>
      <c r="C11" s="235">
        <v>2282</v>
      </c>
      <c r="D11" s="236">
        <v>6501</v>
      </c>
      <c r="E11" s="44"/>
      <c r="F11" s="237">
        <v>9602</v>
      </c>
      <c r="G11" s="236"/>
      <c r="H11" s="44">
        <v>4640</v>
      </c>
      <c r="I11" s="236"/>
      <c r="J11" s="51"/>
      <c r="K11" s="67">
        <f t="shared" si="0"/>
        <v>23025</v>
      </c>
      <c r="L11"/>
    </row>
    <row r="12" spans="1:12" x14ac:dyDescent="0.35">
      <c r="A12" s="93">
        <v>562.28</v>
      </c>
      <c r="B12" s="28" t="s">
        <v>54</v>
      </c>
      <c r="C12" s="235">
        <v>5780</v>
      </c>
      <c r="D12" s="236"/>
      <c r="E12" s="44"/>
      <c r="F12" s="237">
        <v>4646</v>
      </c>
      <c r="G12" s="236"/>
      <c r="H12" s="44">
        <v>47900</v>
      </c>
      <c r="I12" s="236"/>
      <c r="J12" s="51"/>
      <c r="K12" s="67">
        <f t="shared" si="0"/>
        <v>58326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>
        <v>3377</v>
      </c>
      <c r="D14" s="236">
        <v>4485</v>
      </c>
      <c r="E14" s="44"/>
      <c r="F14" s="237">
        <v>24595</v>
      </c>
      <c r="G14" s="236"/>
      <c r="H14" s="44">
        <v>1621</v>
      </c>
      <c r="I14" s="236"/>
      <c r="J14" s="51"/>
      <c r="K14" s="67">
        <f t="shared" si="0"/>
        <v>34078</v>
      </c>
      <c r="L14"/>
    </row>
    <row r="15" spans="1:12" x14ac:dyDescent="0.35">
      <c r="A15" s="93">
        <v>562.33000000000004</v>
      </c>
      <c r="B15" s="28" t="s">
        <v>55</v>
      </c>
      <c r="C15" s="235">
        <v>244</v>
      </c>
      <c r="D15" s="236">
        <v>173</v>
      </c>
      <c r="E15" s="44"/>
      <c r="F15" s="237">
        <v>2048</v>
      </c>
      <c r="G15" s="236"/>
      <c r="H15" s="44"/>
      <c r="I15" s="236"/>
      <c r="J15" s="51"/>
      <c r="K15" s="67">
        <f t="shared" si="0"/>
        <v>2465</v>
      </c>
      <c r="L15"/>
    </row>
    <row r="16" spans="1:12" x14ac:dyDescent="0.35">
      <c r="A16" s="93">
        <v>562.34</v>
      </c>
      <c r="B16" s="16" t="s">
        <v>13</v>
      </c>
      <c r="C16" s="235">
        <v>133</v>
      </c>
      <c r="D16" s="236">
        <v>175</v>
      </c>
      <c r="E16" s="44"/>
      <c r="F16" s="237">
        <v>1032</v>
      </c>
      <c r="G16" s="236"/>
      <c r="H16" s="44"/>
      <c r="I16" s="236"/>
      <c r="J16" s="51"/>
      <c r="K16" s="67">
        <f t="shared" si="0"/>
        <v>1340</v>
      </c>
      <c r="L16"/>
    </row>
    <row r="17" spans="1:12" x14ac:dyDescent="0.35">
      <c r="A17" s="93">
        <v>562.35</v>
      </c>
      <c r="B17" s="16" t="s">
        <v>14</v>
      </c>
      <c r="C17" s="235">
        <v>8</v>
      </c>
      <c r="D17" s="236"/>
      <c r="E17" s="44"/>
      <c r="F17" s="237">
        <v>74</v>
      </c>
      <c r="G17" s="236"/>
      <c r="H17" s="44"/>
      <c r="I17" s="236"/>
      <c r="J17" s="51"/>
      <c r="K17" s="67">
        <f t="shared" si="0"/>
        <v>82</v>
      </c>
      <c r="L17"/>
    </row>
    <row r="18" spans="1:12" x14ac:dyDescent="0.35">
      <c r="A18" s="93">
        <v>562.39</v>
      </c>
      <c r="B18" s="16" t="s">
        <v>15</v>
      </c>
      <c r="C18" s="235">
        <v>904</v>
      </c>
      <c r="D18" s="236">
        <v>10</v>
      </c>
      <c r="E18" s="44"/>
      <c r="F18" s="237">
        <v>8206</v>
      </c>
      <c r="G18" s="236"/>
      <c r="H18" s="44"/>
      <c r="I18" s="236"/>
      <c r="J18" s="51"/>
      <c r="K18" s="67">
        <f t="shared" si="0"/>
        <v>9120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>
        <v>1088</v>
      </c>
      <c r="D20" s="236"/>
      <c r="E20" s="44"/>
      <c r="F20" s="237">
        <v>9893</v>
      </c>
      <c r="G20" s="236"/>
      <c r="H20" s="44"/>
      <c r="I20" s="236"/>
      <c r="J20" s="51"/>
      <c r="K20" s="67">
        <f t="shared" si="0"/>
        <v>10981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/>
      <c r="E25" s="44"/>
      <c r="F25" s="237"/>
      <c r="G25" s="236"/>
      <c r="H25" s="44"/>
      <c r="I25" s="236"/>
      <c r="J25" s="51"/>
      <c r="K25" s="67">
        <f t="shared" si="0"/>
        <v>0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/>
      <c r="H26" s="44"/>
      <c r="I26" s="236"/>
      <c r="J26" s="51"/>
      <c r="K26" s="67">
        <f t="shared" si="0"/>
        <v>0</v>
      </c>
      <c r="L26"/>
    </row>
    <row r="27" spans="1:12" x14ac:dyDescent="0.35">
      <c r="A27" s="93">
        <v>562.54</v>
      </c>
      <c r="B27" s="28" t="s">
        <v>60</v>
      </c>
      <c r="C27" s="235"/>
      <c r="D27" s="236"/>
      <c r="E27" s="44"/>
      <c r="F27" s="237"/>
      <c r="G27" s="236"/>
      <c r="H27" s="44"/>
      <c r="I27" s="236"/>
      <c r="J27" s="51"/>
      <c r="K27" s="67">
        <f t="shared" si="0"/>
        <v>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>
        <v>3228</v>
      </c>
      <c r="D29" s="236">
        <v>29270</v>
      </c>
      <c r="E29" s="44"/>
      <c r="F29" s="237"/>
      <c r="G29" s="236"/>
      <c r="H29" s="44"/>
      <c r="I29" s="236"/>
      <c r="J29" s="51"/>
      <c r="K29" s="67">
        <f t="shared" si="0"/>
        <v>32498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/>
      <c r="G31" s="236"/>
      <c r="H31" s="44"/>
      <c r="I31" s="236"/>
      <c r="J31" s="51"/>
      <c r="K31" s="67">
        <f t="shared" si="0"/>
        <v>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62</v>
      </c>
      <c r="D34" s="236">
        <v>707</v>
      </c>
      <c r="E34" s="44"/>
      <c r="F34" s="237"/>
      <c r="G34" s="236"/>
      <c r="H34" s="44"/>
      <c r="I34" s="236"/>
      <c r="J34" s="51"/>
      <c r="K34" s="67">
        <f t="shared" si="0"/>
        <v>769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>
        <v>2459</v>
      </c>
      <c r="D41" s="236"/>
      <c r="E41" s="44"/>
      <c r="F41" s="237">
        <v>1621</v>
      </c>
      <c r="G41" s="236"/>
      <c r="H41" s="44">
        <v>20736</v>
      </c>
      <c r="I41" s="236"/>
      <c r="J41" s="51"/>
      <c r="K41" s="67">
        <f t="shared" si="0"/>
        <v>24816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32162</v>
      </c>
      <c r="D44" s="246">
        <f>SUM(D5:D43)</f>
        <v>58061</v>
      </c>
      <c r="E44" s="247">
        <f t="shared" ref="E44:J44" si="1">SUM(E5:E43)</f>
        <v>11949</v>
      </c>
      <c r="F44" s="248">
        <f>SUM(F5:F43)</f>
        <v>98249</v>
      </c>
      <c r="G44" s="246">
        <f>SUM(G5:G43)</f>
        <v>4907</v>
      </c>
      <c r="H44" s="247">
        <f t="shared" si="1"/>
        <v>101258</v>
      </c>
      <c r="I44" s="249">
        <f t="shared" si="1"/>
        <v>14531</v>
      </c>
      <c r="J44" s="250">
        <f t="shared" si="1"/>
        <v>5566</v>
      </c>
      <c r="K44" s="251">
        <f>SUM(C44:J44)</f>
        <v>326683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/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/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/>
      <c r="D49" s="236"/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/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12062</v>
      </c>
      <c r="D52" s="236">
        <v>744548</v>
      </c>
      <c r="E52" s="44"/>
      <c r="F52" s="237"/>
      <c r="G52" s="236">
        <v>194877</v>
      </c>
      <c r="H52" s="44"/>
      <c r="I52" s="236"/>
      <c r="J52" s="51">
        <v>489</v>
      </c>
      <c r="K52" s="67">
        <f t="shared" si="2"/>
        <v>951976</v>
      </c>
      <c r="L52"/>
    </row>
    <row r="53" spans="1:12" x14ac:dyDescent="0.35">
      <c r="A53" s="93">
        <v>566</v>
      </c>
      <c r="B53" s="16" t="s">
        <v>38</v>
      </c>
      <c r="C53" s="235">
        <v>59413</v>
      </c>
      <c r="D53" s="236">
        <v>97078</v>
      </c>
      <c r="E53" s="44"/>
      <c r="F53" s="237"/>
      <c r="G53" s="236">
        <f>27090+742</f>
        <v>27832</v>
      </c>
      <c r="H53" s="44"/>
      <c r="I53" s="236">
        <v>2757</v>
      </c>
      <c r="J53" s="51">
        <v>88</v>
      </c>
      <c r="K53" s="67">
        <f t="shared" si="2"/>
        <v>187168</v>
      </c>
      <c r="L53"/>
    </row>
    <row r="54" spans="1:12" x14ac:dyDescent="0.35">
      <c r="A54" s="93">
        <v>568</v>
      </c>
      <c r="B54" s="16" t="s">
        <v>39</v>
      </c>
      <c r="C54" s="235">
        <v>12062</v>
      </c>
      <c r="D54" s="236">
        <v>37037</v>
      </c>
      <c r="E54" s="44"/>
      <c r="F54" s="237"/>
      <c r="G54" s="236">
        <v>58311</v>
      </c>
      <c r="H54" s="44"/>
      <c r="I54" s="236"/>
      <c r="J54" s="51">
        <v>139</v>
      </c>
      <c r="K54" s="67">
        <f t="shared" si="2"/>
        <v>107549</v>
      </c>
      <c r="L54"/>
    </row>
    <row r="55" spans="1:12" x14ac:dyDescent="0.35">
      <c r="A55" s="95">
        <v>500</v>
      </c>
      <c r="B55" s="14" t="s">
        <v>68</v>
      </c>
      <c r="C55" s="273"/>
      <c r="D55" s="243"/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115699</v>
      </c>
      <c r="D56" s="276">
        <f>SUM(D44:D55)</f>
        <v>936724</v>
      </c>
      <c r="E56" s="277">
        <f t="shared" ref="E56:J56" si="3">SUM(E44:E55)</f>
        <v>11949</v>
      </c>
      <c r="F56" s="278">
        <f>SUM(F44:F55)</f>
        <v>98249</v>
      </c>
      <c r="G56" s="279">
        <f>SUM(G44:G55)</f>
        <v>285927</v>
      </c>
      <c r="H56" s="277">
        <f t="shared" si="3"/>
        <v>101258</v>
      </c>
      <c r="I56" s="280">
        <f t="shared" si="3"/>
        <v>17288</v>
      </c>
      <c r="J56" s="281">
        <f t="shared" si="3"/>
        <v>6282</v>
      </c>
      <c r="K56" s="282">
        <f>SUM(C56:J56)</f>
        <v>1573376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115699</v>
      </c>
      <c r="D62" s="7">
        <f>C56/K56</f>
        <v>7.3535505816791413E-2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936724</v>
      </c>
      <c r="D63" s="10">
        <f>D56/K56</f>
        <v>0.5953592783924504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1052423</v>
      </c>
      <c r="D64" s="23">
        <f>SUM(D62:D63)</f>
        <v>0.66889478420924187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11949</v>
      </c>
      <c r="D66" s="20">
        <f>E56/$K56</f>
        <v>7.5944974373576305E-3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98249</v>
      </c>
      <c r="D67" s="20">
        <f>F56/$K56</f>
        <v>6.244470488935893E-2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285927</v>
      </c>
      <c r="D68" s="55">
        <f>G56/$K56</f>
        <v>0.18172833448584444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396125</v>
      </c>
      <c r="D69" s="23">
        <f>SUM(D66:D68)</f>
        <v>0.25176753681256103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101258</v>
      </c>
      <c r="D71" s="7">
        <f>H56/K56</f>
        <v>6.435715302635861E-2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17288</v>
      </c>
      <c r="D72" s="10">
        <f>I56/K56</f>
        <v>1.0987837617962903E-2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118546</v>
      </c>
      <c r="D73" s="23">
        <f>SUM(D71:D72)</f>
        <v>7.5344990644321513E-2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6282</v>
      </c>
      <c r="D75" s="23">
        <f>J56/K56</f>
        <v>3.9926883338756913E-3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1573376</v>
      </c>
      <c r="D76" s="37">
        <f>D69+D73+D64+D75</f>
        <v>1.0000000000000002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29" priority="3">
      <formula>ROW()=EVEN(ROW())</formula>
    </cfRule>
  </conditionalFormatting>
  <conditionalFormatting sqref="K45:K55">
    <cfRule type="expression" dxfId="28" priority="1">
      <formula>ROW()=EVEN(ROW())</formula>
    </cfRule>
  </conditionalFormatting>
  <conditionalFormatting sqref="K5:K44">
    <cfRule type="expression" dxfId="27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SKAMANIA</oddHeader>
  </headerFooter>
  <rowBreaks count="1" manualBreakCount="1">
    <brk id="44" max="16383" man="1"/>
  </rowBreaks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772860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128.80000000000001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653200</v>
      </c>
      <c r="D5" s="236">
        <f>319+459+212</f>
        <v>990</v>
      </c>
      <c r="E5" s="44"/>
      <c r="F5" s="237">
        <v>343981</v>
      </c>
      <c r="G5" s="236"/>
      <c r="H5" s="44"/>
      <c r="I5" s="236"/>
      <c r="J5" s="51">
        <f>33983+6425+191509+1283-887390</f>
        <v>-654190</v>
      </c>
      <c r="K5" s="67">
        <f>SUM(C5:J5)</f>
        <v>343981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400000</v>
      </c>
      <c r="D7" s="236">
        <v>110880</v>
      </c>
      <c r="E7" s="44"/>
      <c r="F7" s="237">
        <v>434860</v>
      </c>
      <c r="G7" s="236"/>
      <c r="H7" s="44">
        <v>238130</v>
      </c>
      <c r="I7" s="236">
        <v>76388</v>
      </c>
      <c r="J7" s="51">
        <f>350-41297</f>
        <v>-40947</v>
      </c>
      <c r="K7" s="67">
        <f t="shared" si="0"/>
        <v>1219311</v>
      </c>
      <c r="L7"/>
    </row>
    <row r="8" spans="1:12" x14ac:dyDescent="0.35">
      <c r="A8" s="93">
        <v>562.24</v>
      </c>
      <c r="B8" s="16" t="s">
        <v>11</v>
      </c>
      <c r="C8" s="235"/>
      <c r="D8" s="236">
        <v>5100</v>
      </c>
      <c r="E8" s="44"/>
      <c r="F8" s="237">
        <v>5310</v>
      </c>
      <c r="G8" s="236"/>
      <c r="H8" s="239"/>
      <c r="I8" s="240">
        <f>43000+9905</f>
        <v>52905</v>
      </c>
      <c r="J8" s="51">
        <v>866</v>
      </c>
      <c r="K8" s="67">
        <f t="shared" si="0"/>
        <v>64181</v>
      </c>
      <c r="L8"/>
    </row>
    <row r="9" spans="1:12" x14ac:dyDescent="0.35">
      <c r="A9" s="93">
        <v>562.25</v>
      </c>
      <c r="B9" s="28" t="s">
        <v>53</v>
      </c>
      <c r="C9" s="235"/>
      <c r="D9" s="236">
        <v>6175</v>
      </c>
      <c r="E9" s="44"/>
      <c r="F9" s="237">
        <v>6244</v>
      </c>
      <c r="G9" s="236"/>
      <c r="H9" s="44">
        <v>233092</v>
      </c>
      <c r="I9" s="236">
        <v>1029</v>
      </c>
      <c r="J9" s="51">
        <v>1019</v>
      </c>
      <c r="K9" s="67">
        <f t="shared" si="0"/>
        <v>247559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>
        <v>151955</v>
      </c>
      <c r="G12" s="236"/>
      <c r="H12" s="44">
        <v>1195094</v>
      </c>
      <c r="I12" s="236"/>
      <c r="J12" s="51">
        <v>24795</v>
      </c>
      <c r="K12" s="67">
        <f t="shared" si="0"/>
        <v>1371844</v>
      </c>
      <c r="L12"/>
    </row>
    <row r="13" spans="1:12" x14ac:dyDescent="0.35">
      <c r="A13" s="93">
        <v>562.29</v>
      </c>
      <c r="B13" s="28" t="s">
        <v>46</v>
      </c>
      <c r="C13" s="235"/>
      <c r="D13" s="236">
        <v>282093</v>
      </c>
      <c r="E13" s="44"/>
      <c r="F13" s="237">
        <v>418</v>
      </c>
      <c r="G13" s="236"/>
      <c r="H13" s="44"/>
      <c r="I13" s="236"/>
      <c r="J13" s="51">
        <v>68</v>
      </c>
      <c r="K13" s="67">
        <f t="shared" si="0"/>
        <v>282579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v>258160</v>
      </c>
      <c r="E14" s="44"/>
      <c r="F14" s="237">
        <v>498833</v>
      </c>
      <c r="G14" s="236"/>
      <c r="H14" s="44">
        <v>151807</v>
      </c>
      <c r="I14" s="236"/>
      <c r="J14" s="51">
        <f>22750-176764</f>
        <v>-154014</v>
      </c>
      <c r="K14" s="67">
        <f t="shared" si="0"/>
        <v>754786</v>
      </c>
      <c r="L14"/>
    </row>
    <row r="15" spans="1:12" x14ac:dyDescent="0.35">
      <c r="A15" s="93">
        <v>562.33000000000004</v>
      </c>
      <c r="B15" s="28" t="s">
        <v>55</v>
      </c>
      <c r="C15" s="235">
        <v>98285</v>
      </c>
      <c r="D15" s="236"/>
      <c r="E15" s="44"/>
      <c r="F15" s="237">
        <v>93586</v>
      </c>
      <c r="G15" s="236"/>
      <c r="H15" s="44">
        <v>44381</v>
      </c>
      <c r="I15" s="236"/>
      <c r="J15" s="51">
        <v>15271</v>
      </c>
      <c r="K15" s="67">
        <f t="shared" si="0"/>
        <v>251523</v>
      </c>
      <c r="L15"/>
    </row>
    <row r="16" spans="1:12" x14ac:dyDescent="0.35">
      <c r="A16" s="93">
        <v>562.34</v>
      </c>
      <c r="B16" s="16" t="s">
        <v>13</v>
      </c>
      <c r="C16" s="235">
        <v>1121886</v>
      </c>
      <c r="D16" s="236">
        <f>10918+26509+37506</f>
        <v>74933</v>
      </c>
      <c r="E16" s="44">
        <v>16667</v>
      </c>
      <c r="F16" s="237"/>
      <c r="G16" s="236"/>
      <c r="H16" s="44">
        <v>95968</v>
      </c>
      <c r="I16" s="236"/>
      <c r="J16" s="51"/>
      <c r="K16" s="67">
        <f t="shared" si="0"/>
        <v>1309454</v>
      </c>
      <c r="L16"/>
    </row>
    <row r="17" spans="1:12" x14ac:dyDescent="0.35">
      <c r="A17" s="93">
        <v>562.35</v>
      </c>
      <c r="B17" s="16" t="s">
        <v>14</v>
      </c>
      <c r="C17" s="235"/>
      <c r="D17" s="236">
        <v>650</v>
      </c>
      <c r="E17" s="44">
        <f>40751+17470</f>
        <v>58221</v>
      </c>
      <c r="F17" s="237">
        <v>49539</v>
      </c>
      <c r="G17" s="236"/>
      <c r="H17" s="44">
        <v>220247</v>
      </c>
      <c r="I17" s="236"/>
      <c r="J17" s="51">
        <v>8083</v>
      </c>
      <c r="K17" s="67">
        <f t="shared" si="0"/>
        <v>336740</v>
      </c>
      <c r="L17"/>
    </row>
    <row r="18" spans="1:12" x14ac:dyDescent="0.35">
      <c r="A18" s="93">
        <v>562.39</v>
      </c>
      <c r="B18" s="16" t="s">
        <v>15</v>
      </c>
      <c r="C18" s="235">
        <v>379829</v>
      </c>
      <c r="D18" s="236">
        <v>-66</v>
      </c>
      <c r="E18" s="44"/>
      <c r="F18" s="237">
        <v>413937</v>
      </c>
      <c r="G18" s="236"/>
      <c r="H18" s="44">
        <v>4599</v>
      </c>
      <c r="I18" s="236"/>
      <c r="J18" s="51">
        <v>67544</v>
      </c>
      <c r="K18" s="67">
        <f t="shared" si="0"/>
        <v>865843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>
        <v>87899</v>
      </c>
      <c r="F22" s="237">
        <v>409408</v>
      </c>
      <c r="G22" s="236">
        <v>115066</v>
      </c>
      <c r="H22" s="44">
        <v>36430</v>
      </c>
      <c r="I22" s="236"/>
      <c r="J22" s="51">
        <v>66804</v>
      </c>
      <c r="K22" s="67">
        <f t="shared" si="0"/>
        <v>715607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>
        <v>49803</v>
      </c>
      <c r="I24" s="236"/>
      <c r="J24" s="51">
        <v>-10743</v>
      </c>
      <c r="K24" s="67">
        <f t="shared" si="0"/>
        <v>39060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141144+6400+6400</f>
        <v>153944</v>
      </c>
      <c r="E25" s="44"/>
      <c r="F25" s="237"/>
      <c r="G25" s="236"/>
      <c r="H25" s="44"/>
      <c r="I25" s="236"/>
      <c r="J25" s="51">
        <v>-23723</v>
      </c>
      <c r="K25" s="67">
        <f t="shared" si="0"/>
        <v>130221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81191+740090+338071</f>
        <v>1159352</v>
      </c>
      <c r="E26" s="44"/>
      <c r="F26" s="237"/>
      <c r="G26" s="236">
        <v>392386</v>
      </c>
      <c r="H26" s="44"/>
      <c r="I26" s="236"/>
      <c r="J26" s="51">
        <f>55733-172011</f>
        <v>-116278</v>
      </c>
      <c r="K26" s="67">
        <f t="shared" si="0"/>
        <v>1435460</v>
      </c>
      <c r="L26"/>
    </row>
    <row r="27" spans="1:12" x14ac:dyDescent="0.35">
      <c r="A27" s="93">
        <v>562.54</v>
      </c>
      <c r="B27" s="28" t="s">
        <v>60</v>
      </c>
      <c r="C27" s="235">
        <v>38477</v>
      </c>
      <c r="D27" s="236">
        <f>55762+931515+263982</f>
        <v>1251259</v>
      </c>
      <c r="E27" s="44">
        <v>90000</v>
      </c>
      <c r="F27" s="237">
        <v>159296</v>
      </c>
      <c r="G27" s="236"/>
      <c r="H27" s="44"/>
      <c r="I27" s="236"/>
      <c r="J27" s="51">
        <v>25993</v>
      </c>
      <c r="K27" s="67">
        <f t="shared" si="0"/>
        <v>1565025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2206999+155246</f>
        <v>2362245</v>
      </c>
      <c r="E29" s="44"/>
      <c r="F29" s="237">
        <v>370407</v>
      </c>
      <c r="G29" s="236"/>
      <c r="H29" s="44"/>
      <c r="I29" s="236"/>
      <c r="J29" s="51">
        <v>60441</v>
      </c>
      <c r="K29" s="67">
        <f t="shared" si="0"/>
        <v>2793093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258307+90590</f>
        <v>348897</v>
      </c>
      <c r="E31" s="44"/>
      <c r="F31" s="237">
        <v>68826</v>
      </c>
      <c r="G31" s="236"/>
      <c r="H31" s="44"/>
      <c r="I31" s="236"/>
      <c r="J31" s="51">
        <v>11231</v>
      </c>
      <c r="K31" s="67">
        <f t="shared" si="0"/>
        <v>428954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>
        <f>4049+4000</f>
        <v>8049</v>
      </c>
      <c r="E33" s="44">
        <v>6042</v>
      </c>
      <c r="F33" s="237">
        <v>38128</v>
      </c>
      <c r="G33" s="236"/>
      <c r="H33" s="44"/>
      <c r="I33" s="236"/>
      <c r="J33" s="51">
        <v>6221</v>
      </c>
      <c r="K33" s="67">
        <f t="shared" si="0"/>
        <v>58440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f>249+376352</f>
        <v>376601</v>
      </c>
      <c r="E34" s="44"/>
      <c r="F34" s="237"/>
      <c r="G34" s="236"/>
      <c r="H34" s="44"/>
      <c r="I34" s="236"/>
      <c r="J34" s="51">
        <f>6-59782</f>
        <v>-59776</v>
      </c>
      <c r="K34" s="67">
        <f t="shared" si="0"/>
        <v>316825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v>3236</v>
      </c>
      <c r="D40" s="236">
        <v>2883</v>
      </c>
      <c r="E40" s="44"/>
      <c r="F40" s="237">
        <v>367131</v>
      </c>
      <c r="G40" s="236"/>
      <c r="H40" s="44"/>
      <c r="I40" s="236">
        <v>800</v>
      </c>
      <c r="J40" s="51">
        <v>59906</v>
      </c>
      <c r="K40" s="67">
        <f t="shared" si="0"/>
        <v>433956</v>
      </c>
      <c r="L40"/>
    </row>
    <row r="41" spans="1:12" x14ac:dyDescent="0.35">
      <c r="A41" s="93">
        <v>562.88</v>
      </c>
      <c r="B41" s="28" t="s">
        <v>51</v>
      </c>
      <c r="C41" s="235"/>
      <c r="D41" s="236">
        <v>14159</v>
      </c>
      <c r="E41" s="44"/>
      <c r="F41" s="237"/>
      <c r="G41" s="236"/>
      <c r="H41" s="44">
        <f>789614+2390</f>
        <v>792004</v>
      </c>
      <c r="I41" s="236">
        <v>250</v>
      </c>
      <c r="J41" s="51"/>
      <c r="K41" s="67">
        <f t="shared" si="0"/>
        <v>806413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>
        <v>9383</v>
      </c>
      <c r="G42" s="236"/>
      <c r="H42" s="44"/>
      <c r="I42" s="236">
        <v>10915</v>
      </c>
      <c r="J42" s="51">
        <v>1531</v>
      </c>
      <c r="K42" s="67">
        <f t="shared" si="0"/>
        <v>21829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2694913</v>
      </c>
      <c r="D44" s="246">
        <f>SUM(D5:D43)</f>
        <v>6416304</v>
      </c>
      <c r="E44" s="247">
        <f t="shared" ref="E44:J44" si="1">SUM(E5:E43)</f>
        <v>258829</v>
      </c>
      <c r="F44" s="248">
        <f t="shared" si="1"/>
        <v>3421242</v>
      </c>
      <c r="G44" s="246">
        <f t="shared" si="1"/>
        <v>507452</v>
      </c>
      <c r="H44" s="247">
        <f t="shared" si="1"/>
        <v>3061555</v>
      </c>
      <c r="I44" s="249">
        <f t="shared" si="1"/>
        <v>142287</v>
      </c>
      <c r="J44" s="250">
        <f t="shared" si="1"/>
        <v>-709898</v>
      </c>
      <c r="K44" s="251">
        <f>SUM(C44:J44)</f>
        <v>15792684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>
        <v>12050</v>
      </c>
      <c r="G49" s="236">
        <v>115839</v>
      </c>
      <c r="H49" s="44"/>
      <c r="I49" s="236">
        <v>14017</v>
      </c>
      <c r="J49" s="51">
        <v>1966</v>
      </c>
      <c r="K49" s="67">
        <f t="shared" si="2"/>
        <v>143872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2694913</v>
      </c>
      <c r="D56" s="276">
        <f>SUM(D44:D55)</f>
        <v>6416304</v>
      </c>
      <c r="E56" s="277">
        <f t="shared" ref="E56:J56" si="3">SUM(E44:E55)</f>
        <v>258829</v>
      </c>
      <c r="F56" s="278">
        <f t="shared" si="3"/>
        <v>3433292</v>
      </c>
      <c r="G56" s="279">
        <f t="shared" si="3"/>
        <v>623291</v>
      </c>
      <c r="H56" s="277">
        <f t="shared" si="3"/>
        <v>3061555</v>
      </c>
      <c r="I56" s="280">
        <f t="shared" si="3"/>
        <v>156304</v>
      </c>
      <c r="J56" s="281">
        <f t="shared" si="3"/>
        <v>-707932</v>
      </c>
      <c r="K56" s="282">
        <f>SUM(C56:J56)</f>
        <v>15936556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2694913</v>
      </c>
      <c r="D62" s="7">
        <f>C56/K56</f>
        <v>0.16910259657105337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6416304</v>
      </c>
      <c r="D63" s="10">
        <f>D56/K56</f>
        <v>0.40261547099636835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9111217</v>
      </c>
      <c r="D64" s="23">
        <f>SUM(D62:D63)</f>
        <v>0.57171806756742172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258829</v>
      </c>
      <c r="D66" s="20">
        <f>E56/$K56</f>
        <v>1.6241212969728216E-2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3433292</v>
      </c>
      <c r="D67" s="20">
        <f>F56/$K56</f>
        <v>0.21543500364821608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623291</v>
      </c>
      <c r="D68" s="55">
        <f>G56/$K56</f>
        <v>3.9110771486637386E-2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4315412</v>
      </c>
      <c r="D69" s="23">
        <f>SUM(D66:D68)</f>
        <v>0.27078698810458168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3061555</v>
      </c>
      <c r="D71" s="7">
        <f>H56/K56</f>
        <v>0.1921089475040906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156304</v>
      </c>
      <c r="D72" s="10">
        <f>I56/K56</f>
        <v>9.8078907387518354E-3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3217859</v>
      </c>
      <c r="D73" s="23">
        <f>SUM(D71:D72)</f>
        <v>0.20191683824284243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-707932</v>
      </c>
      <c r="D75" s="23">
        <f>J56/K56</f>
        <v>-4.4421893914845842E-2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15936556</v>
      </c>
      <c r="D76" s="37">
        <f>D69+D73+D64+D75</f>
        <v>1.0000000000000002</v>
      </c>
      <c r="E76" s="42"/>
      <c r="F76" s="42"/>
      <c r="H76"/>
      <c r="I76"/>
      <c r="J76" s="42"/>
      <c r="L76"/>
    </row>
    <row r="77" spans="2:12" x14ac:dyDescent="0.35">
      <c r="C77"/>
      <c r="D77"/>
      <c r="E77" s="42"/>
      <c r="F77" s="42"/>
      <c r="H77"/>
      <c r="I77"/>
      <c r="J77" s="42"/>
      <c r="L77"/>
    </row>
    <row r="78" spans="2:12" x14ac:dyDescent="0.35">
      <c r="C78"/>
      <c r="D78"/>
      <c r="E78" s="42"/>
      <c r="F78" s="42"/>
      <c r="H78"/>
      <c r="I78"/>
      <c r="J78" s="42"/>
      <c r="L78"/>
    </row>
    <row r="79" spans="2:12" x14ac:dyDescent="0.35">
      <c r="C79"/>
      <c r="D79"/>
      <c r="E79" s="42"/>
      <c r="F79" s="42"/>
      <c r="H79"/>
      <c r="I79"/>
      <c r="J79" s="42"/>
      <c r="L79"/>
    </row>
    <row r="80" spans="2:12" x14ac:dyDescent="0.35">
      <c r="C80"/>
      <c r="D80"/>
      <c r="E80" s="42"/>
      <c r="F80" s="42"/>
      <c r="H80"/>
      <c r="I80"/>
      <c r="J80" s="42"/>
      <c r="L80"/>
    </row>
    <row r="81" spans="3:12" x14ac:dyDescent="0.35">
      <c r="C81"/>
      <c r="D81"/>
      <c r="E81" s="42"/>
      <c r="F81" s="42"/>
      <c r="H81"/>
      <c r="I81"/>
      <c r="J81" s="42"/>
      <c r="L81"/>
    </row>
    <row r="82" spans="3:12" x14ac:dyDescent="0.35">
      <c r="C82"/>
      <c r="D82"/>
      <c r="E82" s="42"/>
      <c r="F82" s="42"/>
      <c r="H82"/>
      <c r="I82"/>
      <c r="J82" s="42"/>
      <c r="L82"/>
    </row>
    <row r="86" spans="3:12" x14ac:dyDescent="0.35">
      <c r="L86" s="47"/>
    </row>
    <row r="87" spans="3:12" x14ac:dyDescent="0.35">
      <c r="L87" s="47"/>
    </row>
    <row r="88" spans="3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26" priority="3">
      <formula>ROW()=EVEN(ROW())</formula>
    </cfRule>
  </conditionalFormatting>
  <conditionalFormatting sqref="K45:K55">
    <cfRule type="expression" dxfId="25" priority="1">
      <formula>ROW()=EVEN(ROW())</formula>
    </cfRule>
  </conditionalFormatting>
  <conditionalFormatting sqref="K5:K44">
    <cfRule type="expression" dxfId="24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SNOHOMISH</oddHeader>
  </headerFooter>
  <rowBreaks count="1" manualBreakCount="1">
    <brk id="44" max="16383" man="1"/>
  </rowBreaks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492530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217.88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507827+70556</f>
        <v>578383</v>
      </c>
      <c r="D5" s="236">
        <v>937</v>
      </c>
      <c r="E5" s="44"/>
      <c r="F5" s="237">
        <v>804910</v>
      </c>
      <c r="G5" s="236"/>
      <c r="H5" s="44"/>
      <c r="I5" s="236">
        <v>424738</v>
      </c>
      <c r="J5" s="51">
        <f>66672-135+55216+13</f>
        <v>121766</v>
      </c>
      <c r="K5" s="67">
        <f>SUM(C5:J5)</f>
        <v>1930734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>
        <v>2600</v>
      </c>
      <c r="E7" s="44"/>
      <c r="F7" s="237">
        <v>556999</v>
      </c>
      <c r="G7" s="236">
        <v>132455</v>
      </c>
      <c r="H7" s="44">
        <v>195926</v>
      </c>
      <c r="I7" s="236">
        <f>707167+8574+129310</f>
        <v>845051</v>
      </c>
      <c r="J7" s="51">
        <v>11305</v>
      </c>
      <c r="K7" s="67">
        <f t="shared" si="0"/>
        <v>1744336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>
        <v>1131</v>
      </c>
      <c r="G8" s="236">
        <v>96316</v>
      </c>
      <c r="H8" s="239"/>
      <c r="I8" s="240">
        <f>21500+7107</f>
        <v>28607</v>
      </c>
      <c r="J8" s="51"/>
      <c r="K8" s="67">
        <f t="shared" si="0"/>
        <v>126054</v>
      </c>
      <c r="L8"/>
    </row>
    <row r="9" spans="1:12" x14ac:dyDescent="0.35">
      <c r="A9" s="93">
        <v>562.25</v>
      </c>
      <c r="B9" s="28" t="s">
        <v>53</v>
      </c>
      <c r="C9" s="235"/>
      <c r="D9" s="236">
        <v>1662</v>
      </c>
      <c r="E9" s="44"/>
      <c r="F9" s="237">
        <v>282543</v>
      </c>
      <c r="G9" s="236">
        <f>172743+4260262</f>
        <v>4433005</v>
      </c>
      <c r="H9" s="44">
        <v>164587</v>
      </c>
      <c r="I9" s="236">
        <f>648828+20706+22759</f>
        <v>692293</v>
      </c>
      <c r="J9" s="51">
        <v>100</v>
      </c>
      <c r="K9" s="67">
        <f t="shared" si="0"/>
        <v>5574190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>
        <v>256302</v>
      </c>
      <c r="G12" s="236"/>
      <c r="H12" s="44">
        <f>1475+2112340</f>
        <v>2113815</v>
      </c>
      <c r="I12" s="236"/>
      <c r="J12" s="51">
        <v>450</v>
      </c>
      <c r="K12" s="67">
        <f t="shared" si="0"/>
        <v>2370567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/>
      <c r="E14" s="44"/>
      <c r="F14" s="237">
        <v>45474</v>
      </c>
      <c r="G14" s="236"/>
      <c r="H14" s="44">
        <f>101199+9214</f>
        <v>110413</v>
      </c>
      <c r="I14" s="236"/>
      <c r="J14" s="51">
        <v>25659</v>
      </c>
      <c r="K14" s="67">
        <f t="shared" si="0"/>
        <v>181546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>
        <v>7288</v>
      </c>
      <c r="G15" s="236"/>
      <c r="H15" s="44">
        <v>40000</v>
      </c>
      <c r="I15" s="236"/>
      <c r="J15" s="51"/>
      <c r="K15" s="67">
        <f t="shared" si="0"/>
        <v>47288</v>
      </c>
      <c r="L15"/>
    </row>
    <row r="16" spans="1:12" x14ac:dyDescent="0.35">
      <c r="A16" s="93">
        <v>562.34</v>
      </c>
      <c r="B16" s="16" t="s">
        <v>13</v>
      </c>
      <c r="C16" s="235">
        <v>133734</v>
      </c>
      <c r="D16" s="236">
        <v>2157</v>
      </c>
      <c r="E16" s="44"/>
      <c r="F16" s="237"/>
      <c r="G16" s="236"/>
      <c r="H16" s="44"/>
      <c r="I16" s="236"/>
      <c r="J16" s="51"/>
      <c r="K16" s="67">
        <f t="shared" si="0"/>
        <v>135891</v>
      </c>
      <c r="L16"/>
    </row>
    <row r="17" spans="1:12" x14ac:dyDescent="0.35">
      <c r="A17" s="93">
        <v>562.35</v>
      </c>
      <c r="B17" s="16" t="s">
        <v>14</v>
      </c>
      <c r="C17" s="235">
        <v>199122</v>
      </c>
      <c r="D17" s="236">
        <f>6667+83059</f>
        <v>89726</v>
      </c>
      <c r="E17" s="44">
        <f>383077+68237+22627</f>
        <v>473941</v>
      </c>
      <c r="F17" s="237"/>
      <c r="G17" s="236"/>
      <c r="H17" s="44">
        <v>85179</v>
      </c>
      <c r="I17" s="236">
        <v>16605</v>
      </c>
      <c r="J17" s="51">
        <v>220</v>
      </c>
      <c r="K17" s="67">
        <f t="shared" si="0"/>
        <v>864793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/>
      <c r="G18" s="236"/>
      <c r="H18" s="44"/>
      <c r="I18" s="236"/>
      <c r="J18" s="51"/>
      <c r="K18" s="67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>
        <v>22613</v>
      </c>
      <c r="G19" s="236"/>
      <c r="H19" s="44">
        <f>74081+52791</f>
        <v>126872</v>
      </c>
      <c r="I19" s="236">
        <v>114890</v>
      </c>
      <c r="J19" s="51"/>
      <c r="K19" s="67">
        <f t="shared" si="0"/>
        <v>264375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>
        <v>78</v>
      </c>
      <c r="E20" s="44"/>
      <c r="F20" s="237">
        <v>482585</v>
      </c>
      <c r="G20" s="236"/>
      <c r="H20" s="44"/>
      <c r="I20" s="236">
        <v>147639</v>
      </c>
      <c r="J20" s="51"/>
      <c r="K20" s="67">
        <f t="shared" si="0"/>
        <v>630302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>
        <v>72054</v>
      </c>
      <c r="F21" s="237">
        <v>1350</v>
      </c>
      <c r="G21" s="236"/>
      <c r="H21" s="44">
        <f>16239+96763+122979</f>
        <v>235981</v>
      </c>
      <c r="I21" s="236"/>
      <c r="J21" s="51">
        <v>11991</v>
      </c>
      <c r="K21" s="67">
        <f t="shared" si="0"/>
        <v>321376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>
        <v>436440</v>
      </c>
      <c r="F22" s="237">
        <v>83702</v>
      </c>
      <c r="G22" s="236"/>
      <c r="H22" s="44">
        <f>21430+44158</f>
        <v>65588</v>
      </c>
      <c r="I22" s="236"/>
      <c r="J22" s="51"/>
      <c r="K22" s="67">
        <f t="shared" si="0"/>
        <v>585730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>
        <v>150</v>
      </c>
      <c r="E23" s="44"/>
      <c r="F23" s="237">
        <v>34523</v>
      </c>
      <c r="G23" s="236">
        <v>26000</v>
      </c>
      <c r="H23" s="44"/>
      <c r="I23" s="236"/>
      <c r="J23" s="51">
        <v>7197</v>
      </c>
      <c r="K23" s="67">
        <f t="shared" si="0"/>
        <v>67870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/>
      <c r="E25" s="44"/>
      <c r="F25" s="237"/>
      <c r="G25" s="236"/>
      <c r="H25" s="44"/>
      <c r="I25" s="236"/>
      <c r="J25" s="51"/>
      <c r="K25" s="67">
        <f t="shared" si="0"/>
        <v>0</v>
      </c>
      <c r="L25"/>
    </row>
    <row r="26" spans="1:12" x14ac:dyDescent="0.35">
      <c r="A26" s="93">
        <v>562.53</v>
      </c>
      <c r="B26" s="28" t="s">
        <v>59</v>
      </c>
      <c r="C26" s="235">
        <v>5490</v>
      </c>
      <c r="D26" s="236">
        <v>212463</v>
      </c>
      <c r="E26" s="44"/>
      <c r="F26" s="237"/>
      <c r="G26" s="236">
        <v>278693</v>
      </c>
      <c r="H26" s="44"/>
      <c r="I26" s="236"/>
      <c r="J26" s="51"/>
      <c r="K26" s="67">
        <f t="shared" si="0"/>
        <v>496646</v>
      </c>
      <c r="L26"/>
    </row>
    <row r="27" spans="1:12" x14ac:dyDescent="0.35">
      <c r="A27" s="93">
        <v>562.54</v>
      </c>
      <c r="B27" s="28" t="s">
        <v>60</v>
      </c>
      <c r="C27" s="235">
        <v>7978</v>
      </c>
      <c r="D27" s="236">
        <f>831619+94205-180</f>
        <v>925644</v>
      </c>
      <c r="E27" s="44"/>
      <c r="F27" s="237"/>
      <c r="G27" s="236"/>
      <c r="H27" s="44"/>
      <c r="I27" s="236"/>
      <c r="J27" s="51"/>
      <c r="K27" s="67">
        <f t="shared" si="0"/>
        <v>933622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>
        <v>162285</v>
      </c>
      <c r="D29" s="236">
        <f>1204728+85388+174445</f>
        <v>1464561</v>
      </c>
      <c r="E29" s="44"/>
      <c r="F29" s="237"/>
      <c r="G29" s="236"/>
      <c r="H29" s="44"/>
      <c r="I29" s="236"/>
      <c r="J29" s="51"/>
      <c r="K29" s="67">
        <f t="shared" si="0"/>
        <v>1626846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337108</v>
      </c>
      <c r="D31" s="236">
        <f>101650+193178</f>
        <v>294828</v>
      </c>
      <c r="E31" s="44"/>
      <c r="F31" s="237"/>
      <c r="G31" s="236"/>
      <c r="H31" s="44"/>
      <c r="I31" s="236"/>
      <c r="J31" s="51"/>
      <c r="K31" s="67">
        <f t="shared" si="0"/>
        <v>631936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368607</v>
      </c>
      <c r="E34" s="44"/>
      <c r="F34" s="237"/>
      <c r="G34" s="236"/>
      <c r="H34" s="44"/>
      <c r="I34" s="236"/>
      <c r="J34" s="51"/>
      <c r="K34" s="67">
        <f t="shared" si="0"/>
        <v>368607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>
        <v>45961</v>
      </c>
      <c r="G36" s="236"/>
      <c r="H36" s="44">
        <f>315550+24624</f>
        <v>340174</v>
      </c>
      <c r="I36" s="236">
        <v>191201</v>
      </c>
      <c r="J36" s="51">
        <v>25626</v>
      </c>
      <c r="K36" s="67">
        <f t="shared" si="0"/>
        <v>602962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>
        <v>508467</v>
      </c>
      <c r="D39" s="236">
        <v>4241</v>
      </c>
      <c r="E39" s="44"/>
      <c r="F39" s="237">
        <v>251936</v>
      </c>
      <c r="G39" s="236"/>
      <c r="H39" s="44">
        <f>8112+136763</f>
        <v>144875</v>
      </c>
      <c r="I39" s="236">
        <v>2456</v>
      </c>
      <c r="J39" s="51"/>
      <c r="K39" s="67">
        <f t="shared" si="0"/>
        <v>911975</v>
      </c>
      <c r="L39"/>
    </row>
    <row r="40" spans="1:12" x14ac:dyDescent="0.35">
      <c r="A40" s="93">
        <v>562.79999999999995</v>
      </c>
      <c r="B40" s="16" t="s">
        <v>27</v>
      </c>
      <c r="C40" s="235">
        <v>557059</v>
      </c>
      <c r="D40" s="236">
        <v>72873</v>
      </c>
      <c r="E40" s="44"/>
      <c r="F40" s="237"/>
      <c r="G40" s="236">
        <v>91485</v>
      </c>
      <c r="H40" s="44">
        <f>19086+770+3781+5500</f>
        <v>29137</v>
      </c>
      <c r="I40" s="236">
        <f>9248+733+50750+38268</f>
        <v>98999</v>
      </c>
      <c r="J40" s="51">
        <v>3320</v>
      </c>
      <c r="K40" s="67">
        <f t="shared" si="0"/>
        <v>852873</v>
      </c>
      <c r="L40"/>
    </row>
    <row r="41" spans="1:12" x14ac:dyDescent="0.35">
      <c r="A41" s="93">
        <v>562.88</v>
      </c>
      <c r="B41" s="28" t="s">
        <v>51</v>
      </c>
      <c r="C41" s="235">
        <v>13524</v>
      </c>
      <c r="D41" s="236"/>
      <c r="E41" s="44"/>
      <c r="F41" s="237"/>
      <c r="G41" s="236"/>
      <c r="H41" s="44">
        <f>495090+95802+202381+46272</f>
        <v>839545</v>
      </c>
      <c r="I41" s="236">
        <v>15000</v>
      </c>
      <c r="J41" s="51"/>
      <c r="K41" s="67">
        <f t="shared" si="0"/>
        <v>868069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2503150</v>
      </c>
      <c r="D44" s="246">
        <f>SUM(D5:D43)</f>
        <v>3440527</v>
      </c>
      <c r="E44" s="247">
        <f t="shared" ref="E44:J44" si="1">SUM(E5:E43)</f>
        <v>982435</v>
      </c>
      <c r="F44" s="248">
        <f t="shared" si="1"/>
        <v>2877317</v>
      </c>
      <c r="G44" s="246">
        <f t="shared" si="1"/>
        <v>5057954</v>
      </c>
      <c r="H44" s="247">
        <f t="shared" si="1"/>
        <v>4492092</v>
      </c>
      <c r="I44" s="249">
        <f t="shared" si="1"/>
        <v>2577479</v>
      </c>
      <c r="J44" s="250">
        <f t="shared" si="1"/>
        <v>207634</v>
      </c>
      <c r="K44" s="251">
        <f>SUM(C44:J44)</f>
        <v>22138588</v>
      </c>
      <c r="L44"/>
    </row>
    <row r="45" spans="1:12" x14ac:dyDescent="0.35">
      <c r="A45" s="93">
        <v>523</v>
      </c>
      <c r="B45" s="16" t="s">
        <v>31</v>
      </c>
      <c r="C45" s="235"/>
      <c r="D45" s="236"/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/>
      <c r="D47" s="236"/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/>
      <c r="D48" s="236"/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/>
      <c r="D49" s="236"/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/>
      <c r="D50" s="236"/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/>
      <c r="D51" s="236"/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/>
      <c r="D52" s="236"/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/>
      <c r="D53" s="236">
        <f>632805+3031143</f>
        <v>3663948</v>
      </c>
      <c r="E53" s="44"/>
      <c r="F53" s="237"/>
      <c r="G53" s="236">
        <v>2500</v>
      </c>
      <c r="H53" s="44"/>
      <c r="I53" s="236">
        <v>24588</v>
      </c>
      <c r="J53" s="51"/>
      <c r="K53" s="67">
        <f t="shared" si="2"/>
        <v>3691036</v>
      </c>
      <c r="L53"/>
    </row>
    <row r="54" spans="1:12" x14ac:dyDescent="0.35">
      <c r="A54" s="93">
        <v>568</v>
      </c>
      <c r="B54" s="16" t="s">
        <v>39</v>
      </c>
      <c r="C54" s="235"/>
      <c r="D54" s="236"/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2503150</v>
      </c>
      <c r="D56" s="276">
        <f>SUM(D44:D55)</f>
        <v>7104475</v>
      </c>
      <c r="E56" s="277">
        <f t="shared" ref="E56:J56" si="3">SUM(E44:E55)</f>
        <v>982435</v>
      </c>
      <c r="F56" s="278">
        <f t="shared" si="3"/>
        <v>2877317</v>
      </c>
      <c r="G56" s="279">
        <f t="shared" si="3"/>
        <v>5060454</v>
      </c>
      <c r="H56" s="277">
        <f t="shared" si="3"/>
        <v>4492092</v>
      </c>
      <c r="I56" s="280">
        <f t="shared" si="3"/>
        <v>2602067</v>
      </c>
      <c r="J56" s="281">
        <f t="shared" si="3"/>
        <v>207634</v>
      </c>
      <c r="K56" s="282">
        <f>SUM(C56:J56)</f>
        <v>25829624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2503150</v>
      </c>
      <c r="D62" s="7">
        <f>C56/K56</f>
        <v>9.6910044064133491E-2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7104475</v>
      </c>
      <c r="D63" s="10">
        <f>D56/K56</f>
        <v>0.27505142932007065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9607625</v>
      </c>
      <c r="D64" s="23">
        <f>SUM(D62:D63)</f>
        <v>0.37196147338420416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982435</v>
      </c>
      <c r="D66" s="181">
        <f>E56/$K56</f>
        <v>3.803520329990092E-2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2877317</v>
      </c>
      <c r="D67" s="20">
        <f>F56/$K56</f>
        <v>0.11139600793259709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5060454</v>
      </c>
      <c r="D68" s="55">
        <f>G56/$K56</f>
        <v>0.1959166730417756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8920206</v>
      </c>
      <c r="D69" s="23">
        <f>SUM(D66:D68)</f>
        <v>0.3453478842742736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4492092</v>
      </c>
      <c r="D71" s="7">
        <f>H56/K56</f>
        <v>0.17391240383522424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2602067</v>
      </c>
      <c r="D72" s="10">
        <f>I56/K56</f>
        <v>0.10073963910585768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7094159</v>
      </c>
      <c r="D73" s="23">
        <f>SUM(D71:D72)</f>
        <v>0.27465204294108192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207634</v>
      </c>
      <c r="D75" s="23">
        <f>J56/K56</f>
        <v>8.0385994004403619E-3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25829624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23" priority="3">
      <formula>ROW()=EVEN(ROW())</formula>
    </cfRule>
  </conditionalFormatting>
  <conditionalFormatting sqref="K45:K55">
    <cfRule type="expression" dxfId="22" priority="1">
      <formula>ROW()=EVEN(ROW())</formula>
    </cfRule>
  </conditionalFormatting>
  <conditionalFormatting sqref="K5:K44">
    <cfRule type="expression" dxfId="21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SPOKANE</oddHeader>
  </headerFooter>
  <rowBreaks count="1" manualBreakCount="1">
    <brk id="44" max="16383" man="1"/>
  </rowBreaks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7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844490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261.35000000000002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f>228871+52446</f>
        <v>281317</v>
      </c>
      <c r="D5" s="236"/>
      <c r="E5" s="44"/>
      <c r="F5" s="237">
        <v>369083</v>
      </c>
      <c r="G5" s="236"/>
      <c r="H5" s="44"/>
      <c r="I5" s="236">
        <f>327685+102494</f>
        <v>430179</v>
      </c>
      <c r="J5" s="51">
        <f>5000+2015</f>
        <v>7015</v>
      </c>
      <c r="K5" s="67">
        <f>SUM(C5:J5)</f>
        <v>1087594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f>255476+62425+211750</f>
        <v>529651</v>
      </c>
      <c r="D7" s="236">
        <f>1505+56360</f>
        <v>57865</v>
      </c>
      <c r="E7" s="44"/>
      <c r="F7" s="237">
        <v>375224</v>
      </c>
      <c r="G7" s="236">
        <f>149839+330530+80000+15000</f>
        <v>575369</v>
      </c>
      <c r="H7" s="44">
        <v>579547</v>
      </c>
      <c r="I7" s="236">
        <f>167883+325797+14359</f>
        <v>508039</v>
      </c>
      <c r="J7" s="51">
        <f>14200+39379+74432</f>
        <v>128011</v>
      </c>
      <c r="K7" s="67">
        <f t="shared" si="0"/>
        <v>2753706</v>
      </c>
      <c r="L7"/>
    </row>
    <row r="8" spans="1:12" x14ac:dyDescent="0.35">
      <c r="A8" s="93">
        <v>562.24</v>
      </c>
      <c r="B8" s="16" t="s">
        <v>11</v>
      </c>
      <c r="C8" s="235">
        <f>42867+9826</f>
        <v>52693</v>
      </c>
      <c r="D8" s="236"/>
      <c r="E8" s="44"/>
      <c r="F8" s="237">
        <v>65788</v>
      </c>
      <c r="G8" s="236">
        <v>27750</v>
      </c>
      <c r="H8" s="239"/>
      <c r="I8" s="240">
        <v>27750</v>
      </c>
      <c r="J8" s="51">
        <v>31</v>
      </c>
      <c r="K8" s="67">
        <f t="shared" si="0"/>
        <v>174012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52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>
        <f>285873+65525+63000+406940</f>
        <v>821338</v>
      </c>
      <c r="D13" s="236">
        <v>224812</v>
      </c>
      <c r="E13" s="44"/>
      <c r="F13" s="237">
        <v>517142</v>
      </c>
      <c r="G13" s="236"/>
      <c r="H13" s="44"/>
      <c r="I13" s="236">
        <f>302215+1070+260000+24727</f>
        <v>588012</v>
      </c>
      <c r="J13" s="51">
        <f>130000+99+455+74935</f>
        <v>205489</v>
      </c>
      <c r="K13" s="67">
        <f t="shared" si="0"/>
        <v>2356793</v>
      </c>
      <c r="L13"/>
    </row>
    <row r="14" spans="1:12" x14ac:dyDescent="0.35">
      <c r="A14" s="93">
        <v>562.32000000000005</v>
      </c>
      <c r="B14" s="16" t="s">
        <v>12</v>
      </c>
      <c r="C14" s="235">
        <f>112927+25884</f>
        <v>138811</v>
      </c>
      <c r="D14" s="236">
        <v>3081</v>
      </c>
      <c r="E14" s="44">
        <v>7250</v>
      </c>
      <c r="F14" s="237">
        <v>251998</v>
      </c>
      <c r="G14" s="236"/>
      <c r="H14" s="44">
        <v>19691</v>
      </c>
      <c r="I14" s="236">
        <v>90925</v>
      </c>
      <c r="J14" s="51">
        <v>6</v>
      </c>
      <c r="K14" s="67">
        <f t="shared" si="0"/>
        <v>511762</v>
      </c>
      <c r="L14"/>
    </row>
    <row r="15" spans="1:12" x14ac:dyDescent="0.35">
      <c r="A15" s="93">
        <v>562.33000000000004</v>
      </c>
      <c r="B15" s="28" t="s">
        <v>55</v>
      </c>
      <c r="C15" s="235">
        <f>64049+14681+94400</f>
        <v>173130</v>
      </c>
      <c r="D15" s="236"/>
      <c r="E15" s="44"/>
      <c r="F15" s="237">
        <v>104876</v>
      </c>
      <c r="G15" s="236"/>
      <c r="H15" s="44">
        <v>146192</v>
      </c>
      <c r="I15" s="236">
        <v>90402</v>
      </c>
      <c r="J15" s="51">
        <v>92</v>
      </c>
      <c r="K15" s="67">
        <f t="shared" si="0"/>
        <v>514692</v>
      </c>
      <c r="L15"/>
    </row>
    <row r="16" spans="1:12" x14ac:dyDescent="0.35">
      <c r="A16" s="93">
        <v>562.34</v>
      </c>
      <c r="B16" s="16" t="s">
        <v>13</v>
      </c>
      <c r="C16" s="235">
        <f>72880+16705+17078</f>
        <v>106663</v>
      </c>
      <c r="D16" s="236"/>
      <c r="E16" s="44">
        <v>60894</v>
      </c>
      <c r="F16" s="237">
        <v>129160</v>
      </c>
      <c r="G16" s="236"/>
      <c r="H16" s="44">
        <v>69432</v>
      </c>
      <c r="I16" s="236">
        <f>102805+92618</f>
        <v>195423</v>
      </c>
      <c r="J16" s="51">
        <v>15</v>
      </c>
      <c r="K16" s="67">
        <f t="shared" si="0"/>
        <v>561587</v>
      </c>
      <c r="L16"/>
    </row>
    <row r="17" spans="1:12" x14ac:dyDescent="0.35">
      <c r="A17" s="93">
        <v>562.35</v>
      </c>
      <c r="B17" s="16" t="s">
        <v>14</v>
      </c>
      <c r="C17" s="235">
        <f>29851+6843+134672</f>
        <v>171366</v>
      </c>
      <c r="D17" s="236">
        <v>6071</v>
      </c>
      <c r="E17" s="44">
        <f>130985+59655</f>
        <v>190640</v>
      </c>
      <c r="F17" s="237">
        <v>49814</v>
      </c>
      <c r="G17" s="236"/>
      <c r="H17" s="44">
        <v>195929</v>
      </c>
      <c r="I17" s="236">
        <v>42140</v>
      </c>
      <c r="J17" s="51">
        <v>1</v>
      </c>
      <c r="K17" s="67">
        <f t="shared" si="0"/>
        <v>655961</v>
      </c>
      <c r="L17"/>
    </row>
    <row r="18" spans="1:12" x14ac:dyDescent="0.35">
      <c r="A18" s="93">
        <v>562.39</v>
      </c>
      <c r="B18" s="16" t="s">
        <v>15</v>
      </c>
      <c r="C18" s="235">
        <f>284404+65188</f>
        <v>349592</v>
      </c>
      <c r="D18" s="236">
        <v>520</v>
      </c>
      <c r="E18" s="44"/>
      <c r="F18" s="237">
        <v>485465</v>
      </c>
      <c r="G18" s="236"/>
      <c r="H18" s="44">
        <v>43246</v>
      </c>
      <c r="I18" s="236">
        <v>401929</v>
      </c>
      <c r="J18" s="51">
        <f>392+604</f>
        <v>996</v>
      </c>
      <c r="K18" s="67">
        <f t="shared" si="0"/>
        <v>1281748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>
        <f>205163+47026</f>
        <v>252189</v>
      </c>
      <c r="D20" s="236"/>
      <c r="E20" s="44"/>
      <c r="F20" s="237">
        <v>354247</v>
      </c>
      <c r="G20" s="236"/>
      <c r="H20" s="44"/>
      <c r="I20" s="236"/>
      <c r="J20" s="51">
        <v>496</v>
      </c>
      <c r="K20" s="67">
        <f t="shared" si="0"/>
        <v>606932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>
        <f>237944+54539</f>
        <v>292483</v>
      </c>
      <c r="D22" s="236">
        <v>150</v>
      </c>
      <c r="E22" s="44">
        <v>101169</v>
      </c>
      <c r="F22" s="237">
        <v>452461</v>
      </c>
      <c r="G22" s="236"/>
      <c r="H22" s="44">
        <f>48340+35874</f>
        <v>84214</v>
      </c>
      <c r="I22" s="236"/>
      <c r="J22" s="51">
        <v>403</v>
      </c>
      <c r="K22" s="67">
        <f t="shared" si="0"/>
        <v>930880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>
        <f>103602+23747+50000+67924</f>
        <v>245273</v>
      </c>
      <c r="D24" s="236"/>
      <c r="E24" s="44"/>
      <c r="F24" s="237">
        <v>161469</v>
      </c>
      <c r="G24" s="236"/>
      <c r="H24" s="44"/>
      <c r="I24" s="236">
        <v>107115</v>
      </c>
      <c r="J24" s="51">
        <f>14216+30</f>
        <v>14246</v>
      </c>
      <c r="K24" s="67">
        <f t="shared" si="0"/>
        <v>528103</v>
      </c>
      <c r="L24"/>
    </row>
    <row r="25" spans="1:12" x14ac:dyDescent="0.35">
      <c r="A25" s="93">
        <v>562.52</v>
      </c>
      <c r="B25" s="16" t="s">
        <v>18</v>
      </c>
      <c r="C25" s="235">
        <f>138819+29241+31819</f>
        <v>199879</v>
      </c>
      <c r="D25" s="236">
        <f>194305+114840</f>
        <v>309145</v>
      </c>
      <c r="E25" s="44"/>
      <c r="F25" s="237">
        <v>233164</v>
      </c>
      <c r="G25" s="236"/>
      <c r="H25" s="44"/>
      <c r="I25" s="236">
        <v>102455</v>
      </c>
      <c r="J25" s="51">
        <v>1993</v>
      </c>
      <c r="K25" s="67">
        <f t="shared" si="0"/>
        <v>846636</v>
      </c>
      <c r="L25"/>
    </row>
    <row r="26" spans="1:12" x14ac:dyDescent="0.35">
      <c r="A26" s="93">
        <v>562.53</v>
      </c>
      <c r="B26" s="28" t="s">
        <v>59</v>
      </c>
      <c r="C26" s="235">
        <f>40300+280230</f>
        <v>320530</v>
      </c>
      <c r="D26" s="236">
        <f>291687+379834</f>
        <v>671521</v>
      </c>
      <c r="E26" s="44"/>
      <c r="F26" s="237"/>
      <c r="G26" s="236">
        <v>1441258</v>
      </c>
      <c r="H26" s="44"/>
      <c r="I26" s="236">
        <v>62601</v>
      </c>
      <c r="J26" s="51">
        <f>27335+459239</f>
        <v>486574</v>
      </c>
      <c r="K26" s="67">
        <f t="shared" si="0"/>
        <v>2982484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1075957+1901182</f>
        <v>2977139</v>
      </c>
      <c r="E27" s="44">
        <v>20271</v>
      </c>
      <c r="F27" s="237"/>
      <c r="G27" s="236"/>
      <c r="H27" s="44">
        <v>89760</v>
      </c>
      <c r="I27" s="236"/>
      <c r="J27" s="51">
        <v>50017</v>
      </c>
      <c r="K27" s="67">
        <f t="shared" si="0"/>
        <v>3137187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300761+3266956</f>
        <v>3567717</v>
      </c>
      <c r="E29" s="44"/>
      <c r="F29" s="237"/>
      <c r="G29" s="236"/>
      <c r="H29" s="44"/>
      <c r="I29" s="236">
        <v>97146</v>
      </c>
      <c r="J29" s="51">
        <v>52</v>
      </c>
      <c r="K29" s="67">
        <f t="shared" si="0"/>
        <v>3664915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238317+58134</f>
        <v>296451</v>
      </c>
      <c r="E31" s="44"/>
      <c r="F31" s="237"/>
      <c r="G31" s="236"/>
      <c r="H31" s="44"/>
      <c r="I31" s="236"/>
      <c r="J31" s="51">
        <f>27+44629</f>
        <v>44656</v>
      </c>
      <c r="K31" s="67">
        <f t="shared" si="0"/>
        <v>341107</v>
      </c>
      <c r="L31"/>
    </row>
    <row r="32" spans="1:12" x14ac:dyDescent="0.35">
      <c r="A32" s="93">
        <v>562.59</v>
      </c>
      <c r="B32" s="28" t="s">
        <v>49</v>
      </c>
      <c r="C32" s="235">
        <f>121364+27819</f>
        <v>149183</v>
      </c>
      <c r="D32" s="236"/>
      <c r="E32" s="44"/>
      <c r="F32" s="237">
        <v>215716</v>
      </c>
      <c r="G32" s="236"/>
      <c r="H32" s="44"/>
      <c r="I32" s="236"/>
      <c r="J32" s="51">
        <v>63</v>
      </c>
      <c r="K32" s="67">
        <f t="shared" si="0"/>
        <v>364962</v>
      </c>
      <c r="L32"/>
    </row>
    <row r="33" spans="1:12" x14ac:dyDescent="0.35">
      <c r="A33" s="93">
        <v>562.6</v>
      </c>
      <c r="B33" s="16" t="s">
        <v>21</v>
      </c>
      <c r="C33" s="235">
        <f>5217+32265+199000</f>
        <v>236482</v>
      </c>
      <c r="D33" s="236">
        <f>146220+85272</f>
        <v>231492</v>
      </c>
      <c r="E33" s="44">
        <v>9885</v>
      </c>
      <c r="F33" s="237">
        <v>212</v>
      </c>
      <c r="G33" s="236">
        <v>46000</v>
      </c>
      <c r="H33" s="44">
        <v>148174</v>
      </c>
      <c r="I33" s="236">
        <v>94745</v>
      </c>
      <c r="J33" s="51">
        <f>1035+293+17303</f>
        <v>18631</v>
      </c>
      <c r="K33" s="67">
        <f t="shared" si="0"/>
        <v>785621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618471</v>
      </c>
      <c r="E34" s="44"/>
      <c r="F34" s="237"/>
      <c r="G34" s="236"/>
      <c r="H34" s="44"/>
      <c r="I34" s="236"/>
      <c r="J34" s="51"/>
      <c r="K34" s="67">
        <f t="shared" si="0"/>
        <v>618471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>
        <f>2066+475</f>
        <v>2541</v>
      </c>
      <c r="D36" s="236"/>
      <c r="E36" s="44">
        <v>371308</v>
      </c>
      <c r="F36" s="237">
        <v>59699</v>
      </c>
      <c r="G36" s="236"/>
      <c r="H36" s="44">
        <v>475305</v>
      </c>
      <c r="I36" s="236"/>
      <c r="J36" s="51">
        <f>1800+83</f>
        <v>1883</v>
      </c>
      <c r="K36" s="67">
        <f t="shared" si="0"/>
        <v>910736</v>
      </c>
      <c r="L36"/>
    </row>
    <row r="37" spans="1:12" x14ac:dyDescent="0.35">
      <c r="A37" s="93">
        <v>562.74</v>
      </c>
      <c r="B37" s="28" t="s">
        <v>50</v>
      </c>
      <c r="C37" s="235">
        <f>63790+14621+62859</f>
        <v>141270</v>
      </c>
      <c r="D37" s="236"/>
      <c r="E37" s="44"/>
      <c r="F37" s="237">
        <v>113673</v>
      </c>
      <c r="G37" s="236"/>
      <c r="H37" s="44"/>
      <c r="I37" s="236"/>
      <c r="J37" s="51"/>
      <c r="K37" s="67">
        <f t="shared" si="0"/>
        <v>254943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>
        <f>110722+22721</f>
        <v>133443</v>
      </c>
      <c r="D40" s="236">
        <v>23850</v>
      </c>
      <c r="E40" s="44"/>
      <c r="F40" s="237">
        <v>127132</v>
      </c>
      <c r="G40" s="236"/>
      <c r="H40" s="44">
        <f>297914+22500+1000</f>
        <v>321414</v>
      </c>
      <c r="I40" s="236">
        <v>309</v>
      </c>
      <c r="J40" s="51">
        <f>17160+202+34419+4112</f>
        <v>55893</v>
      </c>
      <c r="K40" s="67">
        <f t="shared" si="0"/>
        <v>662041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>
        <v>13867</v>
      </c>
      <c r="G41" s="236"/>
      <c r="H41" s="44">
        <f>692977+136019+74501</f>
        <v>903497</v>
      </c>
      <c r="I41" s="236"/>
      <c r="J41" s="51">
        <f>68+472</f>
        <v>540</v>
      </c>
      <c r="K41" s="67">
        <f t="shared" si="0"/>
        <v>917904</v>
      </c>
      <c r="L41"/>
    </row>
    <row r="42" spans="1:12" x14ac:dyDescent="0.35">
      <c r="A42" s="93">
        <v>562.9</v>
      </c>
      <c r="B42" s="16" t="s">
        <v>28</v>
      </c>
      <c r="C42" s="235">
        <f>58905+13502</f>
        <v>72407</v>
      </c>
      <c r="D42" s="236"/>
      <c r="E42" s="44"/>
      <c r="F42" s="237">
        <v>62981</v>
      </c>
      <c r="G42" s="236"/>
      <c r="H42" s="44"/>
      <c r="I42" s="236"/>
      <c r="J42" s="51">
        <f>22+107270+24389+30130</f>
        <v>161811</v>
      </c>
      <c r="K42" s="67">
        <f t="shared" si="0"/>
        <v>297199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4670241</v>
      </c>
      <c r="D44" s="246">
        <f>SUM(D5:D43)</f>
        <v>8988285</v>
      </c>
      <c r="E44" s="247">
        <f t="shared" ref="E44:J44" si="1">SUM(E5:E43)</f>
        <v>761417</v>
      </c>
      <c r="F44" s="248">
        <f t="shared" si="1"/>
        <v>4143171</v>
      </c>
      <c r="G44" s="246">
        <f t="shared" si="1"/>
        <v>2090377</v>
      </c>
      <c r="H44" s="247">
        <f t="shared" si="1"/>
        <v>3076401</v>
      </c>
      <c r="I44" s="249">
        <f t="shared" si="1"/>
        <v>2839170</v>
      </c>
      <c r="J44" s="250">
        <f t="shared" si="1"/>
        <v>1178914</v>
      </c>
      <c r="K44" s="251">
        <f>SUM(C44:J44)</f>
        <v>27747976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/>
      <c r="D53" s="236">
        <v>4381389</v>
      </c>
      <c r="E53" s="44"/>
      <c r="F53" s="237"/>
      <c r="G53" s="236"/>
      <c r="H53" s="44"/>
      <c r="I53" s="236"/>
      <c r="J53" s="51">
        <f>100+2777</f>
        <v>2877</v>
      </c>
      <c r="K53" s="67">
        <f t="shared" si="2"/>
        <v>4384266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4670241</v>
      </c>
      <c r="D56" s="276">
        <f>SUM(D44:D55)</f>
        <v>13369674</v>
      </c>
      <c r="E56" s="277">
        <f t="shared" ref="E56:J56" si="3">SUM(E44:E55)</f>
        <v>761417</v>
      </c>
      <c r="F56" s="278">
        <f t="shared" si="3"/>
        <v>4143171</v>
      </c>
      <c r="G56" s="279">
        <f t="shared" si="3"/>
        <v>2090377</v>
      </c>
      <c r="H56" s="277">
        <f t="shared" si="3"/>
        <v>3076401</v>
      </c>
      <c r="I56" s="280">
        <f t="shared" si="3"/>
        <v>2839170</v>
      </c>
      <c r="J56" s="281">
        <f t="shared" si="3"/>
        <v>1181791</v>
      </c>
      <c r="K56" s="282">
        <f>SUM(C56:J56)</f>
        <v>32132242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4670241</v>
      </c>
      <c r="D62" s="7">
        <f>C56/K56</f>
        <v>0.14534438648881084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13369674</v>
      </c>
      <c r="D63" s="10">
        <f>D56/K56</f>
        <v>0.41608282422371895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18039915</v>
      </c>
      <c r="D64" s="23">
        <f>SUM(D62:D63)</f>
        <v>0.56142721071252977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761417</v>
      </c>
      <c r="D66" s="20">
        <f>E56/$K56</f>
        <v>2.3696354583660859E-2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4143171</v>
      </c>
      <c r="D67" s="20">
        <f>F56/$K56</f>
        <v>0.12894123603326527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2090377</v>
      </c>
      <c r="D68" s="55">
        <f>G56/$K56</f>
        <v>6.5055435596433009E-2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6994965</v>
      </c>
      <c r="D69" s="23">
        <f>SUM(D66:D68)</f>
        <v>0.21769302621335912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3076401</v>
      </c>
      <c r="D71" s="7">
        <f>H56/K56</f>
        <v>9.5741871980174933E-2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2839170</v>
      </c>
      <c r="D72" s="10">
        <f>I56/K56</f>
        <v>8.8358913766428127E-2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5915571</v>
      </c>
      <c r="D73" s="23">
        <f>SUM(D71:D72)</f>
        <v>0.18410078574660305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1181791</v>
      </c>
      <c r="D75" s="23">
        <f>J56/K56</f>
        <v>3.677897732750799E-2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32132242</v>
      </c>
      <c r="D76" s="37">
        <f>D69+D73+D64+D75</f>
        <v>1</v>
      </c>
      <c r="E76" s="42"/>
      <c r="F76" s="42"/>
      <c r="H76"/>
      <c r="I76"/>
      <c r="J76" s="42"/>
      <c r="L76"/>
    </row>
    <row r="77" spans="2:12" x14ac:dyDescent="0.35">
      <c r="C77"/>
      <c r="D77"/>
      <c r="E77" s="42"/>
      <c r="F77" s="42"/>
      <c r="H77"/>
      <c r="I77"/>
      <c r="J77" s="42"/>
      <c r="L77"/>
    </row>
    <row r="78" spans="2:12" x14ac:dyDescent="0.35">
      <c r="C78"/>
      <c r="D78"/>
      <c r="E78" s="42"/>
      <c r="F78" s="42"/>
      <c r="H78"/>
      <c r="I78"/>
      <c r="J78" s="42"/>
      <c r="L78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20" priority="3">
      <formula>ROW()=EVEN(ROW())</formula>
    </cfRule>
  </conditionalFormatting>
  <conditionalFormatting sqref="K45:K55">
    <cfRule type="expression" dxfId="19" priority="1">
      <formula>ROW()=EVEN(ROW())</formula>
    </cfRule>
  </conditionalFormatting>
  <conditionalFormatting sqref="K5:K44">
    <cfRule type="expression" dxfId="18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TACOMA-PIERCE</oddHeader>
  </headerFooter>
  <rowBreaks count="1" manualBreakCount="1">
    <brk id="44" max="16383" man="1"/>
  </rowBreaks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272690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99">
        <v>77.2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/>
      <c r="D5" s="236">
        <v>42142</v>
      </c>
      <c r="E5" s="44"/>
      <c r="F5" s="237">
        <v>1046897</v>
      </c>
      <c r="G5" s="236"/>
      <c r="H5" s="44"/>
      <c r="I5" s="236"/>
      <c r="J5" s="51"/>
      <c r="K5" s="67">
        <f>SUM(C5:J5)</f>
        <v>1089039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353385</v>
      </c>
      <c r="D7" s="236">
        <f>27195+17613</f>
        <v>44808</v>
      </c>
      <c r="E7" s="44"/>
      <c r="F7" s="237"/>
      <c r="G7" s="236">
        <v>341615</v>
      </c>
      <c r="H7" s="44">
        <v>158542</v>
      </c>
      <c r="I7" s="236">
        <v>49798</v>
      </c>
      <c r="J7" s="51">
        <v>3000</v>
      </c>
      <c r="K7" s="67">
        <f t="shared" si="0"/>
        <v>951148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/>
      <c r="E14" s="44"/>
      <c r="F14" s="237"/>
      <c r="G14" s="236"/>
      <c r="H14" s="44">
        <v>51217</v>
      </c>
      <c r="I14" s="236">
        <v>12560</v>
      </c>
      <c r="J14" s="51"/>
      <c r="K14" s="67">
        <f t="shared" si="0"/>
        <v>63777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/>
      <c r="G16" s="236">
        <v>51479</v>
      </c>
      <c r="H16" s="44">
        <v>26592</v>
      </c>
      <c r="I16" s="236"/>
      <c r="J16" s="51"/>
      <c r="K16" s="67">
        <f t="shared" si="0"/>
        <v>78071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>
        <v>23750</v>
      </c>
      <c r="F17" s="237"/>
      <c r="G17" s="236"/>
      <c r="H17" s="44"/>
      <c r="I17" s="236">
        <v>74148</v>
      </c>
      <c r="J17" s="51"/>
      <c r="K17" s="67">
        <f t="shared" si="0"/>
        <v>97898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/>
      <c r="G18" s="236"/>
      <c r="H18" s="44"/>
      <c r="I18" s="236"/>
      <c r="J18" s="51"/>
      <c r="K18" s="67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>
        <v>2256</v>
      </c>
      <c r="E24" s="44"/>
      <c r="F24" s="237"/>
      <c r="G24" s="236"/>
      <c r="H24" s="44">
        <v>45619</v>
      </c>
      <c r="I24" s="236">
        <v>205182</v>
      </c>
      <c r="J24" s="51"/>
      <c r="K24" s="67">
        <f t="shared" si="0"/>
        <v>253057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53240+66840+1685+17000</f>
        <v>138765</v>
      </c>
      <c r="E25" s="44"/>
      <c r="F25" s="237"/>
      <c r="G25" s="236">
        <v>15075</v>
      </c>
      <c r="H25" s="44"/>
      <c r="I25" s="236"/>
      <c r="J25" s="51"/>
      <c r="K25" s="67">
        <f t="shared" si="0"/>
        <v>153840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16266+110415</f>
        <v>126681</v>
      </c>
      <c r="E26" s="44"/>
      <c r="F26" s="237"/>
      <c r="G26" s="236">
        <v>268829</v>
      </c>
      <c r="H26" s="44"/>
      <c r="I26" s="236"/>
      <c r="J26" s="51"/>
      <c r="K26" s="67">
        <f t="shared" si="0"/>
        <v>395510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455315+1165676</f>
        <v>1620991</v>
      </c>
      <c r="E27" s="44">
        <v>65099</v>
      </c>
      <c r="F27" s="237"/>
      <c r="G27" s="236"/>
      <c r="H27" s="44"/>
      <c r="I27" s="236"/>
      <c r="J27" s="51"/>
      <c r="K27" s="67">
        <f t="shared" si="0"/>
        <v>1686090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152736+609355</f>
        <v>762091</v>
      </c>
      <c r="E29" s="44"/>
      <c r="F29" s="237"/>
      <c r="G29" s="236"/>
      <c r="H29" s="44"/>
      <c r="I29" s="236"/>
      <c r="J29" s="51"/>
      <c r="K29" s="67">
        <f t="shared" si="0"/>
        <v>762091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>
        <v>549357</v>
      </c>
      <c r="E30" s="44"/>
      <c r="F30" s="237"/>
      <c r="G30" s="236">
        <v>122981</v>
      </c>
      <c r="H30" s="44"/>
      <c r="I30" s="236"/>
      <c r="J30" s="51"/>
      <c r="K30" s="67">
        <f t="shared" si="0"/>
        <v>672338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220618</v>
      </c>
      <c r="E31" s="44"/>
      <c r="F31" s="237"/>
      <c r="G31" s="236"/>
      <c r="H31" s="44"/>
      <c r="I31" s="236"/>
      <c r="J31" s="51"/>
      <c r="K31" s="67">
        <f t="shared" si="0"/>
        <v>220618</v>
      </c>
      <c r="L31"/>
    </row>
    <row r="32" spans="1:12" x14ac:dyDescent="0.35">
      <c r="A32" s="93">
        <v>562.59</v>
      </c>
      <c r="B32" s="28" t="s">
        <v>49</v>
      </c>
      <c r="C32" s="235"/>
      <c r="D32" s="236">
        <f>9690+935</f>
        <v>10625</v>
      </c>
      <c r="E32" s="44"/>
      <c r="F32" s="237"/>
      <c r="G32" s="236"/>
      <c r="H32" s="44"/>
      <c r="I32" s="236"/>
      <c r="J32" s="51"/>
      <c r="K32" s="67">
        <f t="shared" si="0"/>
        <v>10625</v>
      </c>
      <c r="L32"/>
    </row>
    <row r="33" spans="1:12" x14ac:dyDescent="0.35">
      <c r="A33" s="93">
        <v>562.6</v>
      </c>
      <c r="B33" s="16" t="s">
        <v>21</v>
      </c>
      <c r="C33" s="235">
        <f>49795+492943</f>
        <v>542738</v>
      </c>
      <c r="D33" s="236">
        <v>212648</v>
      </c>
      <c r="E33" s="44"/>
      <c r="F33" s="237"/>
      <c r="G33" s="236">
        <v>1329</v>
      </c>
      <c r="H33" s="44">
        <f>78827+4586</f>
        <v>83413</v>
      </c>
      <c r="I33" s="236"/>
      <c r="J33" s="51">
        <v>2309</v>
      </c>
      <c r="K33" s="67">
        <f t="shared" si="0"/>
        <v>842437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86326</v>
      </c>
      <c r="E34" s="44"/>
      <c r="F34" s="237"/>
      <c r="G34" s="236"/>
      <c r="H34" s="44"/>
      <c r="I34" s="236"/>
      <c r="J34" s="51"/>
      <c r="K34" s="67">
        <f t="shared" si="0"/>
        <v>86326</v>
      </c>
      <c r="L34"/>
    </row>
    <row r="35" spans="1:12" x14ac:dyDescent="0.35">
      <c r="A35" s="93">
        <v>562.72</v>
      </c>
      <c r="B35" s="16" t="s">
        <v>23</v>
      </c>
      <c r="C35" s="235"/>
      <c r="D35" s="236">
        <v>195065</v>
      </c>
      <c r="E35" s="44"/>
      <c r="F35" s="237"/>
      <c r="G35" s="236"/>
      <c r="H35" s="44"/>
      <c r="I35" s="236"/>
      <c r="J35" s="51"/>
      <c r="K35" s="67">
        <f t="shared" si="0"/>
        <v>195065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261638</v>
      </c>
      <c r="I41" s="236"/>
      <c r="J41" s="51"/>
      <c r="K41" s="67">
        <f t="shared" si="0"/>
        <v>261638</v>
      </c>
      <c r="L41"/>
    </row>
    <row r="42" spans="1:12" x14ac:dyDescent="0.35">
      <c r="A42" s="93">
        <v>562.9</v>
      </c>
      <c r="B42" s="16" t="s">
        <v>28</v>
      </c>
      <c r="C42" s="235">
        <v>40763</v>
      </c>
      <c r="D42" s="236"/>
      <c r="E42" s="44"/>
      <c r="F42" s="237"/>
      <c r="G42" s="236"/>
      <c r="H42" s="44"/>
      <c r="I42" s="236"/>
      <c r="J42" s="51"/>
      <c r="K42" s="67">
        <f t="shared" si="0"/>
        <v>40763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936886</v>
      </c>
      <c r="D44" s="246">
        <f>SUM(D5:D43)</f>
        <v>4012373</v>
      </c>
      <c r="E44" s="247">
        <f t="shared" ref="E44:J44" si="1">SUM(E5:E43)</f>
        <v>88849</v>
      </c>
      <c r="F44" s="248">
        <f t="shared" si="1"/>
        <v>1046897</v>
      </c>
      <c r="G44" s="246">
        <f t="shared" si="1"/>
        <v>801308</v>
      </c>
      <c r="H44" s="247">
        <f t="shared" si="1"/>
        <v>627021</v>
      </c>
      <c r="I44" s="249">
        <f t="shared" si="1"/>
        <v>341688</v>
      </c>
      <c r="J44" s="250">
        <f t="shared" si="1"/>
        <v>5309</v>
      </c>
      <c r="K44" s="251">
        <f>SUM(C44:J44)</f>
        <v>7860331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936886</v>
      </c>
      <c r="D56" s="276">
        <f>SUM(D44:D55)</f>
        <v>4012373</v>
      </c>
      <c r="E56" s="277">
        <f t="shared" ref="E56:J56" si="3">SUM(E44:E55)</f>
        <v>88849</v>
      </c>
      <c r="F56" s="278">
        <f t="shared" si="3"/>
        <v>1046897</v>
      </c>
      <c r="G56" s="279">
        <f t="shared" si="3"/>
        <v>801308</v>
      </c>
      <c r="H56" s="277">
        <f t="shared" si="3"/>
        <v>627021</v>
      </c>
      <c r="I56" s="280">
        <f t="shared" si="3"/>
        <v>341688</v>
      </c>
      <c r="J56" s="281">
        <f t="shared" si="3"/>
        <v>5309</v>
      </c>
      <c r="K56" s="282">
        <f>SUM(C56:J56)</f>
        <v>7860331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936886</v>
      </c>
      <c r="D62" s="7">
        <f>C56/K56</f>
        <v>0.11919167271709041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4012373</v>
      </c>
      <c r="D63" s="10">
        <f>D56/K56</f>
        <v>0.51045852903649991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4949259</v>
      </c>
      <c r="D64" s="23">
        <f>SUM(D62:D63)</f>
        <v>0.62965020175359032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88849</v>
      </c>
      <c r="D66" s="20">
        <f>E56/$K56</f>
        <v>1.1303468009171624E-2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1046897</v>
      </c>
      <c r="D67" s="20">
        <f>F56/$K56</f>
        <v>0.13318739376242553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801308</v>
      </c>
      <c r="D68" s="55">
        <f>G56/$K56</f>
        <v>0.10194328966553698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1937054</v>
      </c>
      <c r="D69" s="23">
        <f>SUM(D66:D68)</f>
        <v>0.24643415143713412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627021</v>
      </c>
      <c r="D71" s="7">
        <f>H56/K56</f>
        <v>7.9770304838307701E-2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341688</v>
      </c>
      <c r="D72" s="10">
        <f>I56/K56</f>
        <v>4.3469925121473893E-2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968709</v>
      </c>
      <c r="D73" s="23">
        <f>SUM(D71:D72)</f>
        <v>0.12324022995978159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5309</v>
      </c>
      <c r="D75" s="23">
        <f>J56/K56</f>
        <v>6.7541684949399714E-4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7860331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17" priority="3">
      <formula>ROW()=EVEN(ROW())</formula>
    </cfRule>
  </conditionalFormatting>
  <conditionalFormatting sqref="K45:K55">
    <cfRule type="expression" dxfId="16" priority="1">
      <formula>ROW()=EVEN(ROW())</formula>
    </cfRule>
  </conditionalFormatting>
  <conditionalFormatting sqref="K5:K44">
    <cfRule type="expression" dxfId="1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&amp;C&amp;"-,Bold"&amp;16Expenditues by Expenditure Code and Revenue Source
2016
THURSTON</oddHeader>
  </headerFooter>
  <rowBreaks count="1" manualBreakCount="1">
    <brk id="44" max="16383" man="1"/>
  </rowBreaks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4000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3.25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65696</v>
      </c>
      <c r="D5" s="236"/>
      <c r="E5" s="44"/>
      <c r="F5" s="237"/>
      <c r="G5" s="236"/>
      <c r="H5" s="44"/>
      <c r="I5" s="236"/>
      <c r="J5" s="51">
        <v>235</v>
      </c>
      <c r="K5" s="67">
        <f>SUM(C5:J5)</f>
        <v>65931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>
        <v>93181</v>
      </c>
      <c r="G7" s="236"/>
      <c r="H7" s="44">
        <v>25884</v>
      </c>
      <c r="I7" s="236"/>
      <c r="J7" s="51"/>
      <c r="K7" s="67">
        <f t="shared" si="0"/>
        <v>119065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>
        <v>32265</v>
      </c>
      <c r="I12" s="236"/>
      <c r="J12" s="51"/>
      <c r="K12" s="67">
        <f t="shared" si="0"/>
        <v>32265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>
        <v>1686</v>
      </c>
      <c r="D14" s="236"/>
      <c r="E14" s="44"/>
      <c r="F14" s="237"/>
      <c r="G14" s="236"/>
      <c r="H14" s="44">
        <v>2723</v>
      </c>
      <c r="I14" s="236"/>
      <c r="J14" s="51"/>
      <c r="K14" s="67">
        <f t="shared" si="0"/>
        <v>4409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/>
      <c r="G16" s="236"/>
      <c r="H16" s="44"/>
      <c r="I16" s="236"/>
      <c r="J16" s="51"/>
      <c r="K16" s="67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/>
      <c r="G18" s="236"/>
      <c r="H18" s="44"/>
      <c r="I18" s="236"/>
      <c r="J18" s="51"/>
      <c r="K18" s="67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/>
      <c r="E25" s="44"/>
      <c r="F25" s="237"/>
      <c r="G25" s="236"/>
      <c r="H25" s="44"/>
      <c r="I25" s="236"/>
      <c r="J25" s="51"/>
      <c r="K25" s="67">
        <f t="shared" si="0"/>
        <v>0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>
        <v>34823</v>
      </c>
      <c r="H26" s="44"/>
      <c r="I26" s="236"/>
      <c r="J26" s="51"/>
      <c r="K26" s="67">
        <f t="shared" si="0"/>
        <v>34823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v>24285</v>
      </c>
      <c r="E27" s="44"/>
      <c r="F27" s="237"/>
      <c r="G27" s="236"/>
      <c r="H27" s="44"/>
      <c r="I27" s="236"/>
      <c r="J27" s="51"/>
      <c r="K27" s="67">
        <f t="shared" si="0"/>
        <v>24285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v>8588</v>
      </c>
      <c r="E29" s="44"/>
      <c r="F29" s="237"/>
      <c r="G29" s="236"/>
      <c r="H29" s="44"/>
      <c r="I29" s="236"/>
      <c r="J29" s="51"/>
      <c r="K29" s="67">
        <f t="shared" si="0"/>
        <v>8588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350</v>
      </c>
      <c r="E31" s="44"/>
      <c r="F31" s="237"/>
      <c r="G31" s="236"/>
      <c r="H31" s="44"/>
      <c r="I31" s="236"/>
      <c r="J31" s="51"/>
      <c r="K31" s="67">
        <f t="shared" si="0"/>
        <v>350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879</v>
      </c>
      <c r="E34" s="44"/>
      <c r="F34" s="237"/>
      <c r="G34" s="236"/>
      <c r="H34" s="44"/>
      <c r="I34" s="236"/>
      <c r="J34" s="51"/>
      <c r="K34" s="67">
        <f t="shared" si="0"/>
        <v>879</v>
      </c>
      <c r="L34"/>
    </row>
    <row r="35" spans="1:12" x14ac:dyDescent="0.35">
      <c r="A35" s="93">
        <v>562.72</v>
      </c>
      <c r="B35" s="16" t="s">
        <v>23</v>
      </c>
      <c r="C35" s="235"/>
      <c r="D35" s="236">
        <v>5206</v>
      </c>
      <c r="E35" s="44"/>
      <c r="F35" s="237"/>
      <c r="G35" s="236"/>
      <c r="H35" s="44"/>
      <c r="I35" s="236"/>
      <c r="J35" s="51"/>
      <c r="K35" s="67">
        <f t="shared" si="0"/>
        <v>5206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17428</v>
      </c>
      <c r="I41" s="236"/>
      <c r="J41" s="51"/>
      <c r="K41" s="67">
        <f t="shared" si="0"/>
        <v>17428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67382</v>
      </c>
      <c r="D44" s="246">
        <f>SUM(D5:D43)</f>
        <v>39308</v>
      </c>
      <c r="E44" s="247">
        <f t="shared" ref="E44:J44" si="1">SUM(E5:E43)</f>
        <v>0</v>
      </c>
      <c r="F44" s="248">
        <f t="shared" si="1"/>
        <v>93181</v>
      </c>
      <c r="G44" s="246">
        <f t="shared" si="1"/>
        <v>34823</v>
      </c>
      <c r="H44" s="247">
        <f t="shared" si="1"/>
        <v>78300</v>
      </c>
      <c r="I44" s="249">
        <f t="shared" si="1"/>
        <v>0</v>
      </c>
      <c r="J44" s="250">
        <f t="shared" si="1"/>
        <v>235</v>
      </c>
      <c r="K44" s="251">
        <f>SUM(C44:J44)</f>
        <v>313229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67382</v>
      </c>
      <c r="D56" s="276">
        <f>SUM(D44:D55)</f>
        <v>39308</v>
      </c>
      <c r="E56" s="277">
        <f t="shared" ref="E56:J56" si="3">SUM(E44:E55)</f>
        <v>0</v>
      </c>
      <c r="F56" s="278">
        <f t="shared" si="3"/>
        <v>93181</v>
      </c>
      <c r="G56" s="279">
        <f t="shared" si="3"/>
        <v>34823</v>
      </c>
      <c r="H56" s="277">
        <f t="shared" si="3"/>
        <v>78300</v>
      </c>
      <c r="I56" s="280">
        <f t="shared" si="3"/>
        <v>0</v>
      </c>
      <c r="J56" s="281">
        <f t="shared" si="3"/>
        <v>235</v>
      </c>
      <c r="K56" s="282">
        <f>SUM(C56:J56)</f>
        <v>313229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67382</v>
      </c>
      <c r="D62" s="7">
        <f>C56/K56</f>
        <v>0.2151205667419045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39308</v>
      </c>
      <c r="D63" s="10">
        <f>D56/K56</f>
        <v>0.12549285027886944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106690</v>
      </c>
      <c r="D64" s="23">
        <f>SUM(D62:D63)</f>
        <v>0.34061341702077397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93181</v>
      </c>
      <c r="D67" s="20">
        <f>F56/$K56</f>
        <v>0.29748522646370545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34823</v>
      </c>
      <c r="D68" s="55">
        <f>G56/$K56</f>
        <v>0.11117425270329376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128004</v>
      </c>
      <c r="D69" s="23">
        <f>SUM(D66:D68)</f>
        <v>0.40865947916699918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78300</v>
      </c>
      <c r="D71" s="7">
        <f>H56/K56</f>
        <v>0.24997685399500047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0</v>
      </c>
      <c r="D72" s="10">
        <f>I56/K56</f>
        <v>0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78300</v>
      </c>
      <c r="D73" s="23">
        <f>SUM(D71:D72)</f>
        <v>0.24997685399500047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235</v>
      </c>
      <c r="D75" s="23">
        <f>J56/K56</f>
        <v>7.5024981722637428E-4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313229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14" priority="3">
      <formula>ROW()=EVEN(ROW())</formula>
    </cfRule>
  </conditionalFormatting>
  <conditionalFormatting sqref="K45:K55">
    <cfRule type="expression" dxfId="13" priority="1">
      <formula>ROW()=EVEN(ROW())</formula>
    </cfRule>
  </conditionalFormatting>
  <conditionalFormatting sqref="K5:K44">
    <cfRule type="expression" dxfId="1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WAHKIAKUM</oddHeader>
  </headerFooter>
  <rowBreaks count="1" manualBreakCount="1">
    <brk id="44" max="16383" man="1"/>
  </rowBreaks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60730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18.25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395000</v>
      </c>
      <c r="D5" s="236"/>
      <c r="E5" s="44"/>
      <c r="F5" s="237">
        <v>82000</v>
      </c>
      <c r="G5" s="236"/>
      <c r="H5" s="44"/>
      <c r="I5" s="236"/>
      <c r="J5" s="51"/>
      <c r="K5" s="67">
        <f>SUM(C5:J5)</f>
        <v>477000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/>
      <c r="G7" s="236"/>
      <c r="H7" s="44">
        <v>52441</v>
      </c>
      <c r="I7" s="236"/>
      <c r="J7" s="51"/>
      <c r="K7" s="67">
        <f t="shared" si="0"/>
        <v>52441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>
        <v>12310</v>
      </c>
      <c r="H8" s="239"/>
      <c r="I8" s="240">
        <v>12310</v>
      </c>
      <c r="J8" s="51">
        <v>5858</v>
      </c>
      <c r="K8" s="67">
        <f t="shared" si="0"/>
        <v>30478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>
        <v>10000</v>
      </c>
      <c r="G12" s="236"/>
      <c r="H12" s="44">
        <f>181292+12975+180</f>
        <v>194447</v>
      </c>
      <c r="I12" s="236"/>
      <c r="J12" s="51"/>
      <c r="K12" s="67">
        <f t="shared" si="0"/>
        <v>204447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/>
      <c r="E14" s="44"/>
      <c r="F14" s="237">
        <v>9738</v>
      </c>
      <c r="G14" s="236"/>
      <c r="H14" s="44">
        <f>1242+1110+7289+451</f>
        <v>10092</v>
      </c>
      <c r="I14" s="236"/>
      <c r="J14" s="51"/>
      <c r="K14" s="67">
        <f t="shared" si="0"/>
        <v>19830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>
        <v>37541</v>
      </c>
      <c r="G15" s="236"/>
      <c r="H15" s="44"/>
      <c r="I15" s="236"/>
      <c r="J15" s="51"/>
      <c r="K15" s="67">
        <f t="shared" si="0"/>
        <v>37541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>
        <v>27507</v>
      </c>
      <c r="G16" s="236"/>
      <c r="H16" s="44"/>
      <c r="I16" s="236"/>
      <c r="J16" s="51"/>
      <c r="K16" s="67">
        <f t="shared" si="0"/>
        <v>27507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>
        <v>500</v>
      </c>
      <c r="G17" s="236"/>
      <c r="H17" s="44"/>
      <c r="I17" s="236"/>
      <c r="J17" s="51"/>
      <c r="K17" s="67">
        <f t="shared" si="0"/>
        <v>500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20000</v>
      </c>
      <c r="G18" s="236"/>
      <c r="H18" s="44"/>
      <c r="I18" s="236"/>
      <c r="J18" s="51"/>
      <c r="K18" s="67">
        <f t="shared" si="0"/>
        <v>20000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>
        <v>5936</v>
      </c>
      <c r="G20" s="236"/>
      <c r="H20" s="44">
        <v>48338</v>
      </c>
      <c r="I20" s="236"/>
      <c r="J20" s="51"/>
      <c r="K20" s="67">
        <f t="shared" si="0"/>
        <v>54274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>
        <v>5659</v>
      </c>
      <c r="G22" s="236">
        <v>129252</v>
      </c>
      <c r="H22" s="44"/>
      <c r="I22" s="236"/>
      <c r="J22" s="51"/>
      <c r="K22" s="67">
        <f t="shared" si="0"/>
        <v>134911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>
        <v>5000</v>
      </c>
      <c r="G24" s="236"/>
      <c r="H24" s="44"/>
      <c r="I24" s="236"/>
      <c r="J24" s="51"/>
      <c r="K24" s="67">
        <f t="shared" si="0"/>
        <v>5000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400+400</f>
        <v>800</v>
      </c>
      <c r="E25" s="44"/>
      <c r="F25" s="237"/>
      <c r="G25" s="236"/>
      <c r="H25" s="44"/>
      <c r="I25" s="236"/>
      <c r="J25" s="51"/>
      <c r="K25" s="67">
        <f t="shared" si="0"/>
        <v>800</v>
      </c>
      <c r="L25"/>
    </row>
    <row r="26" spans="1:12" x14ac:dyDescent="0.35">
      <c r="A26" s="93">
        <v>562.53</v>
      </c>
      <c r="B26" s="28" t="s">
        <v>59</v>
      </c>
      <c r="C26" s="235"/>
      <c r="D26" s="236"/>
      <c r="E26" s="44"/>
      <c r="F26" s="237"/>
      <c r="G26" s="236"/>
      <c r="H26" s="44"/>
      <c r="I26" s="236"/>
      <c r="J26" s="51"/>
      <c r="K26" s="67">
        <f t="shared" si="0"/>
        <v>0</v>
      </c>
      <c r="L26"/>
    </row>
    <row r="27" spans="1:12" x14ac:dyDescent="0.35">
      <c r="A27" s="93">
        <v>562.54</v>
      </c>
      <c r="B27" s="28" t="s">
        <v>60</v>
      </c>
      <c r="C27" s="235"/>
      <c r="D27" s="236"/>
      <c r="E27" s="44"/>
      <c r="F27" s="237"/>
      <c r="G27" s="236"/>
      <c r="H27" s="44"/>
      <c r="I27" s="236"/>
      <c r="J27" s="51"/>
      <c r="K27" s="67">
        <f t="shared" si="0"/>
        <v>0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>
        <v>5000</v>
      </c>
      <c r="G28" s="236"/>
      <c r="H28" s="44"/>
      <c r="I28" s="236"/>
      <c r="J28" s="51"/>
      <c r="K28" s="67">
        <f t="shared" si="0"/>
        <v>5000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126316+21091</f>
        <v>147407</v>
      </c>
      <c r="E29" s="44"/>
      <c r="F29" s="237"/>
      <c r="G29" s="236"/>
      <c r="H29" s="44"/>
      <c r="I29" s="236"/>
      <c r="J29" s="51"/>
      <c r="K29" s="67">
        <f t="shared" si="0"/>
        <v>147407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/>
      <c r="E31" s="44"/>
      <c r="F31" s="237">
        <v>10000</v>
      </c>
      <c r="G31" s="236"/>
      <c r="H31" s="44"/>
      <c r="I31" s="236"/>
      <c r="J31" s="51"/>
      <c r="K31" s="67">
        <f t="shared" si="0"/>
        <v>10000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>
        <v>32179</v>
      </c>
      <c r="G32" s="236"/>
      <c r="H32" s="44"/>
      <c r="I32" s="236"/>
      <c r="J32" s="51">
        <v>11042</v>
      </c>
      <c r="K32" s="67">
        <f t="shared" si="0"/>
        <v>43221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/>
      <c r="E34" s="44"/>
      <c r="F34" s="237"/>
      <c r="G34" s="236"/>
      <c r="H34" s="44"/>
      <c r="I34" s="236"/>
      <c r="J34" s="51"/>
      <c r="K34" s="67">
        <f t="shared" si="0"/>
        <v>0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>
        <v>11260</v>
      </c>
      <c r="G36" s="236"/>
      <c r="H36" s="44"/>
      <c r="I36" s="236"/>
      <c r="J36" s="51"/>
      <c r="K36" s="67">
        <f t="shared" si="0"/>
        <v>11260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39853</v>
      </c>
      <c r="G40" s="236"/>
      <c r="H40" s="44"/>
      <c r="I40" s="236"/>
      <c r="J40" s="51"/>
      <c r="K40" s="67">
        <f t="shared" si="0"/>
        <v>39853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18834</v>
      </c>
      <c r="I41" s="236"/>
      <c r="J41" s="51"/>
      <c r="K41" s="67">
        <f t="shared" si="0"/>
        <v>18834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395000</v>
      </c>
      <c r="D44" s="246">
        <f>SUM(D5:D43)</f>
        <v>148207</v>
      </c>
      <c r="E44" s="247">
        <f t="shared" ref="E44:J44" si="1">SUM(E5:E43)</f>
        <v>0</v>
      </c>
      <c r="F44" s="248">
        <f t="shared" si="1"/>
        <v>302173</v>
      </c>
      <c r="G44" s="246">
        <f t="shared" si="1"/>
        <v>141562</v>
      </c>
      <c r="H44" s="247">
        <f t="shared" si="1"/>
        <v>324152</v>
      </c>
      <c r="I44" s="249">
        <f t="shared" si="1"/>
        <v>12310</v>
      </c>
      <c r="J44" s="250">
        <f t="shared" si="1"/>
        <v>16900</v>
      </c>
      <c r="K44" s="251">
        <f>SUM(C44:J44)</f>
        <v>1340304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395000</v>
      </c>
      <c r="D56" s="276">
        <f>SUM(D44:D55)</f>
        <v>148207</v>
      </c>
      <c r="E56" s="277">
        <f t="shared" ref="E56:J56" si="3">SUM(E44:E55)</f>
        <v>0</v>
      </c>
      <c r="F56" s="278">
        <f t="shared" si="3"/>
        <v>302173</v>
      </c>
      <c r="G56" s="279">
        <f t="shared" si="3"/>
        <v>141562</v>
      </c>
      <c r="H56" s="277">
        <f t="shared" si="3"/>
        <v>324152</v>
      </c>
      <c r="I56" s="280">
        <f t="shared" si="3"/>
        <v>12310</v>
      </c>
      <c r="J56" s="281">
        <f t="shared" si="3"/>
        <v>16900</v>
      </c>
      <c r="K56" s="282">
        <f>SUM(C56:J56)</f>
        <v>1340304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395000</v>
      </c>
      <c r="D62" s="7">
        <f>C56/K56</f>
        <v>0.29470925998877867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148207</v>
      </c>
      <c r="D63" s="10">
        <f>D56/K56</f>
        <v>0.11057715264596689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543207</v>
      </c>
      <c r="D64" s="23">
        <f>SUM(D62:D63)</f>
        <v>0.40528641263474557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302173</v>
      </c>
      <c r="D67" s="20">
        <f>F56/$K56</f>
        <v>0.22545109169263092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141562</v>
      </c>
      <c r="D68" s="55">
        <f>G56/$K56</f>
        <v>0.10561932218362402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443735</v>
      </c>
      <c r="D69" s="23">
        <f>SUM(D66:D68)</f>
        <v>0.33107041387625491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324152</v>
      </c>
      <c r="D71" s="7">
        <f>H56/K56</f>
        <v>0.24184961023767743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12310</v>
      </c>
      <c r="D72" s="10">
        <f>I56/K56</f>
        <v>9.1844835201566211E-3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336462</v>
      </c>
      <c r="D73" s="23">
        <f>SUM(D71:D72)</f>
        <v>0.25103409375783403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16900</v>
      </c>
      <c r="D75" s="23">
        <f>J56/K56</f>
        <v>1.2609079731165467E-2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1340304</v>
      </c>
      <c r="D76" s="37">
        <f>D69+D73+D64+D75</f>
        <v>0.99999999999999989</v>
      </c>
      <c r="E76" s="42"/>
      <c r="F76" s="42"/>
      <c r="H76"/>
      <c r="I76"/>
      <c r="J76" s="42"/>
      <c r="L76"/>
    </row>
    <row r="77" spans="2:12" x14ac:dyDescent="0.35">
      <c r="C77"/>
      <c r="D77"/>
      <c r="E77" s="42"/>
      <c r="F77" s="42"/>
      <c r="H77"/>
      <c r="I77"/>
      <c r="J77" s="42"/>
      <c r="L77"/>
    </row>
    <row r="78" spans="2:12" x14ac:dyDescent="0.35">
      <c r="C78"/>
      <c r="D78"/>
      <c r="E78" s="42"/>
      <c r="F78" s="42"/>
      <c r="H78"/>
      <c r="I78"/>
      <c r="J78" s="42"/>
      <c r="L78"/>
    </row>
    <row r="79" spans="2:12" x14ac:dyDescent="0.35">
      <c r="C79"/>
      <c r="D79"/>
      <c r="E79" s="42"/>
      <c r="F79" s="42"/>
      <c r="H79"/>
      <c r="I79"/>
      <c r="J79" s="42"/>
      <c r="L79"/>
    </row>
    <row r="80" spans="2:12" x14ac:dyDescent="0.35">
      <c r="C80"/>
      <c r="D80"/>
      <c r="E80" s="42"/>
      <c r="F80" s="42"/>
      <c r="H80"/>
      <c r="I80"/>
      <c r="J80" s="42"/>
      <c r="L80"/>
    </row>
    <row r="81" spans="3:12" x14ac:dyDescent="0.35">
      <c r="C81"/>
      <c r="D81"/>
      <c r="E81" s="42"/>
      <c r="F81" s="42"/>
      <c r="H81"/>
      <c r="I81"/>
      <c r="J81" s="42"/>
      <c r="L81"/>
    </row>
    <row r="82" spans="3:12" x14ac:dyDescent="0.35">
      <c r="C82"/>
      <c r="D82"/>
      <c r="E82" s="42"/>
      <c r="F82" s="42"/>
      <c r="H82"/>
      <c r="I82"/>
      <c r="J82" s="42"/>
      <c r="L82"/>
    </row>
    <row r="86" spans="3:12" x14ac:dyDescent="0.35">
      <c r="L86" s="47"/>
    </row>
    <row r="87" spans="3:12" x14ac:dyDescent="0.35">
      <c r="L87" s="47"/>
    </row>
    <row r="88" spans="3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11" priority="3">
      <formula>ROW()=EVEN(ROW())</formula>
    </cfRule>
  </conditionalFormatting>
  <conditionalFormatting sqref="K45:K55">
    <cfRule type="expression" dxfId="10" priority="1">
      <formula>ROW()=EVEN(ROW())</formula>
    </cfRule>
  </conditionalFormatting>
  <conditionalFormatting sqref="K5:K44">
    <cfRule type="expression" dxfId="9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&amp;C&amp;"-,Bold"&amp;16Expenditues by Expenditure Code and Revenue Source
2016
WALLA WALLA</oddHeader>
  </headerFooter>
  <rowBreaks count="1" manualBreakCount="1">
    <brk id="44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7"/>
  <sheetViews>
    <sheetView workbookViewId="0">
      <selection activeCell="B31" sqref="B31"/>
    </sheetView>
  </sheetViews>
  <sheetFormatPr defaultRowHeight="14.5" x14ac:dyDescent="0.35"/>
  <cols>
    <col min="2" max="2" width="16.36328125" customWidth="1"/>
  </cols>
  <sheetData>
    <row r="1" spans="1:2" x14ac:dyDescent="0.35">
      <c r="A1" t="s">
        <v>1</v>
      </c>
      <c r="B1">
        <f>'Exp Code Ag Pgs 6&amp;7 Do Not Inpt'!E18</f>
        <v>0</v>
      </c>
    </row>
    <row r="2" spans="1:2" x14ac:dyDescent="0.35">
      <c r="A2" t="s">
        <v>2</v>
      </c>
      <c r="B2">
        <f>'Exp Code Ag Pgs 6&amp;7 Do Not Inpt'!F18</f>
        <v>2610472</v>
      </c>
    </row>
    <row r="3" spans="1:2" x14ac:dyDescent="0.35">
      <c r="A3" t="s">
        <v>41</v>
      </c>
      <c r="B3">
        <f>'Exp Code Ag Pgs 6&amp;7 Do Not Inpt'!G18</f>
        <v>0</v>
      </c>
    </row>
    <row r="4" spans="1:2" x14ac:dyDescent="0.35">
      <c r="A4" t="s">
        <v>115</v>
      </c>
      <c r="B4">
        <v>10813352.030000001</v>
      </c>
    </row>
    <row r="5" spans="1:2" x14ac:dyDescent="0.35">
      <c r="A5" t="s">
        <v>4</v>
      </c>
      <c r="B5">
        <v>46674073</v>
      </c>
    </row>
    <row r="6" spans="1:2" x14ac:dyDescent="0.35">
      <c r="A6" t="s">
        <v>5</v>
      </c>
      <c r="B6">
        <v>24605017</v>
      </c>
    </row>
    <row r="7" spans="1:2" x14ac:dyDescent="0.35">
      <c r="A7" t="s">
        <v>63</v>
      </c>
      <c r="B7">
        <v>85813434.980000004</v>
      </c>
    </row>
    <row r="8" spans="1:2" x14ac:dyDescent="0.35">
      <c r="A8" t="s">
        <v>6</v>
      </c>
      <c r="B8">
        <v>10813352.030000001</v>
      </c>
    </row>
    <row r="10" spans="1:2" x14ac:dyDescent="0.35">
      <c r="A10" s="157" t="s">
        <v>1</v>
      </c>
      <c r="B10" s="159">
        <f>'Exp Code Ag Pgs 6&amp;7 Do Not Inpt'!H56</f>
        <v>43718046</v>
      </c>
    </row>
    <row r="11" spans="1:2" x14ac:dyDescent="0.35">
      <c r="A11" s="157" t="s">
        <v>2</v>
      </c>
      <c r="B11" s="159">
        <f>'Exp Code Ag Pgs 6&amp;7 Do Not Inpt'!I56</f>
        <v>43725989.869999997</v>
      </c>
    </row>
    <row r="12" spans="1:2" x14ac:dyDescent="0.35">
      <c r="A12" s="157" t="s">
        <v>41</v>
      </c>
      <c r="B12" s="159">
        <f>'Exp Code Ag Pgs 6&amp;7 Do Not Inpt'!C56</f>
        <v>86381447.349999994</v>
      </c>
    </row>
    <row r="13" spans="1:2" x14ac:dyDescent="0.35">
      <c r="A13" s="157" t="s">
        <v>115</v>
      </c>
      <c r="B13" s="159">
        <v>10813352.030000001</v>
      </c>
    </row>
    <row r="14" spans="1:2" x14ac:dyDescent="0.35">
      <c r="A14" s="154" t="s">
        <v>4</v>
      </c>
      <c r="B14" s="158">
        <v>46674073</v>
      </c>
    </row>
    <row r="15" spans="1:2" x14ac:dyDescent="0.35">
      <c r="A15" s="154" t="s">
        <v>5</v>
      </c>
      <c r="B15" s="158">
        <v>24605017</v>
      </c>
    </row>
    <row r="16" spans="1:2" x14ac:dyDescent="0.35">
      <c r="A16" s="154" t="s">
        <v>63</v>
      </c>
      <c r="B16" s="158">
        <v>85813434.980000004</v>
      </c>
    </row>
    <row r="17" spans="1:2" x14ac:dyDescent="0.35">
      <c r="A17" s="154" t="s">
        <v>6</v>
      </c>
      <c r="B17" s="158">
        <v>10813352.030000001</v>
      </c>
    </row>
  </sheetData>
  <pageMargins left="0.7" right="0.7" top="0.75" bottom="0.75" header="0.3" footer="0.3"/>
  <pageSetup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3" width="11.54296875" style="42" customWidth="1"/>
    <col min="4" max="4" width="1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212540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75.349999999999994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611030</v>
      </c>
      <c r="D5" s="236">
        <v>751</v>
      </c>
      <c r="E5" s="44"/>
      <c r="F5" s="237">
        <v>954301</v>
      </c>
      <c r="G5" s="236"/>
      <c r="H5" s="44"/>
      <c r="I5" s="236">
        <v>65165</v>
      </c>
      <c r="J5" s="51">
        <f>130+3025+22</f>
        <v>3177</v>
      </c>
      <c r="K5" s="67">
        <f>SUM(C5:J5)</f>
        <v>1634424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>
        <v>267904</v>
      </c>
      <c r="D7" s="236">
        <v>473</v>
      </c>
      <c r="E7" s="44"/>
      <c r="F7" s="237"/>
      <c r="G7" s="236"/>
      <c r="H7" s="44">
        <v>135668</v>
      </c>
      <c r="I7" s="236">
        <v>54955</v>
      </c>
      <c r="J7" s="51">
        <f>45+8800</f>
        <v>8845</v>
      </c>
      <c r="K7" s="67">
        <f t="shared" si="0"/>
        <v>467845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>
        <v>98857</v>
      </c>
      <c r="D12" s="236">
        <v>498</v>
      </c>
      <c r="E12" s="44"/>
      <c r="F12" s="237"/>
      <c r="G12" s="236"/>
      <c r="H12" s="44">
        <f>358320+265</f>
        <v>358585</v>
      </c>
      <c r="I12" s="236"/>
      <c r="J12" s="51"/>
      <c r="K12" s="67">
        <f t="shared" si="0"/>
        <v>457940</v>
      </c>
      <c r="L12"/>
    </row>
    <row r="13" spans="1:12" x14ac:dyDescent="0.35">
      <c r="A13" s="93">
        <v>562.29</v>
      </c>
      <c r="B13" s="28" t="s">
        <v>46</v>
      </c>
      <c r="C13" s="235">
        <v>75372</v>
      </c>
      <c r="D13" s="236"/>
      <c r="E13" s="44"/>
      <c r="F13" s="237"/>
      <c r="G13" s="236">
        <v>330584</v>
      </c>
      <c r="H13" s="44"/>
      <c r="I13" s="236"/>
      <c r="J13" s="51">
        <v>117</v>
      </c>
      <c r="K13" s="67">
        <f t="shared" si="0"/>
        <v>406073</v>
      </c>
      <c r="L13"/>
    </row>
    <row r="14" spans="1:12" x14ac:dyDescent="0.35">
      <c r="A14" s="93">
        <v>562.32000000000005</v>
      </c>
      <c r="B14" s="16" t="s">
        <v>12</v>
      </c>
      <c r="C14" s="235">
        <v>77141</v>
      </c>
      <c r="D14" s="236"/>
      <c r="E14" s="44"/>
      <c r="F14" s="237"/>
      <c r="G14" s="236"/>
      <c r="H14" s="44">
        <f>3822+26365</f>
        <v>30187</v>
      </c>
      <c r="I14" s="236">
        <v>45680</v>
      </c>
      <c r="J14" s="51">
        <v>45000</v>
      </c>
      <c r="K14" s="67">
        <f t="shared" si="0"/>
        <v>198008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/>
      <c r="G15" s="236"/>
      <c r="H15" s="44"/>
      <c r="I15" s="236"/>
      <c r="J15" s="51"/>
      <c r="K15" s="67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35">
        <v>316680.84999999998</v>
      </c>
      <c r="D16" s="236"/>
      <c r="E16" s="44"/>
      <c r="F16" s="237"/>
      <c r="G16" s="236"/>
      <c r="H16" s="44"/>
      <c r="I16" s="236"/>
      <c r="J16" s="51"/>
      <c r="K16" s="67">
        <f t="shared" si="0"/>
        <v>316680.84999999998</v>
      </c>
      <c r="L16"/>
    </row>
    <row r="17" spans="1:12" x14ac:dyDescent="0.35">
      <c r="A17" s="93">
        <v>562.35</v>
      </c>
      <c r="B17" s="16" t="s">
        <v>14</v>
      </c>
      <c r="C17" s="235">
        <v>81578</v>
      </c>
      <c r="D17" s="236"/>
      <c r="E17" s="44">
        <v>26787</v>
      </c>
      <c r="F17" s="237"/>
      <c r="G17" s="236"/>
      <c r="H17" s="44">
        <v>8112</v>
      </c>
      <c r="I17" s="236"/>
      <c r="J17" s="51"/>
      <c r="K17" s="67">
        <f t="shared" si="0"/>
        <v>116477</v>
      </c>
      <c r="L17"/>
    </row>
    <row r="18" spans="1:12" x14ac:dyDescent="0.35">
      <c r="A18" s="93">
        <v>562.39</v>
      </c>
      <c r="B18" s="16" t="s">
        <v>15</v>
      </c>
      <c r="C18" s="235">
        <v>361330</v>
      </c>
      <c r="D18" s="236">
        <v>228</v>
      </c>
      <c r="E18" s="44"/>
      <c r="F18" s="237">
        <v>130000</v>
      </c>
      <c r="G18" s="236"/>
      <c r="H18" s="44"/>
      <c r="I18" s="236"/>
      <c r="J18" s="51">
        <v>2500</v>
      </c>
      <c r="K18" s="67">
        <f t="shared" si="0"/>
        <v>494058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68440+12450</f>
        <v>80890</v>
      </c>
      <c r="E25" s="44"/>
      <c r="F25" s="237"/>
      <c r="G25" s="236">
        <v>16375</v>
      </c>
      <c r="H25" s="44"/>
      <c r="I25" s="236"/>
      <c r="J25" s="51"/>
      <c r="K25" s="67">
        <f t="shared" si="0"/>
        <v>97265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603314+402+42955</f>
        <v>646671</v>
      </c>
      <c r="E26" s="44"/>
      <c r="F26" s="237"/>
      <c r="G26" s="236">
        <f>445514+8368</f>
        <v>453882</v>
      </c>
      <c r="H26" s="44"/>
      <c r="I26" s="236"/>
      <c r="J26" s="51">
        <v>9176</v>
      </c>
      <c r="K26" s="67">
        <f t="shared" si="0"/>
        <v>1109729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17178+352450+10925+8550+13230+624745+34000</f>
        <v>1061078</v>
      </c>
      <c r="E27" s="44"/>
      <c r="F27" s="237"/>
      <c r="G27" s="236">
        <v>60213</v>
      </c>
      <c r="H27" s="44"/>
      <c r="I27" s="236"/>
      <c r="J27" s="51"/>
      <c r="K27" s="67">
        <f t="shared" si="0"/>
        <v>1121291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792422+20519+54271+8087</f>
        <v>875299</v>
      </c>
      <c r="E29" s="44"/>
      <c r="F29" s="237"/>
      <c r="G29" s="236"/>
      <c r="H29" s="44"/>
      <c r="I29" s="236"/>
      <c r="J29" s="51">
        <v>300</v>
      </c>
      <c r="K29" s="67">
        <f t="shared" si="0"/>
        <v>875599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>
        <v>11522</v>
      </c>
      <c r="D31" s="236">
        <f>68210+4437+4897</f>
        <v>77544</v>
      </c>
      <c r="E31" s="44"/>
      <c r="F31" s="237"/>
      <c r="G31" s="236"/>
      <c r="H31" s="44"/>
      <c r="I31" s="236"/>
      <c r="J31" s="51"/>
      <c r="K31" s="67">
        <f t="shared" si="0"/>
        <v>89066</v>
      </c>
      <c r="L31"/>
    </row>
    <row r="32" spans="1:12" x14ac:dyDescent="0.35">
      <c r="A32" s="93">
        <v>562.59</v>
      </c>
      <c r="B32" s="28" t="s">
        <v>49</v>
      </c>
      <c r="C32" s="235">
        <v>25157</v>
      </c>
      <c r="D32" s="236"/>
      <c r="E32" s="44"/>
      <c r="F32" s="237"/>
      <c r="G32" s="236"/>
      <c r="H32" s="44"/>
      <c r="I32" s="236"/>
      <c r="J32" s="51"/>
      <c r="K32" s="67">
        <f t="shared" si="0"/>
        <v>25157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>
        <v>11758</v>
      </c>
      <c r="F33" s="237"/>
      <c r="G33" s="236"/>
      <c r="H33" s="44">
        <v>12050</v>
      </c>
      <c r="I33" s="236"/>
      <c r="J33" s="51"/>
      <c r="K33" s="67">
        <f t="shared" si="0"/>
        <v>23808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98556</v>
      </c>
      <c r="E34" s="44"/>
      <c r="F34" s="237"/>
      <c r="G34" s="236"/>
      <c r="H34" s="44"/>
      <c r="I34" s="236"/>
      <c r="J34" s="51"/>
      <c r="K34" s="67">
        <f t="shared" si="0"/>
        <v>98556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>
        <v>30229</v>
      </c>
      <c r="D36" s="236"/>
      <c r="E36" s="44"/>
      <c r="F36" s="237">
        <v>130000</v>
      </c>
      <c r="G36" s="236"/>
      <c r="H36" s="44"/>
      <c r="I36" s="236">
        <v>4079</v>
      </c>
      <c r="J36" s="51"/>
      <c r="K36" s="67">
        <f t="shared" si="0"/>
        <v>164308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>
        <v>113658</v>
      </c>
      <c r="D39" s="236"/>
      <c r="E39" s="44"/>
      <c r="F39" s="237"/>
      <c r="G39" s="236"/>
      <c r="H39" s="44"/>
      <c r="I39" s="236"/>
      <c r="J39" s="51"/>
      <c r="K39" s="67">
        <f t="shared" si="0"/>
        <v>113658</v>
      </c>
      <c r="L39"/>
    </row>
    <row r="40" spans="1:12" x14ac:dyDescent="0.35">
      <c r="A40" s="93">
        <v>562.79999999999995</v>
      </c>
      <c r="B40" s="16" t="s">
        <v>27</v>
      </c>
      <c r="C40" s="235">
        <v>6984</v>
      </c>
      <c r="D40" s="236"/>
      <c r="E40" s="44"/>
      <c r="F40" s="237"/>
      <c r="G40" s="236"/>
      <c r="H40" s="44"/>
      <c r="I40" s="236"/>
      <c r="J40" s="51"/>
      <c r="K40" s="67">
        <f t="shared" si="0"/>
        <v>6984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166657</v>
      </c>
      <c r="I41" s="236"/>
      <c r="J41" s="51"/>
      <c r="K41" s="67">
        <f t="shared" si="0"/>
        <v>166657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2077442.85</v>
      </c>
      <c r="D44" s="246">
        <f>SUM(D5:D43)</f>
        <v>2841988</v>
      </c>
      <c r="E44" s="247">
        <f t="shared" ref="E44:J44" si="1">SUM(E5:E43)</f>
        <v>38545</v>
      </c>
      <c r="F44" s="248">
        <f t="shared" si="1"/>
        <v>1214301</v>
      </c>
      <c r="G44" s="246">
        <f t="shared" si="1"/>
        <v>861054</v>
      </c>
      <c r="H44" s="247">
        <f t="shared" si="1"/>
        <v>711259</v>
      </c>
      <c r="I44" s="249">
        <f t="shared" si="1"/>
        <v>169879</v>
      </c>
      <c r="J44" s="250">
        <f t="shared" si="1"/>
        <v>69115</v>
      </c>
      <c r="K44" s="251">
        <f>SUM(C44:J44)</f>
        <v>7983583.8499999996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/>
      <c r="D52" s="236">
        <f>3345245+2617+1540+20154+108986+324636+16842</f>
        <v>3820020</v>
      </c>
      <c r="E52" s="44"/>
      <c r="F52" s="237"/>
      <c r="G52" s="236">
        <f>71214+10</f>
        <v>71224</v>
      </c>
      <c r="H52" s="44"/>
      <c r="I52" s="236">
        <v>30000</v>
      </c>
      <c r="J52" s="51">
        <f>3258+55145+269571+1675+74+20</f>
        <v>329743</v>
      </c>
      <c r="K52" s="67">
        <f t="shared" si="2"/>
        <v>4250987</v>
      </c>
      <c r="L52"/>
    </row>
    <row r="53" spans="1:12" x14ac:dyDescent="0.35">
      <c r="A53" s="93">
        <v>566</v>
      </c>
      <c r="B53" s="16" t="s">
        <v>38</v>
      </c>
      <c r="C53" s="235">
        <v>24809</v>
      </c>
      <c r="D53" s="236">
        <f>50501+35050+1200</f>
        <v>86751</v>
      </c>
      <c r="E53" s="44"/>
      <c r="F53" s="237"/>
      <c r="G53" s="236">
        <f>158424+64065+50249+3495+7091</f>
        <v>283324</v>
      </c>
      <c r="H53" s="44"/>
      <c r="I53" s="236">
        <f>95144+8705+77411</f>
        <v>181260</v>
      </c>
      <c r="J53" s="51">
        <v>-27922</v>
      </c>
      <c r="K53" s="67">
        <f t="shared" si="2"/>
        <v>548222</v>
      </c>
      <c r="L53"/>
    </row>
    <row r="54" spans="1:12" x14ac:dyDescent="0.35">
      <c r="A54" s="93">
        <v>568</v>
      </c>
      <c r="B54" s="16" t="s">
        <v>39</v>
      </c>
      <c r="C54" s="235"/>
      <c r="D54" s="236">
        <f>2617+1540+1675</f>
        <v>5832</v>
      </c>
      <c r="E54" s="44"/>
      <c r="F54" s="237"/>
      <c r="G54" s="236">
        <f>10+2977207</f>
        <v>2977217</v>
      </c>
      <c r="H54" s="44"/>
      <c r="I54" s="236"/>
      <c r="J54" s="51">
        <f>20+74</f>
        <v>94</v>
      </c>
      <c r="K54" s="67">
        <f t="shared" si="2"/>
        <v>2983143</v>
      </c>
      <c r="L54"/>
    </row>
    <row r="55" spans="1:12" x14ac:dyDescent="0.35">
      <c r="A55" s="95">
        <v>500</v>
      </c>
      <c r="B55" s="14" t="s">
        <v>68</v>
      </c>
      <c r="C55" s="273">
        <v>85331</v>
      </c>
      <c r="D55" s="243">
        <f>260495+2356+1386+211100+1133246+1723</f>
        <v>1610306</v>
      </c>
      <c r="E55" s="241"/>
      <c r="F55" s="242"/>
      <c r="G55" s="243">
        <f>266621+1080712+9</f>
        <v>1347342</v>
      </c>
      <c r="H55" s="241"/>
      <c r="I55" s="243">
        <f>109521+119808</f>
        <v>229329</v>
      </c>
      <c r="J55" s="244">
        <f>4859+19+66+150</f>
        <v>5094</v>
      </c>
      <c r="K55" s="274">
        <f t="shared" si="2"/>
        <v>3277402</v>
      </c>
      <c r="L55"/>
    </row>
    <row r="56" spans="1:12" ht="15" thickBot="1" x14ac:dyDescent="0.4">
      <c r="A56" s="97"/>
      <c r="B56" s="29" t="s">
        <v>42</v>
      </c>
      <c r="C56" s="275">
        <f>SUM(C44:C55)</f>
        <v>2187582.85</v>
      </c>
      <c r="D56" s="276">
        <f>SUM(D44:D55)</f>
        <v>8364897</v>
      </c>
      <c r="E56" s="277">
        <f t="shared" ref="E56:J56" si="3">SUM(E44:E55)</f>
        <v>38545</v>
      </c>
      <c r="F56" s="278">
        <f t="shared" si="3"/>
        <v>1214301</v>
      </c>
      <c r="G56" s="279">
        <f t="shared" si="3"/>
        <v>5540161</v>
      </c>
      <c r="H56" s="277">
        <f t="shared" si="3"/>
        <v>711259</v>
      </c>
      <c r="I56" s="280">
        <f t="shared" si="3"/>
        <v>610468</v>
      </c>
      <c r="J56" s="281">
        <f t="shared" si="3"/>
        <v>376124</v>
      </c>
      <c r="K56" s="282">
        <f>SUM(C56:J56)</f>
        <v>19043337.850000001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2187582.85</v>
      </c>
      <c r="D62" s="7">
        <f>C56/K56</f>
        <v>0.11487391901730085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8364897</v>
      </c>
      <c r="D63" s="10">
        <f>D56/K56</f>
        <v>0.43925582090116622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10552479.85</v>
      </c>
      <c r="D64" s="23">
        <f>SUM(D62:D63)</f>
        <v>0.55412973991846703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38545</v>
      </c>
      <c r="D66" s="20">
        <f>E56/$K56</f>
        <v>2.0240674352159328E-3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1214301</v>
      </c>
      <c r="D67" s="20">
        <f>F56/$K56</f>
        <v>6.3765134534962839E-2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5540161</v>
      </c>
      <c r="D68" s="55">
        <f>G56/$K56</f>
        <v>0.29092384137899435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6793007</v>
      </c>
      <c r="D69" s="23">
        <f>SUM(D66:D68)</f>
        <v>0.35671304334917314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711259</v>
      </c>
      <c r="D71" s="7">
        <f>H56/K56</f>
        <v>3.7349492279264478E-2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610468</v>
      </c>
      <c r="D72" s="10">
        <f>I56/K56</f>
        <v>3.2056775172951101E-2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1321727</v>
      </c>
      <c r="D73" s="23">
        <f>SUM(D71:D72)</f>
        <v>6.9406267452215578E-2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376124</v>
      </c>
      <c r="D75" s="23">
        <f>J56/K56</f>
        <v>1.9750949280144182E-2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19043337.850000001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8" priority="3">
      <formula>ROW()=EVEN(ROW())</formula>
    </cfRule>
  </conditionalFormatting>
  <conditionalFormatting sqref="K45:K55">
    <cfRule type="expression" dxfId="7" priority="1">
      <formula>ROW()=EVEN(ROW())</formula>
    </cfRule>
  </conditionalFormatting>
  <conditionalFormatting sqref="K5:K44">
    <cfRule type="expression" dxfId="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WHATCOM</oddHeader>
  </headerFooter>
  <rowBreaks count="1" manualBreakCount="1">
    <brk id="44" max="16383" man="1"/>
  </rowBreaks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47940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10.6</v>
      </c>
      <c r="D2" s="56"/>
      <c r="F2" s="2"/>
      <c r="G2" s="40"/>
      <c r="H2" s="40"/>
      <c r="I2" s="40"/>
      <c r="J2" s="4" t="s">
        <v>187</v>
      </c>
      <c r="K2" s="89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133844</v>
      </c>
      <c r="D5" s="236">
        <f>8+105+425+60368</f>
        <v>60906</v>
      </c>
      <c r="E5" s="44"/>
      <c r="F5" s="237">
        <v>119000</v>
      </c>
      <c r="G5" s="236"/>
      <c r="H5" s="44"/>
      <c r="I5" s="236"/>
      <c r="J5" s="51">
        <f>1208+4028</f>
        <v>5236</v>
      </c>
      <c r="K5" s="67">
        <f>SUM(C5:J5)</f>
        <v>318986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>
        <f>45+1759</f>
        <v>1804</v>
      </c>
      <c r="E7" s="44"/>
      <c r="F7" s="237"/>
      <c r="G7" s="236"/>
      <c r="H7" s="44">
        <v>25482</v>
      </c>
      <c r="I7" s="236"/>
      <c r="J7" s="51"/>
      <c r="K7" s="67">
        <f t="shared" si="0"/>
        <v>27286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>
        <v>148</v>
      </c>
      <c r="I8" s="240"/>
      <c r="J8" s="51"/>
      <c r="K8" s="67">
        <f t="shared" si="0"/>
        <v>148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>
        <f>9005+540</f>
        <v>9545</v>
      </c>
      <c r="I9" s="236"/>
      <c r="J9" s="51"/>
      <c r="K9" s="67">
        <f t="shared" si="0"/>
        <v>9545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>
        <f>15785+60070+22831+10384+174</f>
        <v>109244</v>
      </c>
      <c r="I12" s="236"/>
      <c r="J12" s="51"/>
      <c r="K12" s="67">
        <f t="shared" si="0"/>
        <v>109244</v>
      </c>
      <c r="L12"/>
    </row>
    <row r="13" spans="1:12" x14ac:dyDescent="0.35">
      <c r="A13" s="93">
        <v>562.29</v>
      </c>
      <c r="B13" s="28" t="s">
        <v>46</v>
      </c>
      <c r="C13" s="235">
        <v>52997</v>
      </c>
      <c r="D13" s="236">
        <f>9800+2+5705</f>
        <v>15507</v>
      </c>
      <c r="E13" s="44"/>
      <c r="F13" s="237"/>
      <c r="G13" s="236"/>
      <c r="H13" s="44">
        <f>4186+26194</f>
        <v>30380</v>
      </c>
      <c r="I13" s="236"/>
      <c r="J13" s="51"/>
      <c r="K13" s="67">
        <f t="shared" si="0"/>
        <v>98884</v>
      </c>
      <c r="L13"/>
    </row>
    <row r="14" spans="1:12" x14ac:dyDescent="0.35">
      <c r="A14" s="93">
        <v>562.32000000000005</v>
      </c>
      <c r="B14" s="16" t="s">
        <v>12</v>
      </c>
      <c r="C14" s="235">
        <v>7913</v>
      </c>
      <c r="D14" s="236">
        <f>5979+995+750</f>
        <v>7724</v>
      </c>
      <c r="E14" s="44"/>
      <c r="F14" s="237"/>
      <c r="G14" s="236"/>
      <c r="H14" s="44">
        <f>243+2324+1650+1310+1316</f>
        <v>6843</v>
      </c>
      <c r="I14" s="236"/>
      <c r="J14" s="51"/>
      <c r="K14" s="67">
        <f t="shared" si="0"/>
        <v>22480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>
        <v>50</v>
      </c>
      <c r="E15" s="44"/>
      <c r="F15" s="237">
        <v>10805</v>
      </c>
      <c r="G15" s="236"/>
      <c r="H15" s="44"/>
      <c r="I15" s="236"/>
      <c r="J15" s="51"/>
      <c r="K15" s="67">
        <f t="shared" si="0"/>
        <v>10855</v>
      </c>
      <c r="L15"/>
    </row>
    <row r="16" spans="1:12" x14ac:dyDescent="0.35">
      <c r="A16" s="93">
        <v>562.34</v>
      </c>
      <c r="B16" s="16" t="s">
        <v>13</v>
      </c>
      <c r="C16" s="235"/>
      <c r="D16" s="236">
        <v>3320</v>
      </c>
      <c r="E16" s="44"/>
      <c r="F16" s="237">
        <v>1048</v>
      </c>
      <c r="G16" s="236"/>
      <c r="H16" s="44"/>
      <c r="I16" s="236"/>
      <c r="J16" s="51"/>
      <c r="K16" s="67">
        <f t="shared" si="0"/>
        <v>4368</v>
      </c>
      <c r="L16"/>
    </row>
    <row r="17" spans="1:12" x14ac:dyDescent="0.35">
      <c r="A17" s="93">
        <v>562.35</v>
      </c>
      <c r="B17" s="16" t="s">
        <v>14</v>
      </c>
      <c r="C17" s="235"/>
      <c r="D17" s="236">
        <f>790+40</f>
        <v>830</v>
      </c>
      <c r="E17" s="44"/>
      <c r="F17" s="237">
        <v>302</v>
      </c>
      <c r="G17" s="236">
        <v>5000</v>
      </c>
      <c r="H17" s="44"/>
      <c r="I17" s="236"/>
      <c r="J17" s="51"/>
      <c r="K17" s="67">
        <f t="shared" si="0"/>
        <v>6132</v>
      </c>
      <c r="L17"/>
    </row>
    <row r="18" spans="1:12" x14ac:dyDescent="0.35">
      <c r="A18" s="93">
        <v>562.39</v>
      </c>
      <c r="B18" s="16" t="s">
        <v>15</v>
      </c>
      <c r="C18" s="235">
        <v>154</v>
      </c>
      <c r="D18" s="236"/>
      <c r="E18" s="44"/>
      <c r="F18" s="237"/>
      <c r="G18" s="236"/>
      <c r="H18" s="44"/>
      <c r="I18" s="236"/>
      <c r="J18" s="51"/>
      <c r="K18" s="67">
        <f t="shared" si="0"/>
        <v>154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800+502+800</f>
        <v>2102</v>
      </c>
      <c r="E25" s="44"/>
      <c r="F25" s="237">
        <v>9226</v>
      </c>
      <c r="G25" s="236"/>
      <c r="H25" s="44"/>
      <c r="I25" s="236"/>
      <c r="J25" s="51"/>
      <c r="K25" s="67">
        <f t="shared" si="0"/>
        <v>11328</v>
      </c>
      <c r="L25"/>
    </row>
    <row r="26" spans="1:12" x14ac:dyDescent="0.35">
      <c r="A26" s="93">
        <v>562.53</v>
      </c>
      <c r="B26" s="28" t="s">
        <v>59</v>
      </c>
      <c r="C26" s="235"/>
      <c r="D26" s="236">
        <v>12000</v>
      </c>
      <c r="E26" s="44"/>
      <c r="F26" s="237"/>
      <c r="G26" s="236">
        <v>11022</v>
      </c>
      <c r="H26" s="44"/>
      <c r="I26" s="236"/>
      <c r="J26" s="51"/>
      <c r="K26" s="67">
        <f t="shared" si="0"/>
        <v>23022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22233+8193</f>
        <v>30426</v>
      </c>
      <c r="E27" s="44"/>
      <c r="F27" s="237">
        <v>20981</v>
      </c>
      <c r="G27" s="236">
        <v>7454</v>
      </c>
      <c r="H27" s="44"/>
      <c r="I27" s="236"/>
      <c r="J27" s="51">
        <v>90</v>
      </c>
      <c r="K27" s="67">
        <f t="shared" si="0"/>
        <v>58951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/>
      <c r="G28" s="236"/>
      <c r="H28" s="44"/>
      <c r="I28" s="236"/>
      <c r="J28" s="51"/>
      <c r="K28" s="67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750+49316</f>
        <v>50066</v>
      </c>
      <c r="E29" s="44"/>
      <c r="F29" s="237"/>
      <c r="G29" s="236"/>
      <c r="H29" s="44"/>
      <c r="I29" s="236"/>
      <c r="J29" s="51">
        <v>52</v>
      </c>
      <c r="K29" s="67">
        <f t="shared" si="0"/>
        <v>50118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f>7734+370+2700</f>
        <v>10804</v>
      </c>
      <c r="E31" s="44"/>
      <c r="F31" s="237"/>
      <c r="G31" s="236"/>
      <c r="H31" s="44"/>
      <c r="I31" s="236"/>
      <c r="J31" s="51"/>
      <c r="K31" s="67">
        <f t="shared" si="0"/>
        <v>10804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>
        <v>19226</v>
      </c>
      <c r="G32" s="236"/>
      <c r="H32" s="44">
        <v>5863</v>
      </c>
      <c r="I32" s="236"/>
      <c r="J32" s="51"/>
      <c r="K32" s="67">
        <f t="shared" si="0"/>
        <v>25089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>
        <v>2747</v>
      </c>
      <c r="D34" s="236">
        <v>19465</v>
      </c>
      <c r="E34" s="44"/>
      <c r="F34" s="237">
        <v>8767</v>
      </c>
      <c r="G34" s="236"/>
      <c r="H34" s="44"/>
      <c r="I34" s="236"/>
      <c r="J34" s="51"/>
      <c r="K34" s="67">
        <f t="shared" si="0"/>
        <v>30979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/>
      <c r="G41" s="236"/>
      <c r="H41" s="44">
        <v>17225</v>
      </c>
      <c r="I41" s="236"/>
      <c r="J41" s="51"/>
      <c r="K41" s="67">
        <f t="shared" si="0"/>
        <v>17225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197655</v>
      </c>
      <c r="D44" s="246">
        <f>SUM(D5:D43)</f>
        <v>215004</v>
      </c>
      <c r="E44" s="247">
        <f t="shared" ref="E44:J44" si="1">SUM(E5:E43)</f>
        <v>0</v>
      </c>
      <c r="F44" s="248">
        <f t="shared" si="1"/>
        <v>189355</v>
      </c>
      <c r="G44" s="246">
        <f t="shared" si="1"/>
        <v>23476</v>
      </c>
      <c r="H44" s="247">
        <f t="shared" si="1"/>
        <v>204730</v>
      </c>
      <c r="I44" s="249">
        <f t="shared" si="1"/>
        <v>0</v>
      </c>
      <c r="J44" s="250">
        <f t="shared" si="1"/>
        <v>5378</v>
      </c>
      <c r="K44" s="251">
        <f>SUM(C44:J44)</f>
        <v>835598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197655</v>
      </c>
      <c r="D56" s="276">
        <f>SUM(D44:D55)</f>
        <v>215004</v>
      </c>
      <c r="E56" s="277">
        <f t="shared" ref="E56:J56" si="3">SUM(E44:E55)</f>
        <v>0</v>
      </c>
      <c r="F56" s="278">
        <f t="shared" si="3"/>
        <v>189355</v>
      </c>
      <c r="G56" s="279">
        <f t="shared" si="3"/>
        <v>23476</v>
      </c>
      <c r="H56" s="277">
        <f t="shared" si="3"/>
        <v>204730</v>
      </c>
      <c r="I56" s="280">
        <f t="shared" si="3"/>
        <v>0</v>
      </c>
      <c r="J56" s="281">
        <f t="shared" si="3"/>
        <v>5378</v>
      </c>
      <c r="K56" s="282">
        <f>SUM(C56:J56)</f>
        <v>835598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197655</v>
      </c>
      <c r="D62" s="7">
        <f>C56/K56</f>
        <v>0.23654317028044586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215004</v>
      </c>
      <c r="D63" s="10">
        <f>D56/K56</f>
        <v>0.25730554644697567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412659</v>
      </c>
      <c r="D64" s="23">
        <f>SUM(D62:D63)</f>
        <v>0.49384871672742153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189355</v>
      </c>
      <c r="D67" s="20">
        <f>F56/$K56</f>
        <v>0.22661016421772193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23476</v>
      </c>
      <c r="D68" s="55">
        <f>G56/$K56</f>
        <v>2.8094849437169549E-2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212831</v>
      </c>
      <c r="D69" s="23">
        <f>SUM(D66:D68)</f>
        <v>0.25470501365489145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204730</v>
      </c>
      <c r="D71" s="7">
        <f>H56/K56</f>
        <v>0.24501016038812923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0</v>
      </c>
      <c r="D72" s="10">
        <f>I56/K56</f>
        <v>0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204730</v>
      </c>
      <c r="D73" s="23">
        <f>SUM(D71:D72)</f>
        <v>0.24501016038812923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5378</v>
      </c>
      <c r="D75" s="23">
        <f>J56/K56</f>
        <v>6.4361092295577536E-3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835598</v>
      </c>
      <c r="D76" s="37">
        <f>D69+D73+D64+D75</f>
        <v>1</v>
      </c>
      <c r="E76" s="42"/>
      <c r="F76" s="42"/>
      <c r="H76"/>
      <c r="I76"/>
      <c r="J76" s="42"/>
      <c r="L76"/>
    </row>
    <row r="77" spans="2:12" x14ac:dyDescent="0.35">
      <c r="C77"/>
      <c r="D77"/>
      <c r="E77" s="42"/>
      <c r="F77" s="42"/>
      <c r="H77"/>
      <c r="I77"/>
      <c r="J77" s="42"/>
      <c r="L77"/>
    </row>
    <row r="78" spans="2:12" x14ac:dyDescent="0.35">
      <c r="C78"/>
      <c r="D78"/>
      <c r="E78" s="42"/>
      <c r="F78" s="42"/>
      <c r="H78"/>
      <c r="I78"/>
      <c r="J78" s="42"/>
      <c r="L78"/>
    </row>
    <row r="79" spans="2:12" x14ac:dyDescent="0.35">
      <c r="C79"/>
      <c r="D79"/>
      <c r="E79" s="42"/>
      <c r="F79" s="42"/>
      <c r="H79"/>
      <c r="I79"/>
      <c r="J79" s="42"/>
      <c r="L79"/>
    </row>
    <row r="80" spans="2:12" x14ac:dyDescent="0.35">
      <c r="C80"/>
      <c r="D80"/>
      <c r="E80" s="42"/>
      <c r="F80" s="42"/>
      <c r="H80"/>
      <c r="I80"/>
      <c r="J80" s="42"/>
      <c r="L80"/>
    </row>
    <row r="81" spans="3:12" x14ac:dyDescent="0.35">
      <c r="C81"/>
      <c r="D81"/>
      <c r="E81" s="42"/>
      <c r="F81" s="42"/>
      <c r="H81"/>
      <c r="I81"/>
      <c r="J81" s="42"/>
      <c r="L81"/>
    </row>
    <row r="82" spans="3:12" x14ac:dyDescent="0.35">
      <c r="C82"/>
      <c r="D82"/>
      <c r="E82" s="42"/>
      <c r="F82" s="42"/>
      <c r="H82"/>
      <c r="I82"/>
      <c r="J82" s="42"/>
      <c r="L82"/>
    </row>
    <row r="86" spans="3:12" x14ac:dyDescent="0.35">
      <c r="L86" s="47"/>
    </row>
    <row r="87" spans="3:12" x14ac:dyDescent="0.35">
      <c r="L87" s="47"/>
    </row>
    <row r="88" spans="3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5" priority="3">
      <formula>ROW()=EVEN(ROW())</formula>
    </cfRule>
  </conditionalFormatting>
  <conditionalFormatting sqref="K45:K55">
    <cfRule type="expression" dxfId="4" priority="1">
      <formula>ROW()=EVEN(ROW())</formula>
    </cfRule>
  </conditionalFormatting>
  <conditionalFormatting sqref="K5:K44">
    <cfRule type="expression" dxfId="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WHITMAN</oddHeader>
  </headerFooter>
  <rowBreaks count="1" manualBreakCount="1">
    <brk id="44" max="16383" man="1"/>
  </rowBreaks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250900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24.91</v>
      </c>
      <c r="D2" s="56"/>
      <c r="F2" s="2"/>
      <c r="G2" s="40"/>
      <c r="H2" s="40"/>
      <c r="I2" s="40"/>
      <c r="J2" s="4" t="s">
        <v>187</v>
      </c>
      <c r="K2" s="89" t="s">
        <v>152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/>
      <c r="D5" s="236"/>
      <c r="E5" s="44"/>
      <c r="F5" s="237">
        <v>309903</v>
      </c>
      <c r="G5" s="236"/>
      <c r="H5" s="44"/>
      <c r="I5" s="236">
        <v>25445</v>
      </c>
      <c r="J5" s="51">
        <v>-92692</v>
      </c>
      <c r="K5" s="67">
        <f>SUM(C5:J5)</f>
        <v>242656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>
        <v>4760</v>
      </c>
      <c r="G7" s="236"/>
      <c r="H7" s="44">
        <v>22579</v>
      </c>
      <c r="I7" s="236"/>
      <c r="J7" s="51"/>
      <c r="K7" s="67">
        <f t="shared" si="0"/>
        <v>27339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/>
      <c r="G8" s="236"/>
      <c r="H8" s="239"/>
      <c r="I8" s="240"/>
      <c r="J8" s="51"/>
      <c r="K8" s="67">
        <f t="shared" si="0"/>
        <v>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/>
      <c r="G9" s="236"/>
      <c r="H9" s="44"/>
      <c r="I9" s="236"/>
      <c r="J9" s="51"/>
      <c r="K9" s="67">
        <f t="shared" si="0"/>
        <v>0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36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/>
      <c r="G12" s="236"/>
      <c r="H12" s="44"/>
      <c r="I12" s="236"/>
      <c r="J12" s="51"/>
      <c r="K12" s="67">
        <f t="shared" si="0"/>
        <v>0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/>
      <c r="E14" s="44"/>
      <c r="F14" s="237">
        <v>7576</v>
      </c>
      <c r="G14" s="236"/>
      <c r="H14" s="44">
        <f>62413+4317</f>
        <v>66730</v>
      </c>
      <c r="I14" s="236"/>
      <c r="J14" s="51">
        <v>385</v>
      </c>
      <c r="K14" s="67">
        <f t="shared" si="0"/>
        <v>74691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>
        <v>142036</v>
      </c>
      <c r="G15" s="236"/>
      <c r="H15" s="44">
        <v>7767</v>
      </c>
      <c r="I15" s="236"/>
      <c r="J15" s="51">
        <v>200</v>
      </c>
      <c r="K15" s="67">
        <f t="shared" si="0"/>
        <v>150003</v>
      </c>
      <c r="L15"/>
    </row>
    <row r="16" spans="1:12" x14ac:dyDescent="0.35">
      <c r="A16" s="93">
        <v>562.34</v>
      </c>
      <c r="B16" s="16" t="s">
        <v>13</v>
      </c>
      <c r="C16" s="235">
        <v>150000</v>
      </c>
      <c r="D16" s="236"/>
      <c r="E16" s="44"/>
      <c r="F16" s="237">
        <v>110988</v>
      </c>
      <c r="G16" s="236"/>
      <c r="H16" s="44">
        <v>24376</v>
      </c>
      <c r="I16" s="236"/>
      <c r="J16" s="51"/>
      <c r="K16" s="67">
        <f t="shared" si="0"/>
        <v>285364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>
        <v>9221</v>
      </c>
      <c r="F17" s="237">
        <v>25554</v>
      </c>
      <c r="G17" s="236"/>
      <c r="H17" s="44"/>
      <c r="I17" s="236"/>
      <c r="J17" s="51">
        <v>25</v>
      </c>
      <c r="K17" s="67">
        <f t="shared" si="0"/>
        <v>34800</v>
      </c>
      <c r="L17"/>
    </row>
    <row r="18" spans="1:12" x14ac:dyDescent="0.35">
      <c r="A18" s="93">
        <v>562.39</v>
      </c>
      <c r="B18" s="16" t="s">
        <v>15</v>
      </c>
      <c r="C18" s="235"/>
      <c r="D18" s="236"/>
      <c r="E18" s="44"/>
      <c r="F18" s="237">
        <v>269821</v>
      </c>
      <c r="G18" s="236"/>
      <c r="H18" s="44"/>
      <c r="I18" s="236"/>
      <c r="J18" s="51"/>
      <c r="K18" s="67">
        <f t="shared" si="0"/>
        <v>269821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>
        <f>99497+7350</f>
        <v>106847</v>
      </c>
      <c r="F21" s="237">
        <v>36899</v>
      </c>
      <c r="G21" s="236"/>
      <c r="H21" s="44">
        <f>21388+144826+209219</f>
        <v>375433</v>
      </c>
      <c r="I21" s="236"/>
      <c r="J21" s="51">
        <v>2429</v>
      </c>
      <c r="K21" s="67">
        <f t="shared" si="0"/>
        <v>521608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/>
      <c r="H22" s="44"/>
      <c r="I22" s="236"/>
      <c r="J22" s="51"/>
      <c r="K22" s="67">
        <f t="shared" si="0"/>
        <v>0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>
        <f>291+4648+4648+79214</f>
        <v>88801</v>
      </c>
      <c r="E25" s="44"/>
      <c r="F25" s="237">
        <v>14551</v>
      </c>
      <c r="G25" s="236"/>
      <c r="H25" s="44"/>
      <c r="I25" s="236"/>
      <c r="J25" s="51">
        <v>60</v>
      </c>
      <c r="K25" s="67">
        <f t="shared" si="0"/>
        <v>103412</v>
      </c>
      <c r="L25"/>
    </row>
    <row r="26" spans="1:12" x14ac:dyDescent="0.35">
      <c r="A26" s="93">
        <v>562.53</v>
      </c>
      <c r="B26" s="28" t="s">
        <v>59</v>
      </c>
      <c r="C26" s="235"/>
      <c r="D26" s="236">
        <f>4879+35525</f>
        <v>40404</v>
      </c>
      <c r="E26" s="44"/>
      <c r="F26" s="237">
        <v>815</v>
      </c>
      <c r="G26" s="236">
        <v>69974</v>
      </c>
      <c r="H26" s="44"/>
      <c r="I26" s="236"/>
      <c r="J26" s="51"/>
      <c r="K26" s="67">
        <f t="shared" si="0"/>
        <v>111193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v>302528</v>
      </c>
      <c r="E27" s="44"/>
      <c r="F27" s="237"/>
      <c r="G27" s="236"/>
      <c r="H27" s="44"/>
      <c r="I27" s="236"/>
      <c r="J27" s="51"/>
      <c r="K27" s="67">
        <f t="shared" si="0"/>
        <v>302528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>
        <v>15531</v>
      </c>
      <c r="G28" s="236"/>
      <c r="H28" s="44"/>
      <c r="I28" s="236"/>
      <c r="J28" s="51"/>
      <c r="K28" s="67">
        <f t="shared" si="0"/>
        <v>15531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f>441730+9590+5481</f>
        <v>456801</v>
      </c>
      <c r="E29" s="44"/>
      <c r="F29" s="237"/>
      <c r="G29" s="236"/>
      <c r="H29" s="44"/>
      <c r="I29" s="236"/>
      <c r="J29" s="51">
        <v>22</v>
      </c>
      <c r="K29" s="67">
        <f t="shared" si="0"/>
        <v>456823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42077</v>
      </c>
      <c r="E31" s="44"/>
      <c r="F31" s="237"/>
      <c r="G31" s="236"/>
      <c r="H31" s="44"/>
      <c r="I31" s="236"/>
      <c r="J31" s="51"/>
      <c r="K31" s="67">
        <f t="shared" si="0"/>
        <v>42077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/>
      <c r="G32" s="236"/>
      <c r="H32" s="44"/>
      <c r="I32" s="236"/>
      <c r="J32" s="51"/>
      <c r="K32" s="67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35"/>
      <c r="D33" s="236"/>
      <c r="E33" s="44"/>
      <c r="F33" s="237"/>
      <c r="G33" s="236"/>
      <c r="H33" s="44"/>
      <c r="I33" s="236"/>
      <c r="J33" s="51"/>
      <c r="K33" s="67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125806</v>
      </c>
      <c r="E34" s="44"/>
      <c r="F34" s="237"/>
      <c r="G34" s="236"/>
      <c r="H34" s="44"/>
      <c r="I34" s="236"/>
      <c r="J34" s="51"/>
      <c r="K34" s="67">
        <f t="shared" si="0"/>
        <v>125806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>
        <v>905</v>
      </c>
      <c r="E39" s="44"/>
      <c r="F39" s="237">
        <v>105741</v>
      </c>
      <c r="G39" s="236"/>
      <c r="H39" s="44"/>
      <c r="I39" s="236"/>
      <c r="J39" s="51"/>
      <c r="K39" s="67">
        <f t="shared" si="0"/>
        <v>106646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>
        <v>8080</v>
      </c>
      <c r="G40" s="236"/>
      <c r="H40" s="44"/>
      <c r="I40" s="236"/>
      <c r="J40" s="51"/>
      <c r="K40" s="67">
        <f t="shared" si="0"/>
        <v>8080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>
        <v>227</v>
      </c>
      <c r="G41" s="236"/>
      <c r="H41" s="44">
        <v>102785</v>
      </c>
      <c r="I41" s="236"/>
      <c r="J41" s="51"/>
      <c r="K41" s="67">
        <f t="shared" si="0"/>
        <v>103012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/>
      <c r="J42" s="51"/>
      <c r="K42" s="67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35"/>
      <c r="D43" s="236"/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150000</v>
      </c>
      <c r="D44" s="246">
        <f>SUM(D5:D43)</f>
        <v>1057322</v>
      </c>
      <c r="E44" s="247">
        <f t="shared" ref="E44:J44" si="1">SUM(E5:E43)</f>
        <v>116068</v>
      </c>
      <c r="F44" s="248">
        <f t="shared" si="1"/>
        <v>1052482</v>
      </c>
      <c r="G44" s="246">
        <f t="shared" si="1"/>
        <v>69974</v>
      </c>
      <c r="H44" s="247">
        <f t="shared" si="1"/>
        <v>599670</v>
      </c>
      <c r="I44" s="249">
        <f t="shared" si="1"/>
        <v>25445</v>
      </c>
      <c r="J44" s="250">
        <f t="shared" si="1"/>
        <v>-89571</v>
      </c>
      <c r="K44" s="251">
        <f>SUM(C44:J44)</f>
        <v>2981390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12598</v>
      </c>
      <c r="D54" s="236">
        <v>2215963</v>
      </c>
      <c r="E54" s="44"/>
      <c r="F54" s="237"/>
      <c r="G54" s="236"/>
      <c r="H54" s="44"/>
      <c r="I54" s="236"/>
      <c r="J54" s="51"/>
      <c r="K54" s="67">
        <f t="shared" si="2"/>
        <v>2228561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162598</v>
      </c>
      <c r="D56" s="276">
        <f>SUM(D44:D55)</f>
        <v>3273285</v>
      </c>
      <c r="E56" s="277">
        <f t="shared" ref="E56:J56" si="3">SUM(E44:E55)</f>
        <v>116068</v>
      </c>
      <c r="F56" s="278">
        <f t="shared" si="3"/>
        <v>1052482</v>
      </c>
      <c r="G56" s="279">
        <f t="shared" si="3"/>
        <v>69974</v>
      </c>
      <c r="H56" s="277">
        <f t="shared" si="3"/>
        <v>599670</v>
      </c>
      <c r="I56" s="280">
        <f t="shared" si="3"/>
        <v>25445</v>
      </c>
      <c r="J56" s="281">
        <f t="shared" si="3"/>
        <v>-89571</v>
      </c>
      <c r="K56" s="282">
        <f>SUM(C56:J56)</f>
        <v>5209951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>
        <v>2.5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162598</v>
      </c>
      <c r="D62" s="7">
        <f>C56/K56</f>
        <v>3.1209122696163553E-2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3273285</v>
      </c>
      <c r="D63" s="10">
        <f>D56/K56</f>
        <v>0.62827558263023975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3435883</v>
      </c>
      <c r="D64" s="23">
        <f>SUM(D62:D63)</f>
        <v>0.65948470532640335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116068</v>
      </c>
      <c r="D66" s="20">
        <f>E56/$K56</f>
        <v>2.227813658900055E-2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1052482</v>
      </c>
      <c r="D67" s="20">
        <f>F56/$K56</f>
        <v>0.20201380012979009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69974</v>
      </c>
      <c r="D68" s="55">
        <f>G56/$K56</f>
        <v>1.3430836489633013E-2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1238524</v>
      </c>
      <c r="D69" s="23">
        <f>SUM(D66:D68)</f>
        <v>0.23772277320842364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599670</v>
      </c>
      <c r="D71" s="7">
        <f>H56/K56</f>
        <v>0.11510089058419168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25445</v>
      </c>
      <c r="D72" s="10">
        <f>I56/K56</f>
        <v>4.8839230925588357E-3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625115</v>
      </c>
      <c r="D73" s="23">
        <f>SUM(D71:D72)</f>
        <v>0.11998481367675051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-89571</v>
      </c>
      <c r="D75" s="23">
        <f>J56/K56</f>
        <v>-1.719229221157742E-2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5209951</v>
      </c>
      <c r="D76" s="37">
        <f>D69+D73+D64+D75</f>
        <v>1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2" priority="3">
      <formula>ROW()=EVEN(ROW())</formula>
    </cfRule>
  </conditionalFormatting>
  <conditionalFormatting sqref="K45:K55">
    <cfRule type="expression" dxfId="1" priority="1">
      <formula>ROW()=EVEN(ROW())</formula>
    </cfRule>
  </conditionalFormatting>
  <conditionalFormatting sqref="K5:K44">
    <cfRule type="expression" dxfId="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YAKIMA</oddHeader>
  </headerFooter>
  <rowBreaks count="1" manualBreakCount="1">
    <brk id="44" max="16383" man="1"/>
  </rowBreaks>
  <drawing r:id="rId2"/>
  <legacy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sqref="A1:B1"/>
    </sheetView>
  </sheetViews>
  <sheetFormatPr defaultRowHeight="14.5" x14ac:dyDescent="0.35"/>
  <cols>
    <col min="1" max="8" width="14.453125" customWidth="1"/>
  </cols>
  <sheetData>
    <row r="1" spans="1:8" ht="40.25" customHeight="1" thickTop="1" x14ac:dyDescent="0.35">
      <c r="A1" s="440" t="s">
        <v>119</v>
      </c>
      <c r="B1" s="442"/>
      <c r="C1" s="437" t="s">
        <v>117</v>
      </c>
      <c r="D1" s="438"/>
      <c r="E1" s="439"/>
      <c r="F1" s="440" t="s">
        <v>118</v>
      </c>
      <c r="G1" s="438"/>
      <c r="H1" s="170"/>
    </row>
    <row r="2" spans="1:8" ht="40.25" customHeight="1" x14ac:dyDescent="0.35">
      <c r="A2" s="166" t="s">
        <v>63</v>
      </c>
      <c r="B2" s="165" t="s">
        <v>6</v>
      </c>
      <c r="C2" s="171" t="s">
        <v>1</v>
      </c>
      <c r="D2" s="169" t="s">
        <v>2</v>
      </c>
      <c r="E2" s="168" t="s">
        <v>3</v>
      </c>
      <c r="F2" s="166" t="s">
        <v>4</v>
      </c>
      <c r="G2" s="167" t="s">
        <v>5</v>
      </c>
      <c r="H2" s="172" t="s">
        <v>115</v>
      </c>
    </row>
    <row r="3" spans="1:8" ht="40.25" customHeight="1" x14ac:dyDescent="0.35">
      <c r="A3" s="166" t="s">
        <v>125</v>
      </c>
      <c r="B3" s="165" t="s">
        <v>126</v>
      </c>
      <c r="C3" s="171" t="s">
        <v>120</v>
      </c>
      <c r="D3" s="169" t="s">
        <v>121</v>
      </c>
      <c r="E3" s="168" t="s">
        <v>122</v>
      </c>
      <c r="F3" s="166" t="s">
        <v>123</v>
      </c>
      <c r="G3" s="167" t="s">
        <v>124</v>
      </c>
      <c r="H3" s="172" t="s">
        <v>127</v>
      </c>
    </row>
    <row r="4" spans="1:8" ht="40.25" customHeight="1" x14ac:dyDescent="0.35">
      <c r="A4" s="166">
        <v>368</v>
      </c>
      <c r="B4" s="165" t="s">
        <v>132</v>
      </c>
      <c r="C4" s="171" t="s">
        <v>128</v>
      </c>
      <c r="D4" s="169"/>
      <c r="E4" s="168" t="s">
        <v>129</v>
      </c>
      <c r="F4" s="166" t="s">
        <v>130</v>
      </c>
      <c r="G4" s="167" t="s">
        <v>131</v>
      </c>
      <c r="H4" s="173" t="s">
        <v>133</v>
      </c>
    </row>
    <row r="5" spans="1:8" ht="40.25" customHeight="1" x14ac:dyDescent="0.35">
      <c r="A5" s="166" t="s">
        <v>137</v>
      </c>
      <c r="B5" s="165" t="s">
        <v>138</v>
      </c>
      <c r="C5" s="171" t="s">
        <v>134</v>
      </c>
      <c r="D5" s="169"/>
      <c r="E5" s="168" t="s">
        <v>135</v>
      </c>
      <c r="F5" s="166"/>
      <c r="G5" s="167" t="s">
        <v>136</v>
      </c>
      <c r="H5" s="172" t="s">
        <v>139</v>
      </c>
    </row>
    <row r="6" spans="1:8" ht="40.25" customHeight="1" x14ac:dyDescent="0.35">
      <c r="A6" s="166" t="s">
        <v>142</v>
      </c>
      <c r="B6" s="165" t="s">
        <v>143</v>
      </c>
      <c r="C6" s="171" t="s">
        <v>140</v>
      </c>
      <c r="D6" s="169"/>
      <c r="E6" s="168"/>
      <c r="F6" s="166"/>
      <c r="G6" s="167" t="s">
        <v>141</v>
      </c>
      <c r="H6" s="172" t="s">
        <v>144</v>
      </c>
    </row>
    <row r="7" spans="1:8" ht="40.25" customHeight="1" x14ac:dyDescent="0.35">
      <c r="A7" s="166">
        <v>337</v>
      </c>
      <c r="B7" s="165"/>
      <c r="C7" s="171" t="s">
        <v>145</v>
      </c>
      <c r="D7" s="169"/>
      <c r="E7" s="168"/>
      <c r="F7" s="166"/>
      <c r="G7" s="167"/>
      <c r="H7" s="172">
        <v>508</v>
      </c>
    </row>
    <row r="8" spans="1:8" ht="40.25" customHeight="1" x14ac:dyDescent="0.35">
      <c r="A8" s="166"/>
      <c r="B8" s="165"/>
      <c r="C8" s="171" t="s">
        <v>146</v>
      </c>
      <c r="D8" s="169"/>
      <c r="E8" s="168"/>
      <c r="F8" s="166"/>
      <c r="G8" s="167"/>
      <c r="H8" s="172"/>
    </row>
    <row r="9" spans="1:8" ht="40.25" customHeight="1" thickBot="1" x14ac:dyDescent="0.4">
      <c r="A9" s="177"/>
      <c r="B9" s="179"/>
      <c r="C9" s="174" t="s">
        <v>147</v>
      </c>
      <c r="D9" s="175"/>
      <c r="E9" s="176"/>
      <c r="F9" s="177"/>
      <c r="G9" s="178"/>
      <c r="H9" s="180"/>
    </row>
    <row r="10" spans="1:8" ht="15" thickTop="1" x14ac:dyDescent="0.35">
      <c r="A10" s="163"/>
      <c r="B10" s="163"/>
      <c r="C10" s="163"/>
      <c r="D10" s="163"/>
      <c r="E10" s="163"/>
      <c r="F10" s="163"/>
      <c r="G10" s="163"/>
      <c r="H10" s="163"/>
    </row>
    <row r="11" spans="1:8" x14ac:dyDescent="0.35">
      <c r="A11" s="164"/>
      <c r="B11" s="298"/>
      <c r="C11" s="298"/>
      <c r="D11" s="298"/>
      <c r="E11" s="298"/>
      <c r="F11" s="298"/>
      <c r="G11" s="298"/>
      <c r="H11" s="298"/>
    </row>
    <row r="12" spans="1:8" ht="14.5" customHeight="1" x14ac:dyDescent="0.35">
      <c r="A12" s="441" t="s">
        <v>189</v>
      </c>
      <c r="B12" s="441"/>
      <c r="C12" s="441"/>
      <c r="D12" s="441"/>
      <c r="E12" s="441"/>
      <c r="F12" s="441"/>
      <c r="G12" s="441"/>
      <c r="H12" s="441"/>
    </row>
    <row r="13" spans="1:8" x14ac:dyDescent="0.35">
      <c r="A13" s="163"/>
      <c r="B13" s="436"/>
      <c r="C13" s="436"/>
      <c r="D13" s="436"/>
      <c r="E13" s="436"/>
      <c r="F13" s="436"/>
      <c r="G13" s="436"/>
      <c r="H13" s="436"/>
    </row>
  </sheetData>
  <mergeCells count="5">
    <mergeCell ref="B13:H13"/>
    <mergeCell ref="C1:E1"/>
    <mergeCell ref="F1:G1"/>
    <mergeCell ref="A12:H12"/>
    <mergeCell ref="A1:B1"/>
  </mergeCells>
  <pageMargins left="0.7" right="0.7" top="1.25" bottom="0.75" header="0.3" footer="0.3"/>
  <pageSetup orientation="landscape" r:id="rId1"/>
  <headerFooter>
    <oddHeader xml:space="preserve">&amp;C&amp;"-,Bold"&amp;20Matrix of BARS Revenue Code Placement
2016
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zoomScale="85" zoomScaleNormal="85" workbookViewId="0">
      <selection activeCell="F7" sqref="F7"/>
    </sheetView>
  </sheetViews>
  <sheetFormatPr defaultColWidth="8.36328125" defaultRowHeight="13" x14ac:dyDescent="0.3"/>
  <cols>
    <col min="1" max="1" width="3.90625" style="213" customWidth="1"/>
    <col min="2" max="2" width="16.90625" style="213" customWidth="1"/>
    <col min="3" max="4" width="10.54296875" style="213" customWidth="1"/>
    <col min="5" max="5" width="11.81640625" style="213" bestFit="1" customWidth="1"/>
    <col min="6" max="6" width="12.453125" style="213" bestFit="1" customWidth="1"/>
    <col min="7" max="7" width="11.1796875" style="213" customWidth="1"/>
    <col min="8" max="8" width="12.6328125" style="213" customWidth="1"/>
    <col min="9" max="9" width="12.90625" style="213" customWidth="1"/>
    <col min="10" max="10" width="12" style="213" customWidth="1"/>
    <col min="11" max="11" width="12" style="213" bestFit="1" customWidth="1"/>
    <col min="12" max="12" width="10.54296875" style="213" customWidth="1"/>
    <col min="13" max="13" width="13.1796875" style="213" customWidth="1"/>
    <col min="14" max="14" width="12.36328125" style="213" bestFit="1" customWidth="1"/>
    <col min="15" max="15" width="11.6328125" style="213" customWidth="1"/>
    <col min="16" max="16" width="11.81640625" style="213" customWidth="1"/>
    <col min="17" max="17" width="12.08984375" style="213" customWidth="1"/>
    <col min="18" max="18" width="11.6328125" style="213" bestFit="1" customWidth="1"/>
    <col min="19" max="19" width="14.90625" style="213" customWidth="1"/>
    <col min="20" max="20" width="11.90625" style="213" customWidth="1"/>
    <col min="21" max="16384" width="8.36328125" style="213"/>
  </cols>
  <sheetData>
    <row r="1" spans="1:20" ht="25" x14ac:dyDescent="0.5">
      <c r="A1" s="443" t="s">
        <v>177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</row>
    <row r="2" spans="1:20" ht="25" x14ac:dyDescent="0.5">
      <c r="A2" s="443" t="s">
        <v>178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</row>
    <row r="3" spans="1:20" ht="7.5" customHeight="1" x14ac:dyDescent="0.3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</row>
    <row r="4" spans="1:20" x14ac:dyDescent="0.3">
      <c r="A4" s="301" t="s">
        <v>156</v>
      </c>
      <c r="B4" s="302"/>
      <c r="C4" s="302"/>
      <c r="D4" s="303" t="s">
        <v>157</v>
      </c>
      <c r="E4" s="304" t="s">
        <v>158</v>
      </c>
      <c r="F4" s="302"/>
      <c r="G4" s="302"/>
      <c r="H4" s="301"/>
      <c r="I4" s="302"/>
      <c r="J4" s="302"/>
      <c r="K4" s="304"/>
      <c r="L4" s="304"/>
      <c r="M4" s="300"/>
      <c r="N4" s="300"/>
      <c r="O4" s="300"/>
      <c r="P4" s="301" t="s">
        <v>156</v>
      </c>
      <c r="Q4" s="302"/>
      <c r="R4" s="302"/>
      <c r="S4" s="304" t="s">
        <v>157</v>
      </c>
      <c r="T4" s="304" t="s">
        <v>158</v>
      </c>
    </row>
    <row r="5" spans="1:20" x14ac:dyDescent="0.3">
      <c r="A5" s="305" t="s">
        <v>159</v>
      </c>
      <c r="B5" s="305"/>
      <c r="C5" s="306"/>
      <c r="D5" s="307">
        <f>C19</f>
        <v>2200</v>
      </c>
      <c r="E5" s="307">
        <f>C34</f>
        <v>2105100</v>
      </c>
      <c r="F5" s="306"/>
      <c r="G5" s="306"/>
      <c r="H5" s="305"/>
      <c r="I5" s="306"/>
      <c r="J5" s="306"/>
      <c r="K5" s="308"/>
      <c r="L5" s="309"/>
      <c r="M5" s="300"/>
      <c r="N5" s="300"/>
      <c r="O5" s="300"/>
      <c r="P5" s="305" t="s">
        <v>2</v>
      </c>
      <c r="Q5" s="306"/>
      <c r="R5" s="306"/>
      <c r="S5" s="308">
        <f>K21</f>
        <v>0</v>
      </c>
      <c r="T5" s="309">
        <f>K34</f>
        <v>12685523</v>
      </c>
    </row>
    <row r="6" spans="1:20" x14ac:dyDescent="0.3">
      <c r="A6" s="305" t="s">
        <v>160</v>
      </c>
      <c r="B6" s="306"/>
      <c r="C6" s="306"/>
      <c r="D6" s="310">
        <f>D36</f>
        <v>2.06</v>
      </c>
      <c r="E6" s="310">
        <f>D34</f>
        <v>1344</v>
      </c>
      <c r="F6" s="306"/>
      <c r="G6" s="306"/>
      <c r="H6" s="305"/>
      <c r="I6" s="306"/>
      <c r="J6" s="306"/>
      <c r="K6" s="309"/>
      <c r="L6" s="309"/>
      <c r="M6" s="300"/>
      <c r="N6" s="300"/>
      <c r="O6" s="300"/>
      <c r="P6" s="305" t="s">
        <v>161</v>
      </c>
      <c r="Q6" s="306"/>
      <c r="R6" s="306"/>
      <c r="S6" s="311">
        <f>L21</f>
        <v>0</v>
      </c>
      <c r="T6" s="311">
        <f>L19</f>
        <v>42.342727272727274</v>
      </c>
    </row>
    <row r="7" spans="1:20" x14ac:dyDescent="0.3">
      <c r="A7" s="305" t="s">
        <v>162</v>
      </c>
      <c r="B7" s="306"/>
      <c r="C7" s="306"/>
      <c r="D7" s="312">
        <f>S19</f>
        <v>250307</v>
      </c>
      <c r="E7" s="312">
        <f>S34</f>
        <v>212422248</v>
      </c>
      <c r="F7" s="313"/>
      <c r="G7" s="306"/>
      <c r="H7" s="305"/>
      <c r="I7" s="306"/>
      <c r="J7" s="306"/>
      <c r="K7" s="308"/>
      <c r="L7" s="309"/>
      <c r="M7" s="300"/>
      <c r="N7" s="300"/>
      <c r="O7" s="300"/>
      <c r="P7" s="305" t="s">
        <v>163</v>
      </c>
      <c r="Q7" s="306"/>
      <c r="R7" s="306"/>
      <c r="S7" s="308">
        <f>F19</f>
        <v>32499</v>
      </c>
      <c r="T7" s="309">
        <f>F34</f>
        <v>55620104</v>
      </c>
    </row>
    <row r="8" spans="1:20" x14ac:dyDescent="0.3">
      <c r="A8" s="305" t="s">
        <v>164</v>
      </c>
      <c r="B8" s="306"/>
      <c r="C8" s="306"/>
      <c r="D8" s="311">
        <f>T44</f>
        <v>17.430079265748851</v>
      </c>
      <c r="E8" s="311">
        <f>T33</f>
        <v>232.1623161764706</v>
      </c>
      <c r="F8" s="306"/>
      <c r="G8" s="306"/>
      <c r="H8" s="305"/>
      <c r="I8" s="306"/>
      <c r="J8" s="306"/>
      <c r="K8" s="309"/>
      <c r="L8" s="309"/>
      <c r="M8" s="300"/>
      <c r="N8" s="300"/>
      <c r="O8" s="300"/>
      <c r="P8" s="305" t="s">
        <v>165</v>
      </c>
      <c r="Q8" s="306"/>
      <c r="R8" s="306"/>
      <c r="S8" s="311">
        <f>G45</f>
        <v>0.64805898764447989</v>
      </c>
      <c r="T8" s="311">
        <f>G33</f>
        <v>90.711703431372555</v>
      </c>
    </row>
    <row r="9" spans="1:20" ht="15.75" customHeight="1" thickBot="1" x14ac:dyDescent="0.35">
      <c r="A9" s="3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14"/>
      <c r="N9" s="314"/>
      <c r="O9" s="314"/>
      <c r="P9" s="314"/>
      <c r="Q9" s="315"/>
      <c r="R9" s="300"/>
      <c r="S9" s="300"/>
      <c r="T9" s="316"/>
    </row>
    <row r="10" spans="1:20" ht="52" x14ac:dyDescent="0.3">
      <c r="A10" s="317"/>
      <c r="B10" s="318" t="s">
        <v>166</v>
      </c>
      <c r="C10" s="319" t="s">
        <v>167</v>
      </c>
      <c r="D10" s="320" t="s">
        <v>168</v>
      </c>
      <c r="E10" s="321" t="s">
        <v>169</v>
      </c>
      <c r="F10" s="322" t="s">
        <v>171</v>
      </c>
      <c r="G10" s="323" t="s">
        <v>179</v>
      </c>
      <c r="H10" s="324" t="s">
        <v>172</v>
      </c>
      <c r="I10" s="325" t="s">
        <v>180</v>
      </c>
      <c r="J10" s="326" t="s">
        <v>1</v>
      </c>
      <c r="K10" s="327" t="s">
        <v>2</v>
      </c>
      <c r="L10" s="328" t="s">
        <v>181</v>
      </c>
      <c r="M10" s="327" t="s">
        <v>41</v>
      </c>
      <c r="N10" s="329" t="s">
        <v>182</v>
      </c>
      <c r="O10" s="330" t="s">
        <v>170</v>
      </c>
      <c r="P10" s="331" t="s">
        <v>5</v>
      </c>
      <c r="Q10" s="332" t="s">
        <v>183</v>
      </c>
      <c r="R10" s="333" t="s">
        <v>184</v>
      </c>
      <c r="S10" s="334" t="s">
        <v>185</v>
      </c>
      <c r="T10" s="335" t="s">
        <v>186</v>
      </c>
    </row>
    <row r="11" spans="1:20" x14ac:dyDescent="0.3">
      <c r="A11" s="336"/>
      <c r="B11" s="337" t="s">
        <v>78</v>
      </c>
      <c r="C11" s="338">
        <f>'LHJ Summary Pg 3-Do Not Input'!$C$5</f>
        <v>19510</v>
      </c>
      <c r="D11" s="339">
        <f>'LHJ Summary Pg 3-Do Not Input'!$D$5</f>
        <v>8.75</v>
      </c>
      <c r="E11" s="340">
        <f>C11/D11</f>
        <v>2229.7142857142858</v>
      </c>
      <c r="F11" s="341">
        <f>'LHJ Summary Pg 3-Do Not Input'!$E$5</f>
        <v>92687.5</v>
      </c>
      <c r="G11" s="342">
        <f t="shared" ref="G11:G45" si="0">F11/C11</f>
        <v>4.7507688364941059</v>
      </c>
      <c r="H11" s="343">
        <f>'LHJ Summary Pg 3-Do Not Input'!$F$5</f>
        <v>79051</v>
      </c>
      <c r="I11" s="344">
        <f>F11+H11</f>
        <v>171738.5</v>
      </c>
      <c r="J11" s="345">
        <f>'LHJ Summary Pg 3-Do Not Input'!$G$5</f>
        <v>0</v>
      </c>
      <c r="K11" s="346">
        <f>'LHJ Summary Pg 3-Do Not Input'!$H$5</f>
        <v>121213</v>
      </c>
      <c r="L11" s="347">
        <f t="shared" ref="L11:L45" si="1">K11/C11</f>
        <v>6.2128651973347004</v>
      </c>
      <c r="M11" s="348">
        <f>'LHJ Summary Pg 3-Do Not Input'!$I$5</f>
        <v>44594</v>
      </c>
      <c r="N11" s="349">
        <f>J11+K11+M11</f>
        <v>165807</v>
      </c>
      <c r="O11" s="350">
        <f>'LHJ Summary Pg 3-Do Not Input'!$J$5</f>
        <v>165401</v>
      </c>
      <c r="P11" s="351">
        <f>'LHJ Summary Pg 3-Do Not Input'!$K$5</f>
        <v>49095</v>
      </c>
      <c r="Q11" s="352">
        <f t="shared" ref="Q11:Q45" si="2">SUM(O11:P11)</f>
        <v>214496</v>
      </c>
      <c r="R11" s="353">
        <f>'LHJ Summary Pg 3-Do Not Input'!$L$5</f>
        <v>140000</v>
      </c>
      <c r="S11" s="354">
        <f>'LHJ Summary Pg 3-Do Not Input'!$M$5</f>
        <v>692041.5</v>
      </c>
      <c r="T11" s="355">
        <f t="shared" ref="T11:T45" si="3">S11/C11</f>
        <v>35.471117375704765</v>
      </c>
    </row>
    <row r="12" spans="1:20" x14ac:dyDescent="0.3">
      <c r="A12" s="356"/>
      <c r="B12" s="357" t="s">
        <v>83</v>
      </c>
      <c r="C12" s="358">
        <f>'LHJ Summary Pg 3-Do Not Input'!$C$6</f>
        <v>22150</v>
      </c>
      <c r="D12" s="359">
        <f>'LHJ Summary Pg 3-Do Not Input'!$D$6</f>
        <v>5.57</v>
      </c>
      <c r="E12" s="360">
        <f t="shared" ref="E12:E45" si="4">C12/D12</f>
        <v>3976.6606822262115</v>
      </c>
      <c r="F12" s="361">
        <f>'LHJ Summary Pg 3-Do Not Input'!$E$6</f>
        <v>45270</v>
      </c>
      <c r="G12" s="362">
        <f t="shared" si="0"/>
        <v>2.0437923250564336</v>
      </c>
      <c r="H12" s="363">
        <f>'LHJ Summary Pg 3-Do Not Input'!$F$6</f>
        <v>30094</v>
      </c>
      <c r="I12" s="364">
        <f t="shared" ref="I12:I45" si="5">F12+H12</f>
        <v>75364</v>
      </c>
      <c r="J12" s="365">
        <f>'LHJ Summary Pg 3-Do Not Input'!$G$6</f>
        <v>0</v>
      </c>
      <c r="K12" s="366">
        <f>'LHJ Summary Pg 3-Do Not Input'!$H$6</f>
        <v>159890</v>
      </c>
      <c r="L12" s="367">
        <f t="shared" si="1"/>
        <v>7.2185101580135438</v>
      </c>
      <c r="M12" s="368">
        <f>'LHJ Summary Pg 3-Do Not Input'!$I$6</f>
        <v>8987</v>
      </c>
      <c r="N12" s="369">
        <f t="shared" ref="N12:N45" si="6">J12+K12+M12</f>
        <v>168877</v>
      </c>
      <c r="O12" s="370">
        <f>'LHJ Summary Pg 3-Do Not Input'!$J$6</f>
        <v>182259</v>
      </c>
      <c r="P12" s="371">
        <f>'LHJ Summary Pg 3-Do Not Input'!$K$6</f>
        <v>55874</v>
      </c>
      <c r="Q12" s="372">
        <f t="shared" si="2"/>
        <v>238133</v>
      </c>
      <c r="R12" s="373">
        <f>'LHJ Summary Pg 3-Do Not Input'!$L$6</f>
        <v>70548</v>
      </c>
      <c r="S12" s="374">
        <f>'LHJ Summary Pg 3-Do Not Input'!$M$6</f>
        <v>552922</v>
      </c>
      <c r="T12" s="375">
        <f t="shared" si="3"/>
        <v>24.962618510158013</v>
      </c>
    </row>
    <row r="13" spans="1:20" x14ac:dyDescent="0.3">
      <c r="A13" s="356"/>
      <c r="B13" s="357" t="s">
        <v>79</v>
      </c>
      <c r="C13" s="358">
        <f>'LHJ Summary Pg 3-Do Not Input'!$C$7</f>
        <v>279170</v>
      </c>
      <c r="D13" s="359">
        <f>'LHJ Summary Pg 3-Do Not Input'!$D$7</f>
        <v>90.38</v>
      </c>
      <c r="E13" s="360">
        <f t="shared" si="4"/>
        <v>3088.8470900641737</v>
      </c>
      <c r="F13" s="361">
        <f>'LHJ Summary Pg 3-Do Not Input'!$E$7</f>
        <v>719036</v>
      </c>
      <c r="G13" s="362">
        <f t="shared" si="0"/>
        <v>2.5756205896049003</v>
      </c>
      <c r="H13" s="363">
        <f>'LHJ Summary Pg 3-Do Not Input'!$F$7</f>
        <v>3004027</v>
      </c>
      <c r="I13" s="364">
        <f t="shared" si="5"/>
        <v>3723063</v>
      </c>
      <c r="J13" s="365">
        <f>'LHJ Summary Pg 3-Do Not Input'!$G$7</f>
        <v>243244</v>
      </c>
      <c r="K13" s="366">
        <f>'LHJ Summary Pg 3-Do Not Input'!$H$7</f>
        <v>1606720</v>
      </c>
      <c r="L13" s="367">
        <f t="shared" si="1"/>
        <v>5.7553462048214348</v>
      </c>
      <c r="M13" s="368">
        <f>'LHJ Summary Pg 3-Do Not Input'!$I$7</f>
        <v>339705</v>
      </c>
      <c r="N13" s="369">
        <f t="shared" si="6"/>
        <v>2189669</v>
      </c>
      <c r="O13" s="370">
        <f>'LHJ Summary Pg 3-Do Not Input'!$J$7</f>
        <v>2098878</v>
      </c>
      <c r="P13" s="371">
        <f>'LHJ Summary Pg 3-Do Not Input'!$K$7</f>
        <v>1067182</v>
      </c>
      <c r="Q13" s="372">
        <f t="shared" si="2"/>
        <v>3166060</v>
      </c>
      <c r="R13" s="373">
        <f>'LHJ Summary Pg 3-Do Not Input'!$L$7</f>
        <v>78012</v>
      </c>
      <c r="S13" s="374">
        <f>'LHJ Summary Pg 3-Do Not Input'!$M$7</f>
        <v>9156804</v>
      </c>
      <c r="T13" s="375">
        <f t="shared" si="3"/>
        <v>32.800100297309882</v>
      </c>
    </row>
    <row r="14" spans="1:20" x14ac:dyDescent="0.3">
      <c r="A14" s="356"/>
      <c r="B14" s="357" t="s">
        <v>80</v>
      </c>
      <c r="C14" s="358">
        <f>'LHJ Summary Pg 3-Do Not Input'!$C$8</f>
        <v>116630</v>
      </c>
      <c r="D14" s="359">
        <f>'LHJ Summary Pg 3-Do Not Input'!$D$8</f>
        <v>37</v>
      </c>
      <c r="E14" s="360">
        <f t="shared" si="4"/>
        <v>3152.1621621621621</v>
      </c>
      <c r="F14" s="361">
        <f>'LHJ Summary Pg 3-Do Not Input'!$E$8</f>
        <v>512099</v>
      </c>
      <c r="G14" s="362">
        <f t="shared" si="0"/>
        <v>4.3907999657035068</v>
      </c>
      <c r="H14" s="363">
        <f>'LHJ Summary Pg 3-Do Not Input'!$F$8</f>
        <v>1218101</v>
      </c>
      <c r="I14" s="364">
        <f t="shared" si="5"/>
        <v>1730200</v>
      </c>
      <c r="J14" s="365">
        <f>'LHJ Summary Pg 3-Do Not Input'!$G$8</f>
        <v>0</v>
      </c>
      <c r="K14" s="366">
        <f>'LHJ Summary Pg 3-Do Not Input'!$H$8</f>
        <v>399636</v>
      </c>
      <c r="L14" s="367">
        <f t="shared" si="1"/>
        <v>3.4265283374774929</v>
      </c>
      <c r="M14" s="368">
        <f>'LHJ Summary Pg 3-Do Not Input'!$I$8</f>
        <v>109118</v>
      </c>
      <c r="N14" s="369">
        <f t="shared" si="6"/>
        <v>508754</v>
      </c>
      <c r="O14" s="370">
        <f>'LHJ Summary Pg 3-Do Not Input'!$J$8</f>
        <v>603579</v>
      </c>
      <c r="P14" s="371">
        <f>'LHJ Summary Pg 3-Do Not Input'!$K$8</f>
        <v>619062</v>
      </c>
      <c r="Q14" s="372">
        <f t="shared" si="2"/>
        <v>1222641</v>
      </c>
      <c r="R14" s="373">
        <f>'LHJ Summary Pg 3-Do Not Input'!$L$8</f>
        <v>23913</v>
      </c>
      <c r="S14" s="374">
        <f>'LHJ Summary Pg 3-Do Not Input'!$M$8</f>
        <v>3485508</v>
      </c>
      <c r="T14" s="375">
        <f t="shared" si="3"/>
        <v>29.885175340821402</v>
      </c>
    </row>
    <row r="15" spans="1:20" x14ac:dyDescent="0.3">
      <c r="A15" s="356"/>
      <c r="B15" s="357" t="s">
        <v>84</v>
      </c>
      <c r="C15" s="358">
        <f>'LHJ Summary Pg 3-Do Not Input'!$C$9</f>
        <v>73410</v>
      </c>
      <c r="D15" s="359">
        <f>'LHJ Summary Pg 3-Do Not Input'!$D$9</f>
        <v>28.3</v>
      </c>
      <c r="E15" s="360">
        <f t="shared" si="4"/>
        <v>2593.9929328621906</v>
      </c>
      <c r="F15" s="361">
        <f>'LHJ Summary Pg 3-Do Not Input'!$E$9</f>
        <v>1269192</v>
      </c>
      <c r="G15" s="362">
        <f t="shared" si="0"/>
        <v>17.289088680016345</v>
      </c>
      <c r="H15" s="363">
        <f>'LHJ Summary Pg 3-Do Not Input'!$F$9</f>
        <v>638246</v>
      </c>
      <c r="I15" s="364">
        <f t="shared" si="5"/>
        <v>1907438</v>
      </c>
      <c r="J15" s="365">
        <f>'LHJ Summary Pg 3-Do Not Input'!$G$9</f>
        <v>116264</v>
      </c>
      <c r="K15" s="366">
        <f>'LHJ Summary Pg 3-Do Not Input'!$H$9</f>
        <v>291492</v>
      </c>
      <c r="L15" s="367">
        <f t="shared" si="1"/>
        <v>3.9707396812423377</v>
      </c>
      <c r="M15" s="368">
        <f>'LHJ Summary Pg 3-Do Not Input'!$I$9</f>
        <v>83171</v>
      </c>
      <c r="N15" s="369">
        <f t="shared" si="6"/>
        <v>490927</v>
      </c>
      <c r="O15" s="370">
        <f>'LHJ Summary Pg 3-Do Not Input'!$J$9</f>
        <v>579259</v>
      </c>
      <c r="P15" s="371">
        <f>'LHJ Summary Pg 3-Do Not Input'!$K$9</f>
        <v>72377</v>
      </c>
      <c r="Q15" s="372">
        <f t="shared" si="2"/>
        <v>651636</v>
      </c>
      <c r="R15" s="373">
        <f>'LHJ Summary Pg 3-Do Not Input'!$L$9</f>
        <v>64787</v>
      </c>
      <c r="S15" s="374">
        <f>'LHJ Summary Pg 3-Do Not Input'!$M$9</f>
        <v>3114788</v>
      </c>
      <c r="T15" s="375">
        <f t="shared" si="3"/>
        <v>42.430023157607955</v>
      </c>
    </row>
    <row r="16" spans="1:20" x14ac:dyDescent="0.3">
      <c r="A16" s="356"/>
      <c r="B16" s="357" t="s">
        <v>85</v>
      </c>
      <c r="C16" s="358">
        <f>'LHJ Summary Pg 3-Do Not Input'!$C$10</f>
        <v>461010</v>
      </c>
      <c r="D16" s="359">
        <f>'LHJ Summary Pg 3-Do Not Input'!$D$10</f>
        <v>87</v>
      </c>
      <c r="E16" s="360">
        <f t="shared" si="4"/>
        <v>5298.9655172413795</v>
      </c>
      <c r="F16" s="361">
        <f>'LHJ Summary Pg 3-Do Not Input'!$E$10</f>
        <v>2539444</v>
      </c>
      <c r="G16" s="362">
        <f t="shared" si="0"/>
        <v>5.5084358256870782</v>
      </c>
      <c r="H16" s="363">
        <f>'LHJ Summary Pg 3-Do Not Input'!$F$10</f>
        <v>2825113</v>
      </c>
      <c r="I16" s="364">
        <f t="shared" si="5"/>
        <v>5364557</v>
      </c>
      <c r="J16" s="365">
        <f>'LHJ Summary Pg 3-Do Not Input'!$G$10</f>
        <v>481085</v>
      </c>
      <c r="K16" s="366">
        <f>'LHJ Summary Pg 3-Do Not Input'!$H$10</f>
        <v>1767341</v>
      </c>
      <c r="L16" s="367">
        <f t="shared" si="1"/>
        <v>3.8336283377800915</v>
      </c>
      <c r="M16" s="368">
        <f>'LHJ Summary Pg 3-Do Not Input'!$I$10</f>
        <v>478093</v>
      </c>
      <c r="N16" s="369">
        <f t="shared" si="6"/>
        <v>2726519</v>
      </c>
      <c r="O16" s="370">
        <f>'LHJ Summary Pg 3-Do Not Input'!$J$10</f>
        <v>1304504</v>
      </c>
      <c r="P16" s="371">
        <f>'LHJ Summary Pg 3-Do Not Input'!$K$10</f>
        <v>695871</v>
      </c>
      <c r="Q16" s="372">
        <f t="shared" si="2"/>
        <v>2000375</v>
      </c>
      <c r="R16" s="373">
        <f>'LHJ Summary Pg 3-Do Not Input'!$L$10</f>
        <v>1055028</v>
      </c>
      <c r="S16" s="374">
        <f>'LHJ Summary Pg 3-Do Not Input'!$M$10</f>
        <v>11146479</v>
      </c>
      <c r="T16" s="375">
        <f t="shared" si="3"/>
        <v>24.178388755124619</v>
      </c>
    </row>
    <row r="17" spans="1:20" x14ac:dyDescent="0.3">
      <c r="A17" s="356"/>
      <c r="B17" s="357" t="s">
        <v>86</v>
      </c>
      <c r="C17" s="358">
        <f>'LHJ Summary Pg 3-Do Not Input'!$C$11</f>
        <v>4050</v>
      </c>
      <c r="D17" s="359">
        <f>'LHJ Summary Pg 3-Do Not Input'!$D$11</f>
        <v>4.05</v>
      </c>
      <c r="E17" s="360">
        <f t="shared" si="4"/>
        <v>1000</v>
      </c>
      <c r="F17" s="361">
        <f>'LHJ Summary Pg 3-Do Not Input'!$E$11</f>
        <v>85158</v>
      </c>
      <c r="G17" s="362">
        <f t="shared" si="0"/>
        <v>21.026666666666667</v>
      </c>
      <c r="H17" s="363">
        <f>'LHJ Summary Pg 3-Do Not Input'!$F$11</f>
        <v>17178</v>
      </c>
      <c r="I17" s="364">
        <f t="shared" si="5"/>
        <v>102336</v>
      </c>
      <c r="J17" s="365">
        <f>'LHJ Summary Pg 3-Do Not Input'!$G$11</f>
        <v>0</v>
      </c>
      <c r="K17" s="366">
        <f>'LHJ Summary Pg 3-Do Not Input'!$H$11</f>
        <v>119991</v>
      </c>
      <c r="L17" s="367">
        <f t="shared" si="1"/>
        <v>29.627407407407407</v>
      </c>
      <c r="M17" s="368">
        <f>'LHJ Summary Pg 3-Do Not Input'!$I$11</f>
        <v>8699</v>
      </c>
      <c r="N17" s="369">
        <f t="shared" si="6"/>
        <v>128690</v>
      </c>
      <c r="O17" s="370">
        <f>'LHJ Summary Pg 3-Do Not Input'!$J$11</f>
        <v>94628</v>
      </c>
      <c r="P17" s="371">
        <f>'LHJ Summary Pg 3-Do Not Input'!$K$11</f>
        <v>16825</v>
      </c>
      <c r="Q17" s="372">
        <f t="shared" si="2"/>
        <v>111453</v>
      </c>
      <c r="R17" s="373">
        <f>'LHJ Summary Pg 3-Do Not Input'!$L$11</f>
        <v>35617</v>
      </c>
      <c r="S17" s="374">
        <f>'LHJ Summary Pg 3-Do Not Input'!$M$11</f>
        <v>378096</v>
      </c>
      <c r="T17" s="375">
        <f t="shared" si="3"/>
        <v>93.357037037037031</v>
      </c>
    </row>
    <row r="18" spans="1:20" x14ac:dyDescent="0.3">
      <c r="A18" s="356"/>
      <c r="B18" s="357" t="s">
        <v>87</v>
      </c>
      <c r="C18" s="358">
        <f>'LHJ Summary Pg 3-Do Not Input'!$C$12</f>
        <v>104850</v>
      </c>
      <c r="D18" s="359">
        <f>'LHJ Summary Pg 3-Do Not Input'!$D$12</f>
        <v>28.25</v>
      </c>
      <c r="E18" s="360">
        <f t="shared" si="4"/>
        <v>3711.5044247787609</v>
      </c>
      <c r="F18" s="361">
        <f>'LHJ Summary Pg 3-Do Not Input'!$E$12</f>
        <v>254078</v>
      </c>
      <c r="G18" s="362">
        <f t="shared" si="0"/>
        <v>2.4232522651406772</v>
      </c>
      <c r="H18" s="363">
        <f>'LHJ Summary Pg 3-Do Not Input'!$F$12</f>
        <v>1272162</v>
      </c>
      <c r="I18" s="364">
        <f t="shared" si="5"/>
        <v>1526240</v>
      </c>
      <c r="J18" s="365">
        <f>'LHJ Summary Pg 3-Do Not Input'!$G$12</f>
        <v>0</v>
      </c>
      <c r="K18" s="366">
        <f>'LHJ Summary Pg 3-Do Not Input'!$H$12</f>
        <v>477981</v>
      </c>
      <c r="L18" s="367">
        <f t="shared" si="1"/>
        <v>4.5587124463519313</v>
      </c>
      <c r="M18" s="368">
        <f>'LHJ Summary Pg 3-Do Not Input'!$I$12</f>
        <v>87864</v>
      </c>
      <c r="N18" s="369">
        <f t="shared" si="6"/>
        <v>565845</v>
      </c>
      <c r="O18" s="370">
        <f>'LHJ Summary Pg 3-Do Not Input'!$J$12</f>
        <v>146758</v>
      </c>
      <c r="P18" s="371">
        <f>'LHJ Summary Pg 3-Do Not Input'!$K$12</f>
        <v>355415</v>
      </c>
      <c r="Q18" s="372">
        <f t="shared" si="2"/>
        <v>502173</v>
      </c>
      <c r="R18" s="373">
        <f>'LHJ Summary Pg 3-Do Not Input'!$L$12</f>
        <v>317873</v>
      </c>
      <c r="S18" s="374">
        <f>'LHJ Summary Pg 3-Do Not Input'!$M$12</f>
        <v>2912131</v>
      </c>
      <c r="T18" s="375">
        <f t="shared" si="3"/>
        <v>27.774258464473057</v>
      </c>
    </row>
    <row r="19" spans="1:20" x14ac:dyDescent="0.3">
      <c r="A19" s="356"/>
      <c r="B19" s="357" t="s">
        <v>88</v>
      </c>
      <c r="C19" s="358">
        <f>'LHJ Summary Pg 3-Do Not Input'!$C$13</f>
        <v>2200</v>
      </c>
      <c r="D19" s="359">
        <f>'LHJ Summary Pg 3-Do Not Input'!$D$13</f>
        <v>3.12</v>
      </c>
      <c r="E19" s="360">
        <f t="shared" si="4"/>
        <v>705.12820512820508</v>
      </c>
      <c r="F19" s="361">
        <f>'LHJ Summary Pg 3-Do Not Input'!$E$13</f>
        <v>32499</v>
      </c>
      <c r="G19" s="362">
        <f t="shared" si="0"/>
        <v>14.772272727272727</v>
      </c>
      <c r="H19" s="363">
        <f>'LHJ Summary Pg 3-Do Not Input'!$F$13</f>
        <v>15584</v>
      </c>
      <c r="I19" s="364">
        <f t="shared" si="5"/>
        <v>48083</v>
      </c>
      <c r="J19" s="365">
        <f>'LHJ Summary Pg 3-Do Not Input'!$G$13</f>
        <v>0</v>
      </c>
      <c r="K19" s="366">
        <f>'LHJ Summary Pg 3-Do Not Input'!$H$13</f>
        <v>93154</v>
      </c>
      <c r="L19" s="367">
        <f t="shared" si="1"/>
        <v>42.342727272727274</v>
      </c>
      <c r="M19" s="368">
        <f>'LHJ Summary Pg 3-Do Not Input'!$I$13</f>
        <v>580</v>
      </c>
      <c r="N19" s="369">
        <f t="shared" si="6"/>
        <v>93734</v>
      </c>
      <c r="O19" s="370">
        <f>'LHJ Summary Pg 3-Do Not Input'!$J$13</f>
        <v>68040</v>
      </c>
      <c r="P19" s="371">
        <f>'LHJ Summary Pg 3-Do Not Input'!$K$13</f>
        <v>0</v>
      </c>
      <c r="Q19" s="372">
        <f t="shared" si="2"/>
        <v>68040</v>
      </c>
      <c r="R19" s="373">
        <f>'LHJ Summary Pg 3-Do Not Input'!$L$13</f>
        <v>40450</v>
      </c>
      <c r="S19" s="374">
        <f>'LHJ Summary Pg 3-Do Not Input'!$M$13</f>
        <v>250307</v>
      </c>
      <c r="T19" s="375">
        <f t="shared" si="3"/>
        <v>113.7759090909091</v>
      </c>
    </row>
    <row r="20" spans="1:20" x14ac:dyDescent="0.3">
      <c r="A20" s="356"/>
      <c r="B20" s="357" t="s">
        <v>89</v>
      </c>
      <c r="C20" s="358">
        <f>'LHJ Summary Pg 3-Do Not Input'!$C$14</f>
        <v>94610</v>
      </c>
      <c r="D20" s="359">
        <f>'LHJ Summary Pg 3-Do Not Input'!$D$14</f>
        <v>28.37</v>
      </c>
      <c r="E20" s="360">
        <f t="shared" si="4"/>
        <v>3334.8607684173421</v>
      </c>
      <c r="F20" s="361">
        <f>'LHJ Summary Pg 3-Do Not Input'!$E$14</f>
        <v>270363</v>
      </c>
      <c r="G20" s="362">
        <f t="shared" si="0"/>
        <v>2.8576577528802454</v>
      </c>
      <c r="H20" s="363">
        <f>'LHJ Summary Pg 3-Do Not Input'!$F$14</f>
        <v>785548</v>
      </c>
      <c r="I20" s="364">
        <f t="shared" si="5"/>
        <v>1055911</v>
      </c>
      <c r="J20" s="365">
        <f>'LHJ Summary Pg 3-Do Not Input'!$G$14</f>
        <v>388205</v>
      </c>
      <c r="K20" s="366">
        <f>'LHJ Summary Pg 3-Do Not Input'!$H$14</f>
        <v>297760</v>
      </c>
      <c r="L20" s="367">
        <f t="shared" si="1"/>
        <v>3.1472360215622026</v>
      </c>
      <c r="M20" s="368">
        <f>'LHJ Summary Pg 3-Do Not Input'!$I$14</f>
        <v>65245</v>
      </c>
      <c r="N20" s="369">
        <f t="shared" si="6"/>
        <v>751210</v>
      </c>
      <c r="O20" s="370">
        <f>'LHJ Summary Pg 3-Do Not Input'!$J$14</f>
        <v>437358</v>
      </c>
      <c r="P20" s="371">
        <f>'LHJ Summary Pg 3-Do Not Input'!$K$14</f>
        <v>457132</v>
      </c>
      <c r="Q20" s="372">
        <f t="shared" si="2"/>
        <v>894490</v>
      </c>
      <c r="R20" s="373">
        <f>'LHJ Summary Pg 3-Do Not Input'!$L$14</f>
        <v>7117</v>
      </c>
      <c r="S20" s="374">
        <f>'LHJ Summary Pg 3-Do Not Input'!$M$14</f>
        <v>2708728</v>
      </c>
      <c r="T20" s="375">
        <f t="shared" si="3"/>
        <v>28.630461896205475</v>
      </c>
    </row>
    <row r="21" spans="1:20" x14ac:dyDescent="0.3">
      <c r="A21" s="356"/>
      <c r="B21" s="357" t="s">
        <v>90</v>
      </c>
      <c r="C21" s="358">
        <f>'LHJ Summary Pg 3-Do Not Input'!$C$15</f>
        <v>72820</v>
      </c>
      <c r="D21" s="359">
        <f>'LHJ Summary Pg 3-Do Not Input'!$D$15</f>
        <v>24.34</v>
      </c>
      <c r="E21" s="360">
        <f t="shared" si="4"/>
        <v>2991.783073130649</v>
      </c>
      <c r="F21" s="361">
        <f>'LHJ Summary Pg 3-Do Not Input'!$E$15</f>
        <v>849288</v>
      </c>
      <c r="G21" s="362">
        <f t="shared" si="0"/>
        <v>11.662839879154079</v>
      </c>
      <c r="H21" s="363">
        <f>'LHJ Summary Pg 3-Do Not Input'!$F$15</f>
        <v>248864</v>
      </c>
      <c r="I21" s="364">
        <f t="shared" si="5"/>
        <v>1098152</v>
      </c>
      <c r="J21" s="365">
        <f>'LHJ Summary Pg 3-Do Not Input'!$G$15</f>
        <v>106192</v>
      </c>
      <c r="K21" s="366">
        <f>'LHJ Summary Pg 3-Do Not Input'!$H$15</f>
        <v>0</v>
      </c>
      <c r="L21" s="367">
        <f t="shared" si="1"/>
        <v>0</v>
      </c>
      <c r="M21" s="368">
        <f>'LHJ Summary Pg 3-Do Not Input'!$I$15</f>
        <v>57284</v>
      </c>
      <c r="N21" s="369">
        <f t="shared" si="6"/>
        <v>163476</v>
      </c>
      <c r="O21" s="370">
        <f>'LHJ Summary Pg 3-Do Not Input'!$J$15</f>
        <v>822685</v>
      </c>
      <c r="P21" s="371">
        <f>'LHJ Summary Pg 3-Do Not Input'!$K$15</f>
        <v>559629</v>
      </c>
      <c r="Q21" s="372">
        <f t="shared" si="2"/>
        <v>1382314</v>
      </c>
      <c r="R21" s="373">
        <f>'LHJ Summary Pg 3-Do Not Input'!$L$15</f>
        <v>42127</v>
      </c>
      <c r="S21" s="374">
        <f>'LHJ Summary Pg 3-Do Not Input'!$M$15</f>
        <v>2686069</v>
      </c>
      <c r="T21" s="375">
        <f t="shared" si="3"/>
        <v>36.886418566327933</v>
      </c>
    </row>
    <row r="22" spans="1:20" x14ac:dyDescent="0.3">
      <c r="A22" s="356"/>
      <c r="B22" s="357" t="s">
        <v>91</v>
      </c>
      <c r="C22" s="358">
        <f>'LHJ Summary Pg 3-Do Not Input'!$C$16</f>
        <v>82910</v>
      </c>
      <c r="D22" s="359">
        <f>'LHJ Summary Pg 3-Do Not Input'!$D$16</f>
        <v>35.5</v>
      </c>
      <c r="E22" s="360">
        <f t="shared" si="4"/>
        <v>2335.4929577464791</v>
      </c>
      <c r="F22" s="361">
        <f>'LHJ Summary Pg 3-Do Not Input'!$E$16</f>
        <v>458494</v>
      </c>
      <c r="G22" s="362">
        <f t="shared" si="0"/>
        <v>5.530020504161139</v>
      </c>
      <c r="H22" s="363">
        <f>'LHJ Summary Pg 3-Do Not Input'!$F$16</f>
        <v>1665084</v>
      </c>
      <c r="I22" s="364">
        <f t="shared" si="5"/>
        <v>2123578</v>
      </c>
      <c r="J22" s="365">
        <f>'LHJ Summary Pg 3-Do Not Input'!$G$16</f>
        <v>37222</v>
      </c>
      <c r="K22" s="366">
        <f>'LHJ Summary Pg 3-Do Not Input'!$H$16</f>
        <v>255224</v>
      </c>
      <c r="L22" s="367">
        <f t="shared" si="1"/>
        <v>3.0783258955493911</v>
      </c>
      <c r="M22" s="368">
        <f>'LHJ Summary Pg 3-Do Not Input'!$I$16</f>
        <v>170188</v>
      </c>
      <c r="N22" s="369">
        <f t="shared" si="6"/>
        <v>462634</v>
      </c>
      <c r="O22" s="370">
        <f>'LHJ Summary Pg 3-Do Not Input'!$J$16</f>
        <v>566545</v>
      </c>
      <c r="P22" s="371">
        <f>'LHJ Summary Pg 3-Do Not Input'!$K$16</f>
        <v>707285</v>
      </c>
      <c r="Q22" s="372">
        <f t="shared" si="2"/>
        <v>1273830</v>
      </c>
      <c r="R22" s="373">
        <f>'LHJ Summary Pg 3-Do Not Input'!$L$16</f>
        <v>1476</v>
      </c>
      <c r="S22" s="374">
        <f>'LHJ Summary Pg 3-Do Not Input'!$M$16</f>
        <v>3861518</v>
      </c>
      <c r="T22" s="375">
        <f t="shared" si="3"/>
        <v>46.574816065613312</v>
      </c>
    </row>
    <row r="23" spans="1:20" x14ac:dyDescent="0.3">
      <c r="A23" s="356"/>
      <c r="B23" s="357" t="s">
        <v>92</v>
      </c>
      <c r="C23" s="358">
        <f>'LHJ Summary Pg 3-Do Not Input'!$C$17</f>
        <v>31090</v>
      </c>
      <c r="D23" s="359">
        <f>'LHJ Summary Pg 3-Do Not Input'!$D$17</f>
        <v>33.274000000000001</v>
      </c>
      <c r="E23" s="360">
        <f t="shared" si="4"/>
        <v>934.36316643625651</v>
      </c>
      <c r="F23" s="361">
        <f>'LHJ Summary Pg 3-Do Not Input'!$E$17</f>
        <v>862304</v>
      </c>
      <c r="G23" s="362">
        <f t="shared" si="0"/>
        <v>27.735734963010614</v>
      </c>
      <c r="H23" s="363">
        <f>'LHJ Summary Pg 3-Do Not Input'!$F$17</f>
        <v>1725113</v>
      </c>
      <c r="I23" s="364">
        <f t="shared" si="5"/>
        <v>2587417</v>
      </c>
      <c r="J23" s="365">
        <f>'LHJ Summary Pg 3-Do Not Input'!$G$17</f>
        <v>132642</v>
      </c>
      <c r="K23" s="366">
        <f>'LHJ Summary Pg 3-Do Not Input'!$H$17</f>
        <v>184080</v>
      </c>
      <c r="L23" s="367">
        <f t="shared" si="1"/>
        <v>5.9208748793824384</v>
      </c>
      <c r="M23" s="368">
        <f>'LHJ Summary Pg 3-Do Not Input'!$I$17</f>
        <v>431136</v>
      </c>
      <c r="N23" s="369">
        <f t="shared" si="6"/>
        <v>747858</v>
      </c>
      <c r="O23" s="370">
        <f>'LHJ Summary Pg 3-Do Not Input'!$J$17</f>
        <v>293295</v>
      </c>
      <c r="P23" s="371">
        <f>'LHJ Summary Pg 3-Do Not Input'!$K$17</f>
        <v>459581</v>
      </c>
      <c r="Q23" s="372">
        <f t="shared" si="2"/>
        <v>752876</v>
      </c>
      <c r="R23" s="373">
        <f>'LHJ Summary Pg 3-Do Not Input'!$L$17</f>
        <v>2325</v>
      </c>
      <c r="S23" s="374">
        <f>'LHJ Summary Pg 3-Do Not Input'!$M$17</f>
        <v>4090476</v>
      </c>
      <c r="T23" s="375">
        <f t="shared" si="3"/>
        <v>131.56886458668382</v>
      </c>
    </row>
    <row r="24" spans="1:20" x14ac:dyDescent="0.3">
      <c r="A24" s="356"/>
      <c r="B24" s="357" t="s">
        <v>93</v>
      </c>
      <c r="C24" s="358">
        <f>'LHJ Summary Pg 3-Do Not Input'!$C$18</f>
        <v>262590</v>
      </c>
      <c r="D24" s="359">
        <f>'LHJ Summary Pg 3-Do Not Input'!$D$18</f>
        <v>102.6</v>
      </c>
      <c r="E24" s="360">
        <f t="shared" si="4"/>
        <v>2559.3567251461991</v>
      </c>
      <c r="F24" s="361">
        <f>'LHJ Summary Pg 3-Do Not Input'!$E$18</f>
        <v>2819018</v>
      </c>
      <c r="G24" s="362">
        <f t="shared" si="0"/>
        <v>10.735435469743708</v>
      </c>
      <c r="H24" s="363">
        <f>'LHJ Summary Pg 3-Do Not Input'!$F$18</f>
        <v>4700577</v>
      </c>
      <c r="I24" s="364">
        <f t="shared" si="5"/>
        <v>7519595</v>
      </c>
      <c r="J24" s="365">
        <f>'LHJ Summary Pg 3-Do Not Input'!$G$18</f>
        <v>628267</v>
      </c>
      <c r="K24" s="366">
        <f>'LHJ Summary Pg 3-Do Not Input'!$H$18</f>
        <v>997477</v>
      </c>
      <c r="L24" s="367">
        <f t="shared" si="1"/>
        <v>3.7986100003808216</v>
      </c>
      <c r="M24" s="368">
        <f>'LHJ Summary Pg 3-Do Not Input'!$I$18</f>
        <v>1282639</v>
      </c>
      <c r="N24" s="369">
        <f t="shared" si="6"/>
        <v>2908383</v>
      </c>
      <c r="O24" s="370">
        <f>'LHJ Summary Pg 3-Do Not Input'!$J$18</f>
        <v>1396479</v>
      </c>
      <c r="P24" s="371">
        <f>'LHJ Summary Pg 3-Do Not Input'!$K$18</f>
        <v>1410824</v>
      </c>
      <c r="Q24" s="372">
        <f t="shared" si="2"/>
        <v>2807303</v>
      </c>
      <c r="R24" s="373">
        <f>'LHJ Summary Pg 3-Do Not Input'!$L$18</f>
        <v>-305805</v>
      </c>
      <c r="S24" s="374">
        <f>'LHJ Summary Pg 3-Do Not Input'!$M$18</f>
        <v>12929476</v>
      </c>
      <c r="T24" s="375">
        <f t="shared" si="3"/>
        <v>49.238264975817813</v>
      </c>
    </row>
    <row r="25" spans="1:20" x14ac:dyDescent="0.3">
      <c r="A25" s="356"/>
      <c r="B25" s="357" t="s">
        <v>94</v>
      </c>
      <c r="C25" s="358">
        <f>'LHJ Summary Pg 3-Do Not Input'!$C$19</f>
        <v>43710</v>
      </c>
      <c r="D25" s="359">
        <f>'LHJ Summary Pg 3-Do Not Input'!$D$19</f>
        <v>17.899999999999999</v>
      </c>
      <c r="E25" s="360">
        <f t="shared" si="4"/>
        <v>2441.8994413407822</v>
      </c>
      <c r="F25" s="361">
        <f>'LHJ Summary Pg 3-Do Not Input'!$E$19</f>
        <v>320749</v>
      </c>
      <c r="G25" s="362">
        <f t="shared" si="0"/>
        <v>7.3381148478609015</v>
      </c>
      <c r="H25" s="363">
        <f>'LHJ Summary Pg 3-Do Not Input'!$F$19</f>
        <v>562380</v>
      </c>
      <c r="I25" s="364">
        <f t="shared" si="5"/>
        <v>883129</v>
      </c>
      <c r="J25" s="365">
        <f>'LHJ Summary Pg 3-Do Not Input'!$G$19</f>
        <v>0</v>
      </c>
      <c r="K25" s="366">
        <f>'LHJ Summary Pg 3-Do Not Input'!$H$19</f>
        <v>220718</v>
      </c>
      <c r="L25" s="367">
        <f t="shared" si="1"/>
        <v>5.0495996339510407</v>
      </c>
      <c r="M25" s="368">
        <f>'LHJ Summary Pg 3-Do Not Input'!$I$19</f>
        <v>89547</v>
      </c>
      <c r="N25" s="369">
        <f t="shared" si="6"/>
        <v>310265</v>
      </c>
      <c r="O25" s="370">
        <f>'LHJ Summary Pg 3-Do Not Input'!$J$19</f>
        <v>96829</v>
      </c>
      <c r="P25" s="371">
        <f>'LHJ Summary Pg 3-Do Not Input'!$K$19</f>
        <v>121568</v>
      </c>
      <c r="Q25" s="372">
        <f t="shared" si="2"/>
        <v>218397</v>
      </c>
      <c r="R25" s="373">
        <f>'LHJ Summary Pg 3-Do Not Input'!$L$19</f>
        <v>62563</v>
      </c>
      <c r="S25" s="374">
        <f>'LHJ Summary Pg 3-Do Not Input'!$M$19</f>
        <v>1474354</v>
      </c>
      <c r="T25" s="375">
        <f t="shared" si="3"/>
        <v>33.730359185541069</v>
      </c>
    </row>
    <row r="26" spans="1:20" x14ac:dyDescent="0.3">
      <c r="A26" s="356"/>
      <c r="B26" s="357" t="s">
        <v>95</v>
      </c>
      <c r="C26" s="358">
        <f>'LHJ Summary Pg 3-Do Not Input'!$C$20</f>
        <v>21270</v>
      </c>
      <c r="D26" s="359">
        <f>'LHJ Summary Pg 3-Do Not Input'!$D$20</f>
        <v>15.6</v>
      </c>
      <c r="E26" s="360">
        <f t="shared" si="4"/>
        <v>1363.4615384615386</v>
      </c>
      <c r="F26" s="361">
        <f>'LHJ Summary Pg 3-Do Not Input'!$E$20</f>
        <v>374147</v>
      </c>
      <c r="G26" s="362">
        <f t="shared" si="0"/>
        <v>17.590362012223789</v>
      </c>
      <c r="H26" s="363">
        <f>'LHJ Summary Pg 3-Do Not Input'!$F$20</f>
        <v>398482</v>
      </c>
      <c r="I26" s="364">
        <f t="shared" si="5"/>
        <v>772629</v>
      </c>
      <c r="J26" s="365">
        <f>'LHJ Summary Pg 3-Do Not Input'!$G$20</f>
        <v>38662</v>
      </c>
      <c r="K26" s="366">
        <f>'LHJ Summary Pg 3-Do Not Input'!$H$20</f>
        <v>153784</v>
      </c>
      <c r="L26" s="367">
        <f t="shared" si="1"/>
        <v>7.2300893276915845</v>
      </c>
      <c r="M26" s="368">
        <f>'LHJ Summary Pg 3-Do Not Input'!$I$20</f>
        <v>159044</v>
      </c>
      <c r="N26" s="369">
        <f t="shared" si="6"/>
        <v>351490</v>
      </c>
      <c r="O26" s="370">
        <f>'LHJ Summary Pg 3-Do Not Input'!$J$20</f>
        <v>234056</v>
      </c>
      <c r="P26" s="371">
        <f>'LHJ Summary Pg 3-Do Not Input'!$K$20</f>
        <v>99876</v>
      </c>
      <c r="Q26" s="372">
        <f t="shared" si="2"/>
        <v>333932</v>
      </c>
      <c r="R26" s="373">
        <f>'LHJ Summary Pg 3-Do Not Input'!$L$20</f>
        <v>41850</v>
      </c>
      <c r="S26" s="374">
        <f>'LHJ Summary Pg 3-Do Not Input'!$M$20</f>
        <v>1499901</v>
      </c>
      <c r="T26" s="375">
        <f t="shared" si="3"/>
        <v>70.517207334273621</v>
      </c>
    </row>
    <row r="27" spans="1:20" x14ac:dyDescent="0.3">
      <c r="A27" s="356"/>
      <c r="B27" s="357" t="s">
        <v>96</v>
      </c>
      <c r="C27" s="358">
        <f>'LHJ Summary Pg 3-Do Not Input'!$C$21</f>
        <v>76890</v>
      </c>
      <c r="D27" s="359">
        <f>'LHJ Summary Pg 3-Do Not Input'!$D$21</f>
        <v>37.200000000000003</v>
      </c>
      <c r="E27" s="360">
        <f t="shared" si="4"/>
        <v>2066.9354838709678</v>
      </c>
      <c r="F27" s="361">
        <f>'LHJ Summary Pg 3-Do Not Input'!$E$21</f>
        <v>781730</v>
      </c>
      <c r="G27" s="362">
        <f t="shared" si="0"/>
        <v>10.166861750552737</v>
      </c>
      <c r="H27" s="363">
        <f>'LHJ Summary Pg 3-Do Not Input'!$F$21</f>
        <v>1965579</v>
      </c>
      <c r="I27" s="364">
        <f t="shared" si="5"/>
        <v>2747309</v>
      </c>
      <c r="J27" s="365">
        <f>'LHJ Summary Pg 3-Do Not Input'!$G$21</f>
        <v>0</v>
      </c>
      <c r="K27" s="366">
        <f>'LHJ Summary Pg 3-Do Not Input'!$H$21</f>
        <v>263134</v>
      </c>
      <c r="L27" s="367">
        <f t="shared" si="1"/>
        <v>3.4222135518272858</v>
      </c>
      <c r="M27" s="368">
        <f>'LHJ Summary Pg 3-Do Not Input'!$I$21</f>
        <v>710184</v>
      </c>
      <c r="N27" s="369">
        <f t="shared" si="6"/>
        <v>973318</v>
      </c>
      <c r="O27" s="370">
        <f>'LHJ Summary Pg 3-Do Not Input'!$J$21</f>
        <v>817426</v>
      </c>
      <c r="P27" s="371">
        <f>'LHJ Summary Pg 3-Do Not Input'!$K$21</f>
        <v>398177</v>
      </c>
      <c r="Q27" s="372">
        <f t="shared" si="2"/>
        <v>1215603</v>
      </c>
      <c r="R27" s="373">
        <f>'LHJ Summary Pg 3-Do Not Input'!$L$21</f>
        <v>13078</v>
      </c>
      <c r="S27" s="374">
        <f>'LHJ Summary Pg 3-Do Not Input'!$M$21</f>
        <v>4949308</v>
      </c>
      <c r="T27" s="375">
        <f t="shared" si="3"/>
        <v>64.368682533489405</v>
      </c>
    </row>
    <row r="28" spans="1:20" x14ac:dyDescent="0.3">
      <c r="A28" s="356"/>
      <c r="B28" s="357" t="s">
        <v>97</v>
      </c>
      <c r="C28" s="358">
        <f>'LHJ Summary Pg 3-Do Not Input'!$C$22</f>
        <v>10640</v>
      </c>
      <c r="D28" s="359">
        <f>'LHJ Summary Pg 3-Do Not Input'!$D$22</f>
        <v>5.5</v>
      </c>
      <c r="E28" s="360">
        <f t="shared" si="4"/>
        <v>1934.5454545454545</v>
      </c>
      <c r="F28" s="361">
        <f>'LHJ Summary Pg 3-Do Not Input'!$E$22</f>
        <v>95486</v>
      </c>
      <c r="G28" s="362">
        <f t="shared" si="0"/>
        <v>8.9742481203007518</v>
      </c>
      <c r="H28" s="363">
        <f>'LHJ Summary Pg 3-Do Not Input'!$F$22</f>
        <v>115594</v>
      </c>
      <c r="I28" s="364">
        <f t="shared" si="5"/>
        <v>211080</v>
      </c>
      <c r="J28" s="365">
        <f>'LHJ Summary Pg 3-Do Not Input'!$G$22</f>
        <v>0</v>
      </c>
      <c r="K28" s="366">
        <f>'LHJ Summary Pg 3-Do Not Input'!$H$22</f>
        <v>113917</v>
      </c>
      <c r="L28" s="367">
        <f t="shared" si="1"/>
        <v>10.706484962406016</v>
      </c>
      <c r="M28" s="368">
        <f>'LHJ Summary Pg 3-Do Not Input'!$I$22</f>
        <v>39957</v>
      </c>
      <c r="N28" s="369">
        <f t="shared" si="6"/>
        <v>153874</v>
      </c>
      <c r="O28" s="370">
        <f>'LHJ Summary Pg 3-Do Not Input'!$J$22</f>
        <v>114445</v>
      </c>
      <c r="P28" s="371">
        <f>'LHJ Summary Pg 3-Do Not Input'!$K$22</f>
        <v>13643</v>
      </c>
      <c r="Q28" s="372">
        <f t="shared" si="2"/>
        <v>128088</v>
      </c>
      <c r="R28" s="373">
        <f>'LHJ Summary Pg 3-Do Not Input'!$L$22</f>
        <v>5342</v>
      </c>
      <c r="S28" s="374">
        <f>'LHJ Summary Pg 3-Do Not Input'!$M$22</f>
        <v>498384</v>
      </c>
      <c r="T28" s="375">
        <f t="shared" si="3"/>
        <v>46.840601503759402</v>
      </c>
    </row>
    <row r="29" spans="1:20" x14ac:dyDescent="0.3">
      <c r="A29" s="356"/>
      <c r="B29" s="357" t="s">
        <v>98</v>
      </c>
      <c r="C29" s="358">
        <f>'LHJ Summary Pg 3-Do Not Input'!$C$23</f>
        <v>62320</v>
      </c>
      <c r="D29" s="359">
        <f>'LHJ Summary Pg 3-Do Not Input'!$D$23</f>
        <v>19.25</v>
      </c>
      <c r="E29" s="360">
        <f t="shared" si="4"/>
        <v>3237.4025974025976</v>
      </c>
      <c r="F29" s="361">
        <f>'LHJ Summary Pg 3-Do Not Input'!$E$23</f>
        <v>542276</v>
      </c>
      <c r="G29" s="362">
        <f t="shared" si="0"/>
        <v>8.7014762516046211</v>
      </c>
      <c r="H29" s="363">
        <f>'LHJ Summary Pg 3-Do Not Input'!$F$23</f>
        <v>552677</v>
      </c>
      <c r="I29" s="364">
        <f t="shared" si="5"/>
        <v>1094953</v>
      </c>
      <c r="J29" s="365">
        <f>'LHJ Summary Pg 3-Do Not Input'!$G$23</f>
        <v>38550</v>
      </c>
      <c r="K29" s="366">
        <f>'LHJ Summary Pg 3-Do Not Input'!$H$23</f>
        <v>227448</v>
      </c>
      <c r="L29" s="367">
        <f t="shared" si="1"/>
        <v>3.6496790757381259</v>
      </c>
      <c r="M29" s="368">
        <f>'LHJ Summary Pg 3-Do Not Input'!$I$23</f>
        <v>137528</v>
      </c>
      <c r="N29" s="369">
        <f t="shared" si="6"/>
        <v>403526</v>
      </c>
      <c r="O29" s="370">
        <f>'LHJ Summary Pg 3-Do Not Input'!$J$23</f>
        <v>284485</v>
      </c>
      <c r="P29" s="371">
        <f>'LHJ Summary Pg 3-Do Not Input'!$K$23</f>
        <v>294770</v>
      </c>
      <c r="Q29" s="372">
        <f t="shared" si="2"/>
        <v>579255</v>
      </c>
      <c r="R29" s="373">
        <f>'LHJ Summary Pg 3-Do Not Input'!$L$23</f>
        <v>3292</v>
      </c>
      <c r="S29" s="374">
        <f>'LHJ Summary Pg 3-Do Not Input'!$M$23</f>
        <v>2081026</v>
      </c>
      <c r="T29" s="375">
        <f t="shared" si="3"/>
        <v>33.392586649550708</v>
      </c>
    </row>
    <row r="30" spans="1:20" x14ac:dyDescent="0.3">
      <c r="A30" s="356"/>
      <c r="B30" s="357" t="s">
        <v>173</v>
      </c>
      <c r="C30" s="358">
        <f>'LHJ Summary Pg 3-Do Not Input'!$C$24</f>
        <v>65090</v>
      </c>
      <c r="D30" s="359">
        <f>'LHJ Summary Pg 3-Do Not Input'!$D$24</f>
        <v>20.87</v>
      </c>
      <c r="E30" s="360">
        <f t="shared" si="4"/>
        <v>3118.8308576904647</v>
      </c>
      <c r="F30" s="361">
        <f>'LHJ Summary Pg 3-Do Not Input'!$E$24</f>
        <v>790873</v>
      </c>
      <c r="G30" s="362">
        <f t="shared" si="0"/>
        <v>12.150453218620372</v>
      </c>
      <c r="H30" s="363">
        <f>'LHJ Summary Pg 3-Do Not Input'!$F$24</f>
        <v>382179</v>
      </c>
      <c r="I30" s="364">
        <f t="shared" si="5"/>
        <v>1173052</v>
      </c>
      <c r="J30" s="365">
        <f>'LHJ Summary Pg 3-Do Not Input'!$G$24</f>
        <v>45594</v>
      </c>
      <c r="K30" s="366">
        <f>'LHJ Summary Pg 3-Do Not Input'!$H$24</f>
        <v>249303</v>
      </c>
      <c r="L30" s="367">
        <f t="shared" si="1"/>
        <v>3.8301275157474266</v>
      </c>
      <c r="M30" s="368">
        <f>'LHJ Summary Pg 3-Do Not Input'!$I$24</f>
        <v>86585</v>
      </c>
      <c r="N30" s="369">
        <f t="shared" si="6"/>
        <v>381482</v>
      </c>
      <c r="O30" s="370">
        <f>'LHJ Summary Pg 3-Do Not Input'!$J$24</f>
        <v>411232</v>
      </c>
      <c r="P30" s="371">
        <f>'LHJ Summary Pg 3-Do Not Input'!$K$24</f>
        <v>48717</v>
      </c>
      <c r="Q30" s="372">
        <f t="shared" si="2"/>
        <v>459949</v>
      </c>
      <c r="R30" s="373">
        <f>'LHJ Summary Pg 3-Do Not Input'!$L$24</f>
        <v>7645</v>
      </c>
      <c r="S30" s="374">
        <f>'LHJ Summary Pg 3-Do Not Input'!$M$24</f>
        <v>2022128</v>
      </c>
      <c r="T30" s="375">
        <f t="shared" si="3"/>
        <v>31.066646182209247</v>
      </c>
    </row>
    <row r="31" spans="1:20" x14ac:dyDescent="0.3">
      <c r="A31" s="356"/>
      <c r="B31" s="357" t="s">
        <v>100</v>
      </c>
      <c r="C31" s="358">
        <f>'LHJ Summary Pg 3-Do Not Input'!$C$25</f>
        <v>41730</v>
      </c>
      <c r="D31" s="359">
        <f>'LHJ Summary Pg 3-Do Not Input'!$D$25</f>
        <v>11.27</v>
      </c>
      <c r="E31" s="360">
        <f t="shared" si="4"/>
        <v>3702.7506654835847</v>
      </c>
      <c r="F31" s="361">
        <f>'LHJ Summary Pg 3-Do Not Input'!$E$25</f>
        <v>135000</v>
      </c>
      <c r="G31" s="362">
        <f t="shared" si="0"/>
        <v>3.2350826743350107</v>
      </c>
      <c r="H31" s="363">
        <f>'LHJ Summary Pg 3-Do Not Input'!$F$25</f>
        <v>413219</v>
      </c>
      <c r="I31" s="364">
        <f t="shared" si="5"/>
        <v>548219</v>
      </c>
      <c r="J31" s="365">
        <f>'LHJ Summary Pg 3-Do Not Input'!$G$25</f>
        <v>0</v>
      </c>
      <c r="K31" s="366">
        <f>'LHJ Summary Pg 3-Do Not Input'!$H$25</f>
        <v>169881</v>
      </c>
      <c r="L31" s="367">
        <f t="shared" si="1"/>
        <v>4.0709561466570809</v>
      </c>
      <c r="M31" s="368">
        <f>'LHJ Summary Pg 3-Do Not Input'!$I$25</f>
        <v>95788</v>
      </c>
      <c r="N31" s="369">
        <f t="shared" si="6"/>
        <v>265669</v>
      </c>
      <c r="O31" s="370">
        <f>'LHJ Summary Pg 3-Do Not Input'!$J$25</f>
        <v>116315</v>
      </c>
      <c r="P31" s="371">
        <f>'LHJ Summary Pg 3-Do Not Input'!$K$25</f>
        <v>94952</v>
      </c>
      <c r="Q31" s="372">
        <f t="shared" si="2"/>
        <v>211267</v>
      </c>
      <c r="R31" s="373">
        <f>'LHJ Summary Pg 3-Do Not Input'!$L$25</f>
        <v>15881</v>
      </c>
      <c r="S31" s="374">
        <f>'LHJ Summary Pg 3-Do Not Input'!$M$25</f>
        <v>1041036</v>
      </c>
      <c r="T31" s="375">
        <f t="shared" si="3"/>
        <v>24.946944644140906</v>
      </c>
    </row>
    <row r="32" spans="1:20" x14ac:dyDescent="0.3">
      <c r="A32" s="356"/>
      <c r="B32" s="357" t="s">
        <v>101</v>
      </c>
      <c r="C32" s="358">
        <f>'LHJ Summary Pg 3-Do Not Input'!$C$26</f>
        <v>21180</v>
      </c>
      <c r="D32" s="359">
        <f>'LHJ Summary Pg 3-Do Not Input'!$D$26</f>
        <v>15.58</v>
      </c>
      <c r="E32" s="360">
        <f t="shared" si="4"/>
        <v>1359.4351732991015</v>
      </c>
      <c r="F32" s="361">
        <f>'LHJ Summary Pg 3-Do Not Input'!$E$26</f>
        <v>98650</v>
      </c>
      <c r="G32" s="362">
        <f t="shared" si="0"/>
        <v>4.6576959395656283</v>
      </c>
      <c r="H32" s="363">
        <f>'LHJ Summary Pg 3-Do Not Input'!$F$26</f>
        <v>6610</v>
      </c>
      <c r="I32" s="364">
        <f t="shared" si="5"/>
        <v>105260</v>
      </c>
      <c r="J32" s="365">
        <f>'LHJ Summary Pg 3-Do Not Input'!$G$26</f>
        <v>16657</v>
      </c>
      <c r="K32" s="366">
        <f>'LHJ Summary Pg 3-Do Not Input'!$H$26</f>
        <v>177626</v>
      </c>
      <c r="L32" s="367">
        <f t="shared" si="1"/>
        <v>8.3864966949952784</v>
      </c>
      <c r="M32" s="368">
        <f>'LHJ Summary Pg 3-Do Not Input'!$I$26</f>
        <v>4848</v>
      </c>
      <c r="N32" s="369">
        <f t="shared" si="6"/>
        <v>199131</v>
      </c>
      <c r="O32" s="370">
        <f>'LHJ Summary Pg 3-Do Not Input'!$J$26</f>
        <v>398977</v>
      </c>
      <c r="P32" s="371">
        <f>'LHJ Summary Pg 3-Do Not Input'!$K$26</f>
        <v>26476</v>
      </c>
      <c r="Q32" s="372">
        <f t="shared" si="2"/>
        <v>425453</v>
      </c>
      <c r="R32" s="373">
        <f>'LHJ Summary Pg 3-Do Not Input'!$L$26</f>
        <v>1387</v>
      </c>
      <c r="S32" s="374">
        <f>'LHJ Summary Pg 3-Do Not Input'!$M$26</f>
        <v>731231</v>
      </c>
      <c r="T32" s="375">
        <f t="shared" si="3"/>
        <v>34.524598677998114</v>
      </c>
    </row>
    <row r="33" spans="1:20" x14ac:dyDescent="0.3">
      <c r="A33" s="356"/>
      <c r="B33" s="357" t="s">
        <v>102</v>
      </c>
      <c r="C33" s="358">
        <f>'LHJ Summary Pg 3-Do Not Input'!$C$27</f>
        <v>16320</v>
      </c>
      <c r="D33" s="359">
        <f>'LHJ Summary Pg 3-Do Not Input'!$D$27</f>
        <v>25.6</v>
      </c>
      <c r="E33" s="360">
        <f t="shared" si="4"/>
        <v>637.5</v>
      </c>
      <c r="F33" s="361">
        <f>'LHJ Summary Pg 3-Do Not Input'!$E$27</f>
        <v>1480415</v>
      </c>
      <c r="G33" s="362">
        <f t="shared" si="0"/>
        <v>90.711703431372555</v>
      </c>
      <c r="H33" s="363">
        <f>'LHJ Summary Pg 3-Do Not Input'!$F$27</f>
        <v>904234</v>
      </c>
      <c r="I33" s="364">
        <f t="shared" si="5"/>
        <v>2384649</v>
      </c>
      <c r="J33" s="365">
        <f>'LHJ Summary Pg 3-Do Not Input'!$G$27</f>
        <v>71991</v>
      </c>
      <c r="K33" s="366">
        <f>'LHJ Summary Pg 3-Do Not Input'!$H$27</f>
        <v>126570</v>
      </c>
      <c r="L33" s="367">
        <f t="shared" si="1"/>
        <v>7.7555147058823533</v>
      </c>
      <c r="M33" s="368">
        <f>'LHJ Summary Pg 3-Do Not Input'!$I$27</f>
        <v>773215</v>
      </c>
      <c r="N33" s="369">
        <f t="shared" si="6"/>
        <v>971776</v>
      </c>
      <c r="O33" s="370">
        <f>'LHJ Summary Pg 3-Do Not Input'!$J$27</f>
        <v>196547</v>
      </c>
      <c r="P33" s="371">
        <f>'LHJ Summary Pg 3-Do Not Input'!$K$27</f>
        <v>227248</v>
      </c>
      <c r="Q33" s="372">
        <f t="shared" si="2"/>
        <v>423795</v>
      </c>
      <c r="R33" s="373">
        <f>'LHJ Summary Pg 3-Do Not Input'!$L$27</f>
        <v>8669</v>
      </c>
      <c r="S33" s="374">
        <f>'LHJ Summary Pg 3-Do Not Input'!$M$27</f>
        <v>3788889</v>
      </c>
      <c r="T33" s="375">
        <f t="shared" si="3"/>
        <v>232.1623161764706</v>
      </c>
    </row>
    <row r="34" spans="1:20" x14ac:dyDescent="0.3">
      <c r="A34" s="356"/>
      <c r="B34" s="357" t="s">
        <v>103</v>
      </c>
      <c r="C34" s="376">
        <f>'LHJ Summary Pg 3-Do Not Input'!$C$28</f>
        <v>2105100</v>
      </c>
      <c r="D34" s="377">
        <f>'LHJ Summary Pg 3-Do Not Input'!$D$28</f>
        <v>1344</v>
      </c>
      <c r="E34" s="378">
        <f t="shared" si="4"/>
        <v>1566.2946428571429</v>
      </c>
      <c r="F34" s="361">
        <f>'LHJ Summary Pg 3-Do Not Input'!$E$28</f>
        <v>55620104</v>
      </c>
      <c r="G34" s="362">
        <f t="shared" si="0"/>
        <v>26.421597073773217</v>
      </c>
      <c r="H34" s="363">
        <f>'LHJ Summary Pg 3-Do Not Input'!$F$28</f>
        <v>78642924</v>
      </c>
      <c r="I34" s="364">
        <f t="shared" si="5"/>
        <v>134263028</v>
      </c>
      <c r="J34" s="365">
        <f>'LHJ Summary Pg 3-Do Not Input'!$G$28</f>
        <v>6220605</v>
      </c>
      <c r="K34" s="366">
        <f>'LHJ Summary Pg 3-Do Not Input'!$H$28</f>
        <v>12685523</v>
      </c>
      <c r="L34" s="367">
        <f t="shared" si="1"/>
        <v>6.0260904470096435</v>
      </c>
      <c r="M34" s="368">
        <f>'LHJ Summary Pg 3-Do Not Input'!$I$28</f>
        <v>2429712</v>
      </c>
      <c r="N34" s="369">
        <f t="shared" si="6"/>
        <v>21335840</v>
      </c>
      <c r="O34" s="370">
        <f>'LHJ Summary Pg 3-Do Not Input'!$J$28</f>
        <v>18635607</v>
      </c>
      <c r="P34" s="371">
        <f>'LHJ Summary Pg 3-Do Not Input'!$K$28</f>
        <v>28711202</v>
      </c>
      <c r="Q34" s="372">
        <f t="shared" si="2"/>
        <v>47346809</v>
      </c>
      <c r="R34" s="373">
        <f>'LHJ Summary Pg 3-Do Not Input'!$L$28</f>
        <v>9476571</v>
      </c>
      <c r="S34" s="379">
        <f>'LHJ Summary Pg 3-Do Not Input'!$M$28</f>
        <v>212422248</v>
      </c>
      <c r="T34" s="380">
        <f t="shared" si="3"/>
        <v>100.90838820008551</v>
      </c>
    </row>
    <row r="35" spans="1:20" x14ac:dyDescent="0.3">
      <c r="A35" s="356"/>
      <c r="B35" s="357" t="s">
        <v>104</v>
      </c>
      <c r="C35" s="358">
        <f>'LHJ Summary Pg 3-Do Not Input'!$C$29</f>
        <v>122270</v>
      </c>
      <c r="D35" s="359">
        <f>'LHJ Summary Pg 3-Do Not Input'!$D$29</f>
        <v>25.841000000000001</v>
      </c>
      <c r="E35" s="360">
        <f t="shared" si="4"/>
        <v>4731.6280329708597</v>
      </c>
      <c r="F35" s="361">
        <f>'LHJ Summary Pg 3-Do Not Input'!$E$29</f>
        <v>1401980</v>
      </c>
      <c r="G35" s="362">
        <f t="shared" si="0"/>
        <v>11.466263188026499</v>
      </c>
      <c r="H35" s="363">
        <f>'LHJ Summary Pg 3-Do Not Input'!$F$29</f>
        <v>1007589</v>
      </c>
      <c r="I35" s="364">
        <f t="shared" si="5"/>
        <v>2409569</v>
      </c>
      <c r="J35" s="365">
        <f>'LHJ Summary Pg 3-Do Not Input'!$G$29</f>
        <v>27240</v>
      </c>
      <c r="K35" s="366">
        <f>'LHJ Summary Pg 3-Do Not Input'!$H$29</f>
        <v>449745</v>
      </c>
      <c r="L35" s="367">
        <f t="shared" si="1"/>
        <v>3.6782939396417764</v>
      </c>
      <c r="M35" s="368">
        <f>'LHJ Summary Pg 3-Do Not Input'!$I$29</f>
        <v>199653</v>
      </c>
      <c r="N35" s="369">
        <f t="shared" si="6"/>
        <v>676638</v>
      </c>
      <c r="O35" s="370">
        <f>'LHJ Summary Pg 3-Do Not Input'!$J$29</f>
        <v>376021</v>
      </c>
      <c r="P35" s="371">
        <f>'LHJ Summary Pg 3-Do Not Input'!$K$29</f>
        <v>558468.87</v>
      </c>
      <c r="Q35" s="372">
        <f t="shared" si="2"/>
        <v>934489.87</v>
      </c>
      <c r="R35" s="373">
        <f>'LHJ Summary Pg 3-Do Not Input'!$L$29</f>
        <v>102765</v>
      </c>
      <c r="S35" s="374">
        <f>'LHJ Summary Pg 3-Do Not Input'!$M$29</f>
        <v>4123461.87</v>
      </c>
      <c r="T35" s="375">
        <f t="shared" si="3"/>
        <v>33.724232191052586</v>
      </c>
    </row>
    <row r="36" spans="1:20" x14ac:dyDescent="0.3">
      <c r="A36" s="356"/>
      <c r="B36" s="357" t="s">
        <v>105</v>
      </c>
      <c r="C36" s="358">
        <f>'LHJ Summary Pg 3-Do Not Input'!$C$30</f>
        <v>11500</v>
      </c>
      <c r="D36" s="359">
        <f>'LHJ Summary Pg 3-Do Not Input'!$D$30</f>
        <v>2.06</v>
      </c>
      <c r="E36" s="360">
        <f t="shared" si="4"/>
        <v>5582.5242718446598</v>
      </c>
      <c r="F36" s="361">
        <f>'LHJ Summary Pg 3-Do Not Input'!$E$30</f>
        <v>115699</v>
      </c>
      <c r="G36" s="362">
        <f t="shared" si="0"/>
        <v>10.060782608695652</v>
      </c>
      <c r="H36" s="363">
        <f>'LHJ Summary Pg 3-Do Not Input'!$F$30</f>
        <v>936724</v>
      </c>
      <c r="I36" s="364">
        <f t="shared" si="5"/>
        <v>1052423</v>
      </c>
      <c r="J36" s="365">
        <f>'LHJ Summary Pg 3-Do Not Input'!$G$30</f>
        <v>11949</v>
      </c>
      <c r="K36" s="366">
        <f>'LHJ Summary Pg 3-Do Not Input'!$H$30</f>
        <v>98249</v>
      </c>
      <c r="L36" s="367">
        <f t="shared" si="1"/>
        <v>8.5433913043478267</v>
      </c>
      <c r="M36" s="368">
        <f>'LHJ Summary Pg 3-Do Not Input'!$I$30</f>
        <v>285927</v>
      </c>
      <c r="N36" s="369">
        <f t="shared" si="6"/>
        <v>396125</v>
      </c>
      <c r="O36" s="370">
        <f>'LHJ Summary Pg 3-Do Not Input'!$J$30</f>
        <v>101258</v>
      </c>
      <c r="P36" s="371">
        <f>'LHJ Summary Pg 3-Do Not Input'!$K$30</f>
        <v>17288</v>
      </c>
      <c r="Q36" s="372">
        <f t="shared" si="2"/>
        <v>118546</v>
      </c>
      <c r="R36" s="373">
        <f>'LHJ Summary Pg 3-Do Not Input'!$L$30</f>
        <v>6282</v>
      </c>
      <c r="S36" s="374">
        <f>'LHJ Summary Pg 3-Do Not Input'!$M$30</f>
        <v>1573376</v>
      </c>
      <c r="T36" s="375">
        <f t="shared" si="3"/>
        <v>136.8153043478261</v>
      </c>
    </row>
    <row r="37" spans="1:20" x14ac:dyDescent="0.3">
      <c r="A37" s="356"/>
      <c r="B37" s="357" t="s">
        <v>106</v>
      </c>
      <c r="C37" s="358">
        <f>'LHJ Summary Pg 3-Do Not Input'!$C$31</f>
        <v>772860</v>
      </c>
      <c r="D37" s="359">
        <f>'LHJ Summary Pg 3-Do Not Input'!$D$31</f>
        <v>128.80000000000001</v>
      </c>
      <c r="E37" s="360">
        <f t="shared" si="4"/>
        <v>6000.4658385093162</v>
      </c>
      <c r="F37" s="361">
        <f>'LHJ Summary Pg 3-Do Not Input'!$E$31</f>
        <v>2694913</v>
      </c>
      <c r="G37" s="362">
        <f t="shared" si="0"/>
        <v>3.4869355381310974</v>
      </c>
      <c r="H37" s="363">
        <f>'LHJ Summary Pg 3-Do Not Input'!$F$31</f>
        <v>6416304</v>
      </c>
      <c r="I37" s="364">
        <f t="shared" si="5"/>
        <v>9111217</v>
      </c>
      <c r="J37" s="365">
        <f>'LHJ Summary Pg 3-Do Not Input'!$G$31</f>
        <v>258829</v>
      </c>
      <c r="K37" s="366">
        <f>'LHJ Summary Pg 3-Do Not Input'!$H$31</f>
        <v>3433292</v>
      </c>
      <c r="L37" s="367">
        <f t="shared" si="1"/>
        <v>4.4423207307921224</v>
      </c>
      <c r="M37" s="368">
        <f>'LHJ Summary Pg 3-Do Not Input'!$I$31</f>
        <v>623291</v>
      </c>
      <c r="N37" s="369">
        <f t="shared" si="6"/>
        <v>4315412</v>
      </c>
      <c r="O37" s="370">
        <f>'LHJ Summary Pg 3-Do Not Input'!$J$31</f>
        <v>3061555</v>
      </c>
      <c r="P37" s="371">
        <f>'LHJ Summary Pg 3-Do Not Input'!$K$31</f>
        <v>156304</v>
      </c>
      <c r="Q37" s="372">
        <f t="shared" si="2"/>
        <v>3217859</v>
      </c>
      <c r="R37" s="373">
        <f>'LHJ Summary Pg 3-Do Not Input'!$L$31</f>
        <v>-707932</v>
      </c>
      <c r="S37" s="374">
        <f>'LHJ Summary Pg 3-Do Not Input'!$M$31</f>
        <v>15936556</v>
      </c>
      <c r="T37" s="375">
        <f t="shared" si="3"/>
        <v>20.620236524079392</v>
      </c>
    </row>
    <row r="38" spans="1:20" x14ac:dyDescent="0.3">
      <c r="A38" s="356"/>
      <c r="B38" s="357" t="s">
        <v>107</v>
      </c>
      <c r="C38" s="358">
        <f>'LHJ Summary Pg 3-Do Not Input'!$C$32</f>
        <v>492530</v>
      </c>
      <c r="D38" s="359">
        <f>'LHJ Summary Pg 3-Do Not Input'!$D$32</f>
        <v>217.88</v>
      </c>
      <c r="E38" s="360">
        <f t="shared" si="4"/>
        <v>2260.5562695061503</v>
      </c>
      <c r="F38" s="361">
        <f>'LHJ Summary Pg 3-Do Not Input'!$E$32</f>
        <v>2503150</v>
      </c>
      <c r="G38" s="362">
        <f t="shared" si="0"/>
        <v>5.0822284936958155</v>
      </c>
      <c r="H38" s="363">
        <f>'LHJ Summary Pg 3-Do Not Input'!$F$32</f>
        <v>7104475</v>
      </c>
      <c r="I38" s="364">
        <f t="shared" si="5"/>
        <v>9607625</v>
      </c>
      <c r="J38" s="365">
        <f>'LHJ Summary Pg 3-Do Not Input'!$G$32</f>
        <v>982435</v>
      </c>
      <c r="K38" s="366">
        <f>'LHJ Summary Pg 3-Do Not Input'!$H$32</f>
        <v>2877317</v>
      </c>
      <c r="L38" s="367">
        <f t="shared" si="1"/>
        <v>5.8419121677867336</v>
      </c>
      <c r="M38" s="368">
        <f>'LHJ Summary Pg 3-Do Not Input'!$I$32</f>
        <v>5060454</v>
      </c>
      <c r="N38" s="369">
        <f t="shared" si="6"/>
        <v>8920206</v>
      </c>
      <c r="O38" s="370">
        <f>'LHJ Summary Pg 3-Do Not Input'!$J$32</f>
        <v>4492092</v>
      </c>
      <c r="P38" s="371">
        <f>'LHJ Summary Pg 3-Do Not Input'!$K$32</f>
        <v>2602067</v>
      </c>
      <c r="Q38" s="372">
        <f t="shared" si="2"/>
        <v>7094159</v>
      </c>
      <c r="R38" s="373">
        <f>'LHJ Summary Pg 3-Do Not Input'!$L$32</f>
        <v>207634</v>
      </c>
      <c r="S38" s="374">
        <f>'LHJ Summary Pg 3-Do Not Input'!$M$32</f>
        <v>25829624</v>
      </c>
      <c r="T38" s="375">
        <f t="shared" si="3"/>
        <v>52.442742574056403</v>
      </c>
    </row>
    <row r="39" spans="1:20" x14ac:dyDescent="0.3">
      <c r="A39" s="356"/>
      <c r="B39" s="357" t="s">
        <v>108</v>
      </c>
      <c r="C39" s="358">
        <f>'LHJ Summary Pg 3-Do Not Input'!$C$33</f>
        <v>844490</v>
      </c>
      <c r="D39" s="359">
        <f>'LHJ Summary Pg 3-Do Not Input'!$D$33</f>
        <v>261.35000000000002</v>
      </c>
      <c r="E39" s="360">
        <f t="shared" si="4"/>
        <v>3231.2607614310309</v>
      </c>
      <c r="F39" s="361">
        <f>'LHJ Summary Pg 3-Do Not Input'!$E$33</f>
        <v>4670241</v>
      </c>
      <c r="G39" s="362">
        <f t="shared" si="0"/>
        <v>5.5302502101860291</v>
      </c>
      <c r="H39" s="363">
        <f>'LHJ Summary Pg 3-Do Not Input'!$F$33</f>
        <v>13369674</v>
      </c>
      <c r="I39" s="364">
        <f t="shared" si="5"/>
        <v>18039915</v>
      </c>
      <c r="J39" s="365">
        <f>'LHJ Summary Pg 3-Do Not Input'!$G$33</f>
        <v>761417</v>
      </c>
      <c r="K39" s="366">
        <f>'LHJ Summary Pg 3-Do Not Input'!$H$33</f>
        <v>4143171</v>
      </c>
      <c r="L39" s="367">
        <f t="shared" si="1"/>
        <v>4.9061220381532049</v>
      </c>
      <c r="M39" s="368">
        <f>'LHJ Summary Pg 3-Do Not Input'!$I$33</f>
        <v>2090377</v>
      </c>
      <c r="N39" s="369">
        <f t="shared" si="6"/>
        <v>6994965</v>
      </c>
      <c r="O39" s="370">
        <f>'LHJ Summary Pg 3-Do Not Input'!$J$33</f>
        <v>3076401</v>
      </c>
      <c r="P39" s="371">
        <f>'LHJ Summary Pg 3-Do Not Input'!$K$33</f>
        <v>2839170</v>
      </c>
      <c r="Q39" s="372">
        <f t="shared" si="2"/>
        <v>5915571</v>
      </c>
      <c r="R39" s="373">
        <f>'LHJ Summary Pg 3-Do Not Input'!$L$33</f>
        <v>1181791</v>
      </c>
      <c r="S39" s="374">
        <f>'LHJ Summary Pg 3-Do Not Input'!$M$33</f>
        <v>32132242</v>
      </c>
      <c r="T39" s="375">
        <f t="shared" si="3"/>
        <v>38.049286551646553</v>
      </c>
    </row>
    <row r="40" spans="1:20" x14ac:dyDescent="0.3">
      <c r="A40" s="356"/>
      <c r="B40" s="357" t="s">
        <v>109</v>
      </c>
      <c r="C40" s="358">
        <f>'LHJ Summary Pg 3-Do Not Input'!$C$34</f>
        <v>272690</v>
      </c>
      <c r="D40" s="359">
        <f>'LHJ Summary Pg 3-Do Not Input'!$D$34</f>
        <v>77.2</v>
      </c>
      <c r="E40" s="360">
        <f t="shared" si="4"/>
        <v>3532.2538860103627</v>
      </c>
      <c r="F40" s="361">
        <f>'LHJ Summary Pg 3-Do Not Input'!$E$34</f>
        <v>936886</v>
      </c>
      <c r="G40" s="362">
        <f t="shared" si="0"/>
        <v>3.4357182148226926</v>
      </c>
      <c r="H40" s="363">
        <f>'LHJ Summary Pg 3-Do Not Input'!$F$34</f>
        <v>4012373</v>
      </c>
      <c r="I40" s="364">
        <f t="shared" si="5"/>
        <v>4949259</v>
      </c>
      <c r="J40" s="365">
        <f>'LHJ Summary Pg 3-Do Not Input'!$G$34</f>
        <v>88849</v>
      </c>
      <c r="K40" s="366">
        <f>'LHJ Summary Pg 3-Do Not Input'!$H$34</f>
        <v>1046897</v>
      </c>
      <c r="L40" s="367">
        <f t="shared" si="1"/>
        <v>3.839147016758957</v>
      </c>
      <c r="M40" s="368">
        <f>'LHJ Summary Pg 3-Do Not Input'!$I$34</f>
        <v>801308</v>
      </c>
      <c r="N40" s="369">
        <f t="shared" si="6"/>
        <v>1937054</v>
      </c>
      <c r="O40" s="370">
        <f>'LHJ Summary Pg 3-Do Not Input'!$J$34</f>
        <v>627021</v>
      </c>
      <c r="P40" s="371">
        <f>'LHJ Summary Pg 3-Do Not Input'!$K$34</f>
        <v>341688</v>
      </c>
      <c r="Q40" s="372">
        <f t="shared" si="2"/>
        <v>968709</v>
      </c>
      <c r="R40" s="373">
        <f>'LHJ Summary Pg 3-Do Not Input'!$L$34</f>
        <v>5309</v>
      </c>
      <c r="S40" s="374">
        <f>'LHJ Summary Pg 3-Do Not Input'!$M$34</f>
        <v>7860331</v>
      </c>
      <c r="T40" s="375">
        <f t="shared" si="3"/>
        <v>28.825153104257581</v>
      </c>
    </row>
    <row r="41" spans="1:20" x14ac:dyDescent="0.3">
      <c r="A41" s="356"/>
      <c r="B41" s="357" t="s">
        <v>174</v>
      </c>
      <c r="C41" s="358">
        <f>'LHJ Summary Pg 3-Do Not Input'!$C$35</f>
        <v>4000</v>
      </c>
      <c r="D41" s="359">
        <f>'LHJ Summary Pg 3-Do Not Input'!$D$35</f>
        <v>3.25</v>
      </c>
      <c r="E41" s="360">
        <f t="shared" si="4"/>
        <v>1230.7692307692307</v>
      </c>
      <c r="F41" s="361">
        <f>'LHJ Summary Pg 3-Do Not Input'!$E$35</f>
        <v>67382</v>
      </c>
      <c r="G41" s="362">
        <f t="shared" si="0"/>
        <v>16.845500000000001</v>
      </c>
      <c r="H41" s="363">
        <f>'LHJ Summary Pg 3-Do Not Input'!$F$35</f>
        <v>39308</v>
      </c>
      <c r="I41" s="364">
        <f t="shared" si="5"/>
        <v>106690</v>
      </c>
      <c r="J41" s="365">
        <f>'LHJ Summary Pg 3-Do Not Input'!$G$35</f>
        <v>0</v>
      </c>
      <c r="K41" s="366">
        <f>'LHJ Summary Pg 3-Do Not Input'!$H$35</f>
        <v>93181</v>
      </c>
      <c r="L41" s="367">
        <f t="shared" si="1"/>
        <v>23.295249999999999</v>
      </c>
      <c r="M41" s="368">
        <f>'LHJ Summary Pg 3-Do Not Input'!$I$35</f>
        <v>34823</v>
      </c>
      <c r="N41" s="369">
        <f t="shared" si="6"/>
        <v>128004</v>
      </c>
      <c r="O41" s="370">
        <f>'LHJ Summary Pg 3-Do Not Input'!$J$35</f>
        <v>78300</v>
      </c>
      <c r="P41" s="371">
        <f>'LHJ Summary Pg 3-Do Not Input'!$K$35</f>
        <v>0</v>
      </c>
      <c r="Q41" s="372">
        <f t="shared" si="2"/>
        <v>78300</v>
      </c>
      <c r="R41" s="373">
        <f>'LHJ Summary Pg 3-Do Not Input'!$L$35</f>
        <v>235</v>
      </c>
      <c r="S41" s="374">
        <f>'LHJ Summary Pg 3-Do Not Input'!$M$35</f>
        <v>313229</v>
      </c>
      <c r="T41" s="375">
        <f t="shared" si="3"/>
        <v>78.307249999999996</v>
      </c>
    </row>
    <row r="42" spans="1:20" x14ac:dyDescent="0.3">
      <c r="A42" s="356"/>
      <c r="B42" s="357" t="s">
        <v>111</v>
      </c>
      <c r="C42" s="358">
        <f>'LHJ Summary Pg 3-Do Not Input'!$C$36</f>
        <v>60730</v>
      </c>
      <c r="D42" s="359">
        <f>'LHJ Summary Pg 3-Do Not Input'!$D$36</f>
        <v>18.25</v>
      </c>
      <c r="E42" s="360">
        <f t="shared" si="4"/>
        <v>3327.6712328767121</v>
      </c>
      <c r="F42" s="361">
        <f>'LHJ Summary Pg 3-Do Not Input'!$E$36</f>
        <v>395000</v>
      </c>
      <c r="G42" s="362">
        <f t="shared" si="0"/>
        <v>6.50419891322246</v>
      </c>
      <c r="H42" s="363">
        <f>'LHJ Summary Pg 3-Do Not Input'!$F$36</f>
        <v>148207</v>
      </c>
      <c r="I42" s="364">
        <f t="shared" si="5"/>
        <v>543207</v>
      </c>
      <c r="J42" s="365">
        <f>'LHJ Summary Pg 3-Do Not Input'!$G$36</f>
        <v>0</v>
      </c>
      <c r="K42" s="366">
        <f>'LHJ Summary Pg 3-Do Not Input'!$H$36</f>
        <v>302173</v>
      </c>
      <c r="L42" s="367">
        <f t="shared" si="1"/>
        <v>4.9756792359624571</v>
      </c>
      <c r="M42" s="368">
        <f>'LHJ Summary Pg 3-Do Not Input'!$I$36</f>
        <v>141562</v>
      </c>
      <c r="N42" s="369">
        <f t="shared" si="6"/>
        <v>443735</v>
      </c>
      <c r="O42" s="370">
        <f>'LHJ Summary Pg 3-Do Not Input'!$J$36</f>
        <v>324152</v>
      </c>
      <c r="P42" s="371">
        <f>'LHJ Summary Pg 3-Do Not Input'!$K$36</f>
        <v>12310</v>
      </c>
      <c r="Q42" s="372">
        <f t="shared" si="2"/>
        <v>336462</v>
      </c>
      <c r="R42" s="373">
        <f>'LHJ Summary Pg 3-Do Not Input'!$L$36</f>
        <v>16900</v>
      </c>
      <c r="S42" s="374">
        <f>'LHJ Summary Pg 3-Do Not Input'!$M$36</f>
        <v>1340304</v>
      </c>
      <c r="T42" s="375">
        <f t="shared" si="3"/>
        <v>22.069883089082825</v>
      </c>
    </row>
    <row r="43" spans="1:20" x14ac:dyDescent="0.3">
      <c r="A43" s="356"/>
      <c r="B43" s="357" t="s">
        <v>112</v>
      </c>
      <c r="C43" s="358">
        <f>'LHJ Summary Pg 3-Do Not Input'!$C$37</f>
        <v>212540</v>
      </c>
      <c r="D43" s="359">
        <f>'LHJ Summary Pg 3-Do Not Input'!$D$37</f>
        <v>75.349999999999994</v>
      </c>
      <c r="E43" s="360">
        <f t="shared" si="4"/>
        <v>2820.7033842070341</v>
      </c>
      <c r="F43" s="361">
        <f>'LHJ Summary Pg 3-Do Not Input'!$E$37</f>
        <v>2187582.85</v>
      </c>
      <c r="G43" s="362">
        <f t="shared" si="0"/>
        <v>10.292570104450927</v>
      </c>
      <c r="H43" s="363">
        <f>'LHJ Summary Pg 3-Do Not Input'!$F$37</f>
        <v>8364897</v>
      </c>
      <c r="I43" s="364">
        <f t="shared" si="5"/>
        <v>10552479.85</v>
      </c>
      <c r="J43" s="365">
        <f>'LHJ Summary Pg 3-Do Not Input'!$G$37</f>
        <v>38545</v>
      </c>
      <c r="K43" s="366">
        <f>'LHJ Summary Pg 3-Do Not Input'!$H$37</f>
        <v>1214301</v>
      </c>
      <c r="L43" s="367">
        <f t="shared" si="1"/>
        <v>5.7132822057024564</v>
      </c>
      <c r="M43" s="368">
        <f>'LHJ Summary Pg 3-Do Not Input'!$I$37</f>
        <v>5540161</v>
      </c>
      <c r="N43" s="369">
        <f t="shared" si="6"/>
        <v>6793007</v>
      </c>
      <c r="O43" s="370">
        <f>'LHJ Summary Pg 3-Do Not Input'!$J$37</f>
        <v>711259</v>
      </c>
      <c r="P43" s="371">
        <f>'LHJ Summary Pg 3-Do Not Input'!$K$37</f>
        <v>610468</v>
      </c>
      <c r="Q43" s="372">
        <f t="shared" si="2"/>
        <v>1321727</v>
      </c>
      <c r="R43" s="373">
        <f>'LHJ Summary Pg 3-Do Not Input'!$L$37</f>
        <v>376124</v>
      </c>
      <c r="S43" s="374">
        <f>'LHJ Summary Pg 3-Do Not Input'!$M$37</f>
        <v>19043337.850000001</v>
      </c>
      <c r="T43" s="375">
        <f t="shared" si="3"/>
        <v>89.598841865060706</v>
      </c>
    </row>
    <row r="44" spans="1:20" x14ac:dyDescent="0.3">
      <c r="A44" s="356"/>
      <c r="B44" s="357" t="s">
        <v>113</v>
      </c>
      <c r="C44" s="358">
        <f>'LHJ Summary Pg 3-Do Not Input'!$C$38</f>
        <v>47940</v>
      </c>
      <c r="D44" s="359">
        <f>'LHJ Summary Pg 3-Do Not Input'!$D$38</f>
        <v>10.6</v>
      </c>
      <c r="E44" s="360">
        <f t="shared" si="4"/>
        <v>4522.6415094339627</v>
      </c>
      <c r="F44" s="361">
        <f>'LHJ Summary Pg 3-Do Not Input'!$E$38</f>
        <v>197655</v>
      </c>
      <c r="G44" s="362">
        <f t="shared" si="0"/>
        <v>4.1229662077597</v>
      </c>
      <c r="H44" s="363">
        <f>'LHJ Summary Pg 3-Do Not Input'!$F$38</f>
        <v>215004</v>
      </c>
      <c r="I44" s="364">
        <f t="shared" si="5"/>
        <v>412659</v>
      </c>
      <c r="J44" s="365">
        <f>'LHJ Summary Pg 3-Do Not Input'!$G$38</f>
        <v>0</v>
      </c>
      <c r="K44" s="366">
        <f>'LHJ Summary Pg 3-Do Not Input'!$H$38</f>
        <v>189355</v>
      </c>
      <c r="L44" s="367">
        <f t="shared" si="1"/>
        <v>3.9498331247392575</v>
      </c>
      <c r="M44" s="368">
        <f>'LHJ Summary Pg 3-Do Not Input'!$I$38</f>
        <v>23476</v>
      </c>
      <c r="N44" s="369">
        <f t="shared" si="6"/>
        <v>212831</v>
      </c>
      <c r="O44" s="370">
        <f>'LHJ Summary Pg 3-Do Not Input'!$J$38</f>
        <v>204730</v>
      </c>
      <c r="P44" s="371">
        <f>'LHJ Summary Pg 3-Do Not Input'!$K$38</f>
        <v>0</v>
      </c>
      <c r="Q44" s="372">
        <f t="shared" si="2"/>
        <v>204730</v>
      </c>
      <c r="R44" s="373">
        <f>'LHJ Summary Pg 3-Do Not Input'!$L$38</f>
        <v>5378</v>
      </c>
      <c r="S44" s="374">
        <f>'LHJ Summary Pg 3-Do Not Input'!$M$38</f>
        <v>835598</v>
      </c>
      <c r="T44" s="375">
        <f t="shared" si="3"/>
        <v>17.430079265748851</v>
      </c>
    </row>
    <row r="45" spans="1:20" x14ac:dyDescent="0.3">
      <c r="A45" s="381"/>
      <c r="B45" s="382" t="s">
        <v>114</v>
      </c>
      <c r="C45" s="420">
        <f>'LHJ Summary Pg 3-Do Not Input'!$C$39</f>
        <v>250900</v>
      </c>
      <c r="D45" s="422">
        <f>'LHJ Summary Pg 3-Do Not Input'!$D$39</f>
        <v>24.91</v>
      </c>
      <c r="E45" s="421">
        <f t="shared" si="4"/>
        <v>10072.260136491368</v>
      </c>
      <c r="F45" s="383">
        <f>'LHJ Summary Pg 3-Do Not Input'!$E$39</f>
        <v>162598</v>
      </c>
      <c r="G45" s="384">
        <f t="shared" si="0"/>
        <v>0.64805898764447989</v>
      </c>
      <c r="H45" s="385">
        <f>'LHJ Summary Pg 3-Do Not Input'!$F$39</f>
        <v>3273285</v>
      </c>
      <c r="I45" s="386">
        <f t="shared" si="5"/>
        <v>3435883</v>
      </c>
      <c r="J45" s="423">
        <f>'LHJ Summary Pg 3-Do Not Input'!$G$39</f>
        <v>116068</v>
      </c>
      <c r="K45" s="424">
        <f>'LHJ Summary Pg 3-Do Not Input'!$H$39</f>
        <v>1052482</v>
      </c>
      <c r="L45" s="387">
        <f t="shared" si="1"/>
        <v>4.1948266241530492</v>
      </c>
      <c r="M45" s="388">
        <f>'LHJ Summary Pg 3-Do Not Input'!$I$39</f>
        <v>69974</v>
      </c>
      <c r="N45" s="369">
        <f t="shared" si="6"/>
        <v>1238524</v>
      </c>
      <c r="O45" s="389">
        <f>'LHJ Summary Pg 3-Do Not Input'!$J$39</f>
        <v>599670</v>
      </c>
      <c r="P45" s="390">
        <f>'LHJ Summary Pg 3-Do Not Input'!$K$39</f>
        <v>25445</v>
      </c>
      <c r="Q45" s="391">
        <f t="shared" si="2"/>
        <v>625115</v>
      </c>
      <c r="R45" s="392">
        <f>'LHJ Summary Pg 3-Do Not Input'!$L$39</f>
        <v>-89571</v>
      </c>
      <c r="S45" s="393">
        <f>'LHJ Summary Pg 3-Do Not Input'!$M$39</f>
        <v>5209951</v>
      </c>
      <c r="T45" s="394">
        <f t="shared" si="3"/>
        <v>20.765049820645675</v>
      </c>
    </row>
    <row r="46" spans="1:20" ht="15" customHeight="1" thickBot="1" x14ac:dyDescent="0.35">
      <c r="A46" s="395"/>
      <c r="B46" s="396" t="s">
        <v>175</v>
      </c>
      <c r="C46" s="425">
        <f>SUM(C11:C45)</f>
        <v>7183700</v>
      </c>
      <c r="D46" s="427">
        <f>SUM(D11:D45)</f>
        <v>2874.7649999999999</v>
      </c>
      <c r="E46" s="426" t="s">
        <v>176</v>
      </c>
      <c r="F46" s="397">
        <f>SUM(F11:F45)</f>
        <v>86381447.349999994</v>
      </c>
      <c r="G46" s="398" t="s">
        <v>176</v>
      </c>
      <c r="H46" s="399">
        <f>SUM(H11:H45)</f>
        <v>147056460</v>
      </c>
      <c r="I46" s="400">
        <f>SUM(I11:I45)</f>
        <v>233437907.34999999</v>
      </c>
      <c r="J46" s="401">
        <f>SUM(J11:J45)</f>
        <v>10850512</v>
      </c>
      <c r="K46" s="402">
        <f>SUM(K11:K45)</f>
        <v>36060026</v>
      </c>
      <c r="L46" s="403" t="s">
        <v>176</v>
      </c>
      <c r="M46" s="404">
        <f>SUM(M11:M45)</f>
        <v>22564717</v>
      </c>
      <c r="N46" s="405">
        <f>SUM(N11:N45)</f>
        <v>69475255</v>
      </c>
      <c r="O46" s="406">
        <f>SUM(O11:O45)</f>
        <v>43718046</v>
      </c>
      <c r="P46" s="407">
        <f t="shared" ref="P46" si="7">SUM(P11:P45)</f>
        <v>43725989.869999997</v>
      </c>
      <c r="Q46" s="408">
        <f>SUM(Q11:Q45)</f>
        <v>87444035.870000005</v>
      </c>
      <c r="R46" s="409">
        <f>SUM(R11:R45)</f>
        <v>12314661</v>
      </c>
      <c r="S46" s="410">
        <f>SUM(S11:S45)</f>
        <v>402671859.22000003</v>
      </c>
      <c r="T46" s="411" t="s">
        <v>176</v>
      </c>
    </row>
    <row r="47" spans="1:20" x14ac:dyDescent="0.3">
      <c r="A47" s="412"/>
      <c r="B47" s="300"/>
      <c r="C47" s="300"/>
      <c r="D47" s="300"/>
      <c r="E47" s="300"/>
      <c r="F47" s="413"/>
      <c r="G47" s="300"/>
      <c r="H47" s="300"/>
      <c r="I47" s="300"/>
      <c r="J47" s="300"/>
      <c r="K47" s="300"/>
      <c r="L47" s="414"/>
      <c r="M47" s="414"/>
      <c r="N47" s="300"/>
      <c r="O47" s="300"/>
      <c r="P47" s="300"/>
      <c r="Q47" s="300"/>
      <c r="R47" s="300"/>
      <c r="S47" s="300"/>
      <c r="T47" s="415"/>
    </row>
    <row r="48" spans="1:20" ht="12.75" customHeight="1" x14ac:dyDescent="0.3">
      <c r="A48" s="444" t="s">
        <v>190</v>
      </c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16"/>
      <c r="S48" s="416"/>
      <c r="T48" s="416"/>
    </row>
    <row r="49" spans="1:20" ht="6" customHeight="1" x14ac:dyDescent="0.3">
      <c r="A49" s="412"/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</row>
    <row r="50" spans="1:20" x14ac:dyDescent="0.3">
      <c r="A50" s="417"/>
      <c r="B50" s="417"/>
      <c r="C50" s="417"/>
      <c r="D50" s="417"/>
      <c r="E50" s="417"/>
      <c r="F50" s="418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9"/>
      <c r="S50" s="419"/>
      <c r="T50" s="419"/>
    </row>
    <row r="51" spans="1:20" x14ac:dyDescent="0.3">
      <c r="F51" s="214"/>
    </row>
  </sheetData>
  <mergeCells count="3">
    <mergeCell ref="A1:T1"/>
    <mergeCell ref="A2:T2"/>
    <mergeCell ref="A48:Q48"/>
  </mergeCells>
  <printOptions horizontalCentered="1"/>
  <pageMargins left="0.25" right="0.25" top="0.5" bottom="0.5" header="0.3" footer="0.3"/>
  <pageSetup paperSize="5" scale="7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5" sqref="A15"/>
    </sheetView>
  </sheetViews>
  <sheetFormatPr defaultRowHeight="14.5" x14ac:dyDescent="0.35"/>
  <cols>
    <col min="1" max="1" width="28.54296875" customWidth="1"/>
    <col min="2" max="2" width="28.54296875" style="191" customWidth="1"/>
  </cols>
  <sheetData>
    <row r="1" spans="1:2" x14ac:dyDescent="0.35">
      <c r="A1" s="192" t="s">
        <v>1</v>
      </c>
      <c r="B1" s="193">
        <v>9261386</v>
      </c>
    </row>
    <row r="2" spans="1:2" x14ac:dyDescent="0.35">
      <c r="A2" s="192" t="s">
        <v>2</v>
      </c>
      <c r="B2" s="193">
        <v>35965458</v>
      </c>
    </row>
    <row r="3" spans="1:2" x14ac:dyDescent="0.35">
      <c r="A3" s="192" t="s">
        <v>41</v>
      </c>
      <c r="B3" s="193">
        <v>20196195</v>
      </c>
    </row>
    <row r="4" spans="1:2" x14ac:dyDescent="0.35">
      <c r="A4" s="192" t="s">
        <v>150</v>
      </c>
      <c r="B4" s="193">
        <v>46727758</v>
      </c>
    </row>
    <row r="5" spans="1:2" x14ac:dyDescent="0.35">
      <c r="A5" s="192" t="s">
        <v>5</v>
      </c>
      <c r="B5" s="193">
        <v>24881621</v>
      </c>
    </row>
    <row r="6" spans="1:2" x14ac:dyDescent="0.35">
      <c r="A6" s="192" t="s">
        <v>148</v>
      </c>
      <c r="B6" s="193">
        <v>87220190</v>
      </c>
    </row>
    <row r="7" spans="1:2" x14ac:dyDescent="0.35">
      <c r="A7" s="192" t="s">
        <v>149</v>
      </c>
      <c r="B7" s="193">
        <v>131876822</v>
      </c>
    </row>
    <row r="8" spans="1:2" x14ac:dyDescent="0.35">
      <c r="A8" s="192" t="s">
        <v>115</v>
      </c>
      <c r="B8" s="193">
        <v>10813352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2:H57"/>
  <sheetViews>
    <sheetView view="pageLayout" zoomScaleNormal="100" workbookViewId="0"/>
  </sheetViews>
  <sheetFormatPr defaultColWidth="9.08984375" defaultRowHeight="12.5" x14ac:dyDescent="0.25"/>
  <cols>
    <col min="1" max="5" width="9.08984375" style="198"/>
    <col min="6" max="6" width="10.453125" style="198" customWidth="1"/>
    <col min="7" max="7" width="11.6328125" style="198" customWidth="1"/>
    <col min="8" max="8" width="12.54296875" style="198" customWidth="1"/>
    <col min="9" max="9" width="11.6328125" style="198" bestFit="1" customWidth="1"/>
    <col min="10" max="10" width="13.54296875" style="198" customWidth="1"/>
    <col min="11" max="12" width="9.08984375" style="198"/>
    <col min="13" max="13" width="12.08984375" style="198" customWidth="1"/>
    <col min="14" max="14" width="8.6328125" style="198" customWidth="1"/>
    <col min="15" max="16384" width="9.08984375" style="198"/>
  </cols>
  <sheetData>
    <row r="42" spans="2:8" ht="13" thickBot="1" x14ac:dyDescent="0.3"/>
    <row r="43" spans="2:8" x14ac:dyDescent="0.25">
      <c r="B43" s="199" t="s">
        <v>154</v>
      </c>
      <c r="C43" s="200"/>
      <c r="D43" s="200"/>
      <c r="E43" s="200"/>
      <c r="F43" s="200"/>
      <c r="G43" s="200"/>
      <c r="H43" s="201" t="s">
        <v>43</v>
      </c>
    </row>
    <row r="44" spans="2:8" x14ac:dyDescent="0.25">
      <c r="B44" s="202" t="s">
        <v>155</v>
      </c>
      <c r="C44" s="203"/>
      <c r="D44" s="204"/>
      <c r="E44" s="204"/>
      <c r="F44" s="204"/>
      <c r="G44" s="204"/>
      <c r="H44" s="205">
        <f>'LHJ Summary Pg 3-Do Not Input'!G40+'LHJ Summary Pg 3-Do Not Input'!H40+'LHJ Summary Pg 3-Do Not Input'!I40</f>
        <v>69475255</v>
      </c>
    </row>
    <row r="45" spans="2:8" x14ac:dyDescent="0.25">
      <c r="B45" s="202" t="s">
        <v>118</v>
      </c>
      <c r="C45" s="203"/>
      <c r="D45" s="204"/>
      <c r="E45" s="204"/>
      <c r="F45" s="204"/>
      <c r="G45" s="204"/>
      <c r="H45" s="205">
        <f>'LHJ Summary Pg 3-Do Not Input'!J40+'LHJ Summary Pg 3-Do Not Input'!K40</f>
        <v>87444035.870000005</v>
      </c>
    </row>
    <row r="46" spans="2:8" x14ac:dyDescent="0.25">
      <c r="B46" s="202" t="s">
        <v>119</v>
      </c>
      <c r="C46" s="203"/>
      <c r="D46" s="204"/>
      <c r="E46" s="204"/>
      <c r="F46" s="204"/>
      <c r="G46" s="204"/>
      <c r="H46" s="205"/>
    </row>
    <row r="47" spans="2:8" x14ac:dyDescent="0.25">
      <c r="B47" s="206" t="s">
        <v>148</v>
      </c>
      <c r="C47" s="203"/>
      <c r="D47" s="204"/>
      <c r="E47" s="204"/>
      <c r="F47" s="204"/>
      <c r="G47" s="204"/>
      <c r="H47" s="205">
        <f>'LHJ Summary Pg 3-Do Not Input'!E40</f>
        <v>86381447.349999994</v>
      </c>
    </row>
    <row r="48" spans="2:8" x14ac:dyDescent="0.25">
      <c r="B48" s="206" t="s">
        <v>6</v>
      </c>
      <c r="C48" s="203"/>
      <c r="D48" s="204"/>
      <c r="E48" s="204"/>
      <c r="F48" s="204"/>
      <c r="G48" s="204"/>
      <c r="H48" s="205">
        <f>'LHJ Summary Pg 3-Do Not Input'!F40</f>
        <v>147056460</v>
      </c>
    </row>
    <row r="49" spans="2:8" x14ac:dyDescent="0.25">
      <c r="B49" s="202" t="s">
        <v>115</v>
      </c>
      <c r="C49" s="203"/>
      <c r="D49" s="204"/>
      <c r="E49" s="204"/>
      <c r="F49" s="204"/>
      <c r="G49" s="204"/>
      <c r="H49" s="205">
        <f>'LHJ Summary Pg 3-Do Not Input'!L40</f>
        <v>12314661</v>
      </c>
    </row>
    <row r="50" spans="2:8" ht="13.5" thickBot="1" x14ac:dyDescent="0.35">
      <c r="B50" s="207" t="s">
        <v>42</v>
      </c>
      <c r="C50" s="208"/>
      <c r="D50" s="208"/>
      <c r="E50" s="208"/>
      <c r="F50" s="208"/>
      <c r="G50" s="208"/>
      <c r="H50" s="209">
        <f>SUM(H44:H49)</f>
        <v>402671859.22000003</v>
      </c>
    </row>
    <row r="55" spans="2:8" ht="13" x14ac:dyDescent="0.3">
      <c r="B55" s="210"/>
      <c r="F55" s="211"/>
    </row>
    <row r="56" spans="2:8" ht="13" x14ac:dyDescent="0.3">
      <c r="B56" s="210"/>
      <c r="F56" s="211"/>
    </row>
    <row r="57" spans="2:8" x14ac:dyDescent="0.25">
      <c r="F57" s="212"/>
    </row>
  </sheetData>
  <printOptions horizontalCentered="1"/>
  <pageMargins left="0" right="0" top="1.25" bottom="0.65" header="0.28000000000000003" footer="0.3"/>
  <pageSetup scale="75" orientation="landscape" r:id="rId1"/>
  <headerFooter>
    <oddHeader>&amp;C&amp;"-,Bold"&amp;20 Expenditures by Funding Sources - Summary
2016
All Local Health Jurisdictions</oddHeader>
    <oddFooter>&amp;C
&amp;RSOURCE:  BARS A Reports
Compiled by DOH</oddFooter>
    <firstHeader>&amp;C&amp;"Arial,Bold"&amp;15PUBLIC HEALTH SERVICES - Funding of All Local Health Jurisdictions by Revenue Source Type
2012</firstHeader>
    <firstFooter>&amp;C&amp;11Page 6&amp;R&amp;8 2012 LHJ Funding Summary
Compiled by DOH
Source: BARS A Report</first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H49"/>
  <sheetViews>
    <sheetView showGridLines="0" zoomScaleNormal="100" zoomScalePageLayoutView="85" workbookViewId="0">
      <selection activeCell="H4" sqref="H4"/>
    </sheetView>
  </sheetViews>
  <sheetFormatPr defaultColWidth="8.90625" defaultRowHeight="12.5" outlineLevelRow="1" x14ac:dyDescent="0.25"/>
  <cols>
    <col min="1" max="1" width="30.6328125" style="154" customWidth="1"/>
    <col min="2" max="2" width="14.6328125" style="154" customWidth="1"/>
    <col min="3" max="3" width="13.6328125" style="154" customWidth="1"/>
    <col min="4" max="4" width="31.08984375" style="154" customWidth="1"/>
    <col min="5" max="5" width="17" style="154" customWidth="1"/>
    <col min="6" max="6" width="13.6328125" style="154" customWidth="1"/>
    <col min="7" max="7" width="30.6328125" style="154" customWidth="1"/>
    <col min="8" max="8" width="14.6328125" style="154" customWidth="1"/>
    <col min="9" max="9" width="8.36328125" style="154" customWidth="1"/>
    <col min="10" max="10" width="13.90625" style="154" customWidth="1"/>
    <col min="11" max="16384" width="8.90625" style="154"/>
  </cols>
  <sheetData>
    <row r="3" ht="70.25" customHeight="1" x14ac:dyDescent="0.25"/>
    <row r="15" ht="15" customHeight="1" x14ac:dyDescent="0.25"/>
    <row r="37" spans="1:8" ht="13" x14ac:dyDescent="0.3">
      <c r="A37" s="155" t="s">
        <v>69</v>
      </c>
      <c r="B37" s="156" t="s">
        <v>43</v>
      </c>
      <c r="G37" s="155" t="s">
        <v>70</v>
      </c>
      <c r="H37" s="156" t="s">
        <v>43</v>
      </c>
    </row>
    <row r="38" spans="1:8" outlineLevel="1" x14ac:dyDescent="0.25">
      <c r="A38" s="157" t="s">
        <v>1</v>
      </c>
      <c r="B38" s="159">
        <f>'Exp Code Ag Pgs 6&amp;7 Do Not Inpt'!E56</f>
        <v>10850512</v>
      </c>
      <c r="G38" s="157" t="s">
        <v>4</v>
      </c>
      <c r="H38" s="159">
        <f>'Exp Code Ag Pgs 6&amp;7 Do Not Inpt'!H56</f>
        <v>43718046</v>
      </c>
    </row>
    <row r="39" spans="1:8" outlineLevel="1" x14ac:dyDescent="0.25">
      <c r="A39" s="157" t="s">
        <v>2</v>
      </c>
      <c r="B39" s="159">
        <f>'Exp Code Ag Pgs 6&amp;7 Do Not Inpt'!F56</f>
        <v>36060026</v>
      </c>
      <c r="G39" s="157" t="s">
        <v>5</v>
      </c>
      <c r="H39" s="159">
        <f>'Exp Code Ag Pgs 6&amp;7 Do Not Inpt'!I56</f>
        <v>43725989.869999997</v>
      </c>
    </row>
    <row r="40" spans="1:8" ht="13" outlineLevel="1" x14ac:dyDescent="0.3">
      <c r="A40" s="157" t="s">
        <v>41</v>
      </c>
      <c r="B40" s="159">
        <f>'Exp Code Ag Pgs 6&amp;7 Do Not Inpt'!G56</f>
        <v>22564717</v>
      </c>
      <c r="G40" s="155" t="s">
        <v>74</v>
      </c>
      <c r="H40" s="160">
        <f>SUM(H38:H39)</f>
        <v>87444035.870000005</v>
      </c>
    </row>
    <row r="41" spans="1:8" ht="13" x14ac:dyDescent="0.3">
      <c r="A41" s="155" t="s">
        <v>73</v>
      </c>
      <c r="B41" s="160">
        <f>SUM(B38:B40)</f>
        <v>69475255</v>
      </c>
      <c r="H41" s="161"/>
    </row>
    <row r="42" spans="1:8" x14ac:dyDescent="0.25">
      <c r="B42" s="161"/>
      <c r="H42" s="161"/>
    </row>
    <row r="43" spans="1:8" ht="13" x14ac:dyDescent="0.3">
      <c r="B43" s="161"/>
      <c r="G43" s="155" t="s">
        <v>71</v>
      </c>
      <c r="H43" s="162" t="s">
        <v>43</v>
      </c>
    </row>
    <row r="44" spans="1:8" ht="13" x14ac:dyDescent="0.3">
      <c r="A44" s="155" t="s">
        <v>72</v>
      </c>
      <c r="B44" s="159"/>
      <c r="G44" s="157" t="s">
        <v>63</v>
      </c>
      <c r="H44" s="159">
        <f>'Exp Code Ag Pgs 6&amp;7 Do Not Inpt'!C56</f>
        <v>86381447.349999994</v>
      </c>
    </row>
    <row r="45" spans="1:8" x14ac:dyDescent="0.25">
      <c r="A45" s="157" t="s">
        <v>115</v>
      </c>
      <c r="B45" s="159">
        <f>'LHJ Summary Pg 3-Do Not Input'!L40</f>
        <v>12314661</v>
      </c>
      <c r="G45" s="157" t="s">
        <v>6</v>
      </c>
      <c r="H45" s="159">
        <f>'Exp Code Ag Pgs 6&amp;7 Do Not Inpt'!C63</f>
        <v>147056460</v>
      </c>
    </row>
    <row r="46" spans="1:8" ht="13" x14ac:dyDescent="0.3">
      <c r="A46" s="155" t="s">
        <v>116</v>
      </c>
      <c r="B46" s="160">
        <f>B45</f>
        <v>12314661</v>
      </c>
      <c r="G46" s="155" t="s">
        <v>75</v>
      </c>
      <c r="H46" s="160">
        <f>SUM(H44:H45)</f>
        <v>233437907.34999999</v>
      </c>
    </row>
    <row r="49" spans="4:5" ht="16.75" customHeight="1" x14ac:dyDescent="0.3">
      <c r="D49" s="155" t="s">
        <v>191</v>
      </c>
      <c r="E49" s="160">
        <f>B41+B46+H40+H46</f>
        <v>402671859.22000003</v>
      </c>
    </row>
  </sheetData>
  <pageMargins left="0.7" right="0.7" top="0.75" bottom="0.75" header="0.3" footer="0.3"/>
  <pageSetup scale="70" fitToHeight="0" orientation="landscape" r:id="rId1"/>
  <headerFooter>
    <oddHeader xml:space="preserve">&amp;C&amp;"-,Bold"&amp;20Expenditures by Funding Sources - Detail
2016
All Local Health Jurisdictions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topLeftCell="A45" zoomScaleNormal="100" workbookViewId="0">
      <selection activeCell="K45" sqref="K45"/>
    </sheetView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f>'LHJ Summary Pg 3-Do Not Input'!C40</f>
        <v>7183700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f>'LHJ Summary Pg 3-Do Not Input'!D40</f>
        <v>2874.7649999999999</v>
      </c>
      <c r="D2" s="56"/>
      <c r="F2" s="2"/>
      <c r="G2" s="40"/>
      <c r="H2" s="40"/>
      <c r="I2" s="40"/>
      <c r="J2" s="4"/>
      <c r="K2" s="89"/>
    </row>
    <row r="3" spans="1:12" ht="15.5" thickTop="1" thickBot="1" x14ac:dyDescent="0.4">
      <c r="A3" s="133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138"/>
      <c r="L3"/>
    </row>
    <row r="4" spans="1:12" ht="69" customHeight="1" thickTop="1" thickBot="1" x14ac:dyDescent="0.4">
      <c r="A4" s="134" t="s">
        <v>67</v>
      </c>
      <c r="B4" s="88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4" t="s">
        <v>0</v>
      </c>
      <c r="L4"/>
    </row>
    <row r="5" spans="1:12" x14ac:dyDescent="0.35">
      <c r="A5" s="135">
        <v>562.1</v>
      </c>
      <c r="B5" s="15" t="s">
        <v>9</v>
      </c>
      <c r="C5" s="103">
        <f>'Adams Pgs 8-9'!C5+'Asotin Pgs 10-11'!C5+'Benton-Franklin Pgs 12-13'!C5+'Chelan-Douglas Pgs 14-15'!C5+'Clallam Pgs 16-17'!C5+'Clark Pgs 18-19'!C5+'Columbia Pgs 20-21'!C5+'Cowlitz Pgs 22-23'!C5+'Garfield Pgs 24-25'!C5+'Grant Pgs 26-27'!C5+'Grays Harbor Pgs 28-29'!C5+'Island Pgs 30-31'!C5+'Jefferson Pgs 32-33'!C5+'Kitsap Pgs 34-35'!C5+'Kittitas Pgs 36-37'!C5+'Klickitat Pgs 38-39'!C5+'Lewis Pgs 40-41'!C5+'Lincoln Pgs 42-43'!C5+'Mason Pgs 44-45'!C5+'Northeast Tri Pgs 46-47'!C5+'Okanogan Pgs 48-49'!C5+'Pacific Pgs 50-51'!C5+'San Juan Pgs 52-53'!C5+'Skagit Pgs 56-57'!C5+'Skamania Pgs 58-59'!C5+'Snohomish Pgs 60-61'!C5+'Spokane Pgs 62-63'!C5+'Tacoma-Pierce Pgs 64-65'!C5+'Thurston Pgs 66-67'!C5+'Wahkiakum Pgs 68-69'!C5+'Walla Walla Pgs 70-71'!C5+'Whatcom Pgs 72-73'!C5+'Whitman Pgs 74-75'!C5+'Yakima Pgs 76-77'!C5+'Seattle-King Pgs 54-55'!C5</f>
        <v>10123834</v>
      </c>
      <c r="D5" s="102">
        <f>'Adams Pgs 8-9'!D5+'Asotin Pgs 10-11'!D5+'Benton-Franklin Pgs 12-13'!D5+'Chelan-Douglas Pgs 14-15'!D5+'Clallam Pgs 16-17'!D5+'Clark Pgs 18-19'!D5+'Columbia Pgs 20-21'!D5+'Cowlitz Pgs 22-23'!D5+'Garfield Pgs 24-25'!D5+'Grant Pgs 26-27'!D5+'Grays Harbor Pgs 28-29'!D5+'Island Pgs 30-31'!D5+'Jefferson Pgs 32-33'!D5+'Kitsap Pgs 34-35'!D5+'Kittitas Pgs 36-37'!D5+'Klickitat Pgs 38-39'!D5+'Lewis Pgs 40-41'!D5+'Lincoln Pgs 42-43'!D5+'Mason Pgs 44-45'!D5+'Northeast Tri Pgs 46-47'!D5+'Okanogan Pgs 48-49'!D5+'Pacific Pgs 50-51'!D5+'San Juan Pgs 52-53'!D5+'Skagit Pgs 56-57'!D5+'Skamania Pgs 58-59'!D5+'Snohomish Pgs 60-61'!D5+'Spokane Pgs 62-63'!D5+'Tacoma-Pierce Pgs 64-65'!D5+'Thurston Pgs 66-67'!D5+'Wahkiakum Pgs 68-69'!D5+'Walla Walla Pgs 70-71'!D5+'Whatcom Pgs 72-73'!D5+'Whitman Pgs 74-75'!D5+'Yakima Pgs 76-77'!D5+'Seattle-King Pgs 54-55'!D5</f>
        <v>992069</v>
      </c>
      <c r="E5" s="100">
        <f>'Adams Pgs 8-9'!E5+'Asotin Pgs 10-11'!E5+'Benton-Franklin Pgs 12-13'!E5+'Chelan-Douglas Pgs 14-15'!E5+'Clallam Pgs 16-17'!E5+'Clark Pgs 18-19'!E5+'Columbia Pgs 20-21'!E5+'Cowlitz Pgs 22-23'!E5+'Garfield Pgs 24-25'!E5+'Grant Pgs 26-27'!E5+'Grays Harbor Pgs 28-29'!E5+'Island Pgs 30-31'!E5+'Jefferson Pgs 32-33'!E5+'Kitsap Pgs 34-35'!E5+'Kittitas Pgs 36-37'!E5+'Klickitat Pgs 38-39'!E5+'Lewis Pgs 40-41'!E5+'Lincoln Pgs 42-43'!E5+'Mason Pgs 44-45'!E5+'Northeast Tri Pgs 46-47'!E5+'Okanogan Pgs 48-49'!E5+'Pacific Pgs 50-51'!E5+'San Juan Pgs 52-53'!E5+'Seattle-King Pgs 54-55'!E5+'Skagit Pgs 56-57'!E5+'Skamania Pgs 58-59'!E5+'Snohomish Pgs 60-61'!E5+'Spokane Pgs 62-63'!E5+'Tacoma-Pierce Pgs 64-65'!E5+'Thurston Pgs 66-67'!E5+'Wahkiakum Pgs 68-69'!E5+'Walla Walla Pgs 70-71'!E5+'Whatcom Pgs 72-73'!E5+'Whitman Pgs 74-75'!E5+'Yakima Pgs 76-77'!E5</f>
        <v>202826</v>
      </c>
      <c r="F5" s="101">
        <f>'Adams Pgs 8-9'!F5+'Asotin Pgs 10-11'!F5+'Benton-Franklin Pgs 12-13'!F5+'Chelan-Douglas Pgs 14-15'!F5+'Clallam Pgs 16-17'!F5+'Clark Pgs 18-19'!F5+'Columbia Pgs 20-21'!F5+'Cowlitz Pgs 22-23'!F5+'Garfield Pgs 24-25'!F5+'Grant Pgs 26-27'!F5+'Grays Harbor Pgs 28-29'!F5+'Island Pgs 30-31'!F5+'Jefferson Pgs 32-33'!F5+'Kitsap Pgs 34-35'!F5+'Kittitas Pgs 36-37'!F5+'Klickitat Pgs 38-39'!F5+'Lewis Pgs 40-41'!F5+'Lincoln Pgs 42-43'!F5+'Mason Pgs 44-45'!F5+'Northeast Tri Pgs 46-47'!F5+'Okanogan Pgs 48-49'!F5+'Pacific Pgs 50-51'!F5+'San Juan Pgs 52-53'!F5+'Seattle-King Pgs 54-55'!F5+'Skagit Pgs 56-57'!F5+'Skamania Pgs 58-59'!F5+'Snohomish Pgs 60-61'!F5+'Spokane Pgs 62-63'!F5+'Tacoma-Pierce Pgs 64-65'!F5+'Thurston Pgs 66-67'!F5+'Wahkiakum Pgs 68-69'!F5+'Walla Walla Pgs 70-71'!F5+'Whatcom Pgs 72-73'!F5+'Whitman Pgs 74-75'!F5+'Yakima Pgs 76-77'!F5</f>
        <v>6441025</v>
      </c>
      <c r="G5" s="102">
        <f>'Adams Pgs 8-9'!G5+'Asotin Pgs 10-11'!G5+'Benton-Franklin Pgs 12-13'!G5+'Chelan-Douglas Pgs 14-15'!G5+'Clallam Pgs 16-17'!G5+'Clark Pgs 18-19'!G5+'Columbia Pgs 20-21'!G5+'Cowlitz Pgs 22-23'!G5+'Garfield Pgs 24-25'!G5+'Grant Pgs 26-27'!G5+'Grays Harbor Pgs 28-29'!G5+'Island Pgs 30-31'!G5+'Jefferson Pgs 32-33'!G5+'Kitsap Pgs 34-35'!G5+'Kittitas Pgs 36-37'!G5+'Klickitat Pgs 38-39'!G5+'Lewis Pgs 40-41'!G5+'Lincoln Pgs 42-43'!G5+'Mason Pgs 44-45'!G5+'Northeast Tri Pgs 46-47'!G5+'Okanogan Pgs 48-49'!G5+'Pacific Pgs 50-51'!G5+'San Juan Pgs 52-53'!G5+'Seattle-King Pgs 54-55'!G5+'Skagit Pgs 56-57'!G5+'Skamania Pgs 58-59'!G5+'Snohomish Pgs 60-61'!G5+'Spokane Pgs 62-63'!G5+'Tacoma-Pierce Pgs 64-65'!G5+'Thurston Pgs 66-67'!G5+'Wahkiakum Pgs 68-69'!G5+'Walla Walla Pgs 70-71'!G5+'Whatcom Pgs 72-73'!G5+'Whitman Pgs 74-75'!G5+'Yakima Pgs 76-77'!G5</f>
        <v>432546</v>
      </c>
      <c r="H5" s="100">
        <f>'Adams Pgs 8-9'!H5+'Asotin Pgs 10-11'!H5+'Benton-Franklin Pgs 12-13'!H5+'Chelan-Douglas Pgs 14-15'!H5+'Clallam Pgs 16-17'!H5+'Clark Pgs 18-19'!H5+'Columbia Pgs 20-21'!H5+'Cowlitz Pgs 22-23'!H5+'Garfield Pgs 24-25'!H5+'Grant Pgs 26-27'!H5+'Grays Harbor Pgs 28-29'!H5+'Island Pgs 30-31'!H5+'Jefferson Pgs 32-33'!H5+'Kitsap Pgs 34-35'!H5+'Kittitas Pgs 36-37'!H5+'Klickitat Pgs 38-39'!H5+'Lewis Pgs 40-41'!H5+'Lincoln Pgs 42-43'!H5+'Mason Pgs 44-45'!H5+'Northeast Tri Pgs 46-47'!H5+'Okanogan Pgs 48-49'!H5+'Pacific Pgs 50-51'!H5+'San Juan Pgs 52-53'!H5+'Snohomish Pgs 60-61'!H5+'Spokane Pgs 62-63'!H5+'Tacoma-Pierce Pgs 64-65'!H5+'Thurston Pgs 66-67'!H5+'Wahkiakum Pgs 68-69'!H5+'Walla Walla Pgs 70-71'!H5+'Whatcom Pgs 72-73'!H5+'Whitman Pgs 74-75'!H5+'Yakima Pgs 76-77'!H5+'Seattle-King Pgs 54-55'!H5+'Skagit Pgs 56-57'!H5+'Skamania Pgs 58-59'!H5</f>
        <v>18774</v>
      </c>
      <c r="I5" s="102">
        <f>'Adams Pgs 8-9'!I5+'Asotin Pgs 10-11'!I5+'Benton-Franklin Pgs 12-13'!I5+'Chelan-Douglas Pgs 14-15'!I5+'Clallam Pgs 16-17'!I5+'Clark Pgs 18-19'!I5+'Columbia Pgs 20-21'!I5+'Cowlitz Pgs 22-23'!I5+'Garfield Pgs 24-25'!I5+'Grant Pgs 26-27'!I5+'Grays Harbor Pgs 28-29'!I5+'Island Pgs 30-31'!I5+'Jefferson Pgs 32-33'!I5+'Kitsap Pgs 34-35'!I5+'Kittitas Pgs 36-37'!I5+'Klickitat Pgs 38-39'!I5+'Lewis Pgs 40-41'!I5+'Lincoln Pgs 42-43'!I5+'Mason Pgs 44-45'!I5+'Northeast Tri Pgs 46-47'!I5+'Okanogan Pgs 48-49'!I5+'Pacific Pgs 50-51'!I5+'San Juan Pgs 52-53'!I5+'Snohomish Pgs 60-61'!I5+'Spokane Pgs 62-63'!I5+'Tacoma-Pierce Pgs 64-65'!I5+'Thurston Pgs 66-67'!I5+'Wahkiakum Pgs 68-69'!I5+'Walla Walla Pgs 70-71'!I5+'Whatcom Pgs 72-73'!I5+'Whitman Pgs 74-75'!I5+'Yakima Pgs 76-77'!I5+'Seattle-King Pgs 54-55'!I5+'Skagit Pgs 56-57'!I5+'Skamania Pgs 58-59'!I5</f>
        <v>9083290.8699999992</v>
      </c>
      <c r="J5" s="104">
        <f>'Adams Pgs 8-9'!J5+'Asotin Pgs 10-11'!J5+'Benton-Franklin Pgs 12-13'!J5+'Chelan-Douglas Pgs 14-15'!J5+'Clallam Pgs 16-17'!J5+'Clark Pgs 18-19'!J5+'Columbia Pgs 20-21'!J5+'Cowlitz Pgs 22-23'!J5+'Garfield Pgs 24-25'!J5+'Grant Pgs 26-27'!J5+'Grays Harbor Pgs 28-29'!J5+'Island Pgs 30-31'!J5+'Jefferson Pgs 32-33'!J5+'Kitsap Pgs 34-35'!J5+'Kittitas Pgs 36-37'!J5+'Klickitat Pgs 38-39'!J5+'Lewis Pgs 40-41'!J5+'Lincoln Pgs 42-43'!J5+'Mason Pgs 44-45'!J5+'Northeast Tri Pgs 46-47'!J5+'Okanogan Pgs 48-49'!J5+'Pacific Pgs 50-51'!J5+'San Juan Pgs 52-53'!J5+'Seattle-King Pgs 54-55'!J5+'Skagit Pgs 56-57'!J5+'Skamania Pgs 58-59'!J5+'Snohomish Pgs 60-61'!J5+'Spokane Pgs 62-63'!J5+'Tacoma-Pierce Pgs 64-65'!J5+'Thurston Pgs 66-67'!J5+'Wahkiakum Pgs 68-69'!J5+'Walla Walla Pgs 70-71'!J5+'Whatcom Pgs 72-73'!J5+'Whitman Pgs 74-75'!J5+'Yakima Pgs 76-77'!J5</f>
        <v>5024087</v>
      </c>
      <c r="K5" s="129">
        <f>SUM(C5:J5)</f>
        <v>32318451.869999997</v>
      </c>
      <c r="L5"/>
    </row>
    <row r="6" spans="1:12" x14ac:dyDescent="0.35">
      <c r="A6" s="79">
        <v>562.21</v>
      </c>
      <c r="B6" s="16" t="s">
        <v>10</v>
      </c>
      <c r="C6" s="103">
        <f>'Adams Pgs 8-9'!C6+'Asotin Pgs 10-11'!C6+'Benton-Franklin Pgs 12-13'!C6+'Chelan-Douglas Pgs 14-15'!C6+'Clallam Pgs 16-17'!C6+'Clark Pgs 18-19'!C6+'Columbia Pgs 20-21'!C6+'Cowlitz Pgs 22-23'!C6+'Garfield Pgs 24-25'!C6+'Grant Pgs 26-27'!C6+'Grays Harbor Pgs 28-29'!C6+'Island Pgs 30-31'!C6+'Jefferson Pgs 32-33'!C6+'Kitsap Pgs 34-35'!C6+'Kittitas Pgs 36-37'!C6+'Klickitat Pgs 38-39'!C6+'Lewis Pgs 40-41'!C6+'Lincoln Pgs 42-43'!C6+'Mason Pgs 44-45'!C6+'Northeast Tri Pgs 46-47'!C6+'Okanogan Pgs 48-49'!C6+'Pacific Pgs 50-51'!C6+'San Juan Pgs 52-53'!C6+'[1]seattle king'!H6+'Skagit Pgs 56-57'!C6+'Skamania Pgs 58-59'!C6+'Snohomish Pgs 60-61'!C6+'Spokane Pgs 62-63'!C6+'Tacoma-Pierce Pgs 64-65'!C6+'Thurston Pgs 66-67'!C6+'Wahkiakum Pgs 68-69'!C6+'Walla Walla Pgs 70-71'!C6+'Whatcom Pgs 72-73'!C6+'Whitman Pgs 74-75'!C6+'Yakima Pgs 76-77'!C6</f>
        <v>0</v>
      </c>
      <c r="D6" s="102">
        <f>'Adams Pgs 8-9'!D6+'Asotin Pgs 10-11'!D6+'Benton-Franklin Pgs 12-13'!D6+'Chelan-Douglas Pgs 14-15'!D6+'Clallam Pgs 16-17'!D6+'Clark Pgs 18-19'!D6+'Columbia Pgs 20-21'!D6+'Cowlitz Pgs 22-23'!D6+'Garfield Pgs 24-25'!D6+'Grant Pgs 26-27'!D6+'Grays Harbor Pgs 28-29'!D6+'Island Pgs 30-31'!D6+'Jefferson Pgs 32-33'!D6+'Kitsap Pgs 34-35'!D6+'Kittitas Pgs 36-37'!D6+'Klickitat Pgs 38-39'!D6+'Lewis Pgs 40-41'!D6+'Lincoln Pgs 42-43'!D6+'Mason Pgs 44-45'!D6+'Northeast Tri Pgs 46-47'!D6+'Okanogan Pgs 48-49'!D6+'Pacific Pgs 50-51'!D6+'San Juan Pgs 52-53'!D6+'[1]seattle king'!I6+'Skagit Pgs 56-57'!D6+'Skamania Pgs 58-59'!D6+'Snohomish Pgs 60-61'!D6+'Spokane Pgs 62-63'!D6+'Tacoma-Pierce Pgs 64-65'!D6+'Thurston Pgs 66-67'!D6+'Wahkiakum Pgs 68-69'!D6+'Walla Walla Pgs 70-71'!D6+'Whatcom Pgs 72-73'!D6+'Whitman Pgs 74-75'!D6+'Yakima Pgs 76-77'!D6</f>
        <v>0</v>
      </c>
      <c r="E6" s="100">
        <f>'Adams Pgs 8-9'!E6+'Asotin Pgs 10-11'!E6+'Benton-Franklin Pgs 12-13'!E6+'Chelan-Douglas Pgs 14-15'!E6+'Clallam Pgs 16-17'!E6+'Clark Pgs 18-19'!E6+'Columbia Pgs 20-21'!E6+'Cowlitz Pgs 22-23'!E6+'Garfield Pgs 24-25'!E6+'Grant Pgs 26-27'!E6+'Grays Harbor Pgs 28-29'!E6+'Island Pgs 30-31'!E6+'Jefferson Pgs 32-33'!E6+'Kitsap Pgs 34-35'!E6+'Kittitas Pgs 36-37'!E6+'Klickitat Pgs 38-39'!E6+'Lewis Pgs 40-41'!E6+'Lincoln Pgs 42-43'!E6+'Mason Pgs 44-45'!E6+'Northeast Tri Pgs 46-47'!E6+'Okanogan Pgs 48-49'!E6+'Pacific Pgs 50-51'!E6+'San Juan Pgs 52-53'!E6+'Skagit Pgs 56-57'!E6+'Skamania Pgs 58-59'!E6+'Snohomish Pgs 60-61'!E6+'Spokane Pgs 62-63'!E6+'Tacoma-Pierce Pgs 64-65'!E6+'Thurston Pgs 66-67'!E6+'Wahkiakum Pgs 68-69'!E6+'Walla Walla Pgs 70-71'!E6+'Whatcom Pgs 72-73'!E6+'Whitman Pgs 74-75'!E6+'Yakima Pgs 76-77'!E6+'Seattle-King Pgs 54-55'!E6</f>
        <v>0</v>
      </c>
      <c r="F6" s="101">
        <f>'Adams Pgs 8-9'!F6+'Asotin Pgs 10-11'!F6+'Benton-Franklin Pgs 12-13'!F6+'Chelan-Douglas Pgs 14-15'!F6+'Clallam Pgs 16-17'!F6+'Clark Pgs 18-19'!F6+'Columbia Pgs 20-21'!F6+'Cowlitz Pgs 22-23'!F6+'Garfield Pgs 24-25'!F6+'Grant Pgs 26-27'!F6+'Grays Harbor Pgs 28-29'!F6+'Island Pgs 30-31'!F6+'Jefferson Pgs 32-33'!F6+'Kitsap Pgs 34-35'!F6+'Kittitas Pgs 36-37'!F6+'Klickitat Pgs 38-39'!F6+'Lewis Pgs 40-41'!F6+'Lincoln Pgs 42-43'!F6+'Mason Pgs 44-45'!F6+'Northeast Tri Pgs 46-47'!F6+'Okanogan Pgs 48-49'!F6+'Pacific Pgs 50-51'!F6+'San Juan Pgs 52-53'!F6+'Skagit Pgs 56-57'!F6+'Skamania Pgs 58-59'!F6+'Snohomish Pgs 60-61'!F6+'Spokane Pgs 62-63'!F6+'Tacoma-Pierce Pgs 64-65'!F6+'Thurston Pgs 66-67'!F6+'Wahkiakum Pgs 68-69'!F6+'Walla Walla Pgs 70-71'!F6+'Whatcom Pgs 72-73'!F6+'Whitman Pgs 74-75'!F6+'Yakima Pgs 76-77'!F6+'Seattle-King Pgs 54-55'!F6</f>
        <v>0</v>
      </c>
      <c r="G6" s="102">
        <f>'Adams Pgs 8-9'!G6+'Asotin Pgs 10-11'!G6+'Benton-Franklin Pgs 12-13'!G6+'Chelan-Douglas Pgs 14-15'!G6+'Clallam Pgs 16-17'!G6+'Clark Pgs 18-19'!G6+'Columbia Pgs 20-21'!G6+'Cowlitz Pgs 22-23'!G6+'Garfield Pgs 24-25'!G6+'Grant Pgs 26-27'!G6+'Grays Harbor Pgs 28-29'!G6+'Island Pgs 30-31'!G6+'Jefferson Pgs 32-33'!G6+'Kitsap Pgs 34-35'!G6+'Kittitas Pgs 36-37'!G6+'Klickitat Pgs 38-39'!G6+'Lewis Pgs 40-41'!G6+'Lincoln Pgs 42-43'!G6+'Mason Pgs 44-45'!G6+'Northeast Tri Pgs 46-47'!G6+'Okanogan Pgs 48-49'!G6+'Pacific Pgs 50-51'!G6+'San Juan Pgs 52-53'!G6+'Skagit Pgs 56-57'!G6+'Skamania Pgs 58-59'!G6+'Snohomish Pgs 60-61'!G6+'Spokane Pgs 62-63'!G6+'Tacoma-Pierce Pgs 64-65'!G6+'Thurston Pgs 66-67'!G6+'Wahkiakum Pgs 68-69'!G6+'Walla Walla Pgs 70-71'!G6+'Whatcom Pgs 72-73'!G6+'Whitman Pgs 74-75'!G6+'Yakima Pgs 76-77'!G6+'Seattle-King Pgs 54-55'!G6</f>
        <v>0</v>
      </c>
      <c r="H6" s="100">
        <f>'Adams Pgs 8-9'!H6+'Asotin Pgs 10-11'!H6+'Benton-Franklin Pgs 12-13'!H6+'Chelan-Douglas Pgs 14-15'!H6+'Clallam Pgs 16-17'!H6+'Clark Pgs 18-19'!H6+'Columbia Pgs 20-21'!H6+'Cowlitz Pgs 22-23'!H6+'Garfield Pgs 24-25'!H6+'Grant Pgs 26-27'!H6+'Grays Harbor Pgs 28-29'!H6+'Island Pgs 30-31'!H6+'Jefferson Pgs 32-33'!H6+'Kitsap Pgs 34-35'!H6+'Kittitas Pgs 36-37'!H6+'Klickitat Pgs 38-39'!H6+'Lewis Pgs 40-41'!H6+'Lincoln Pgs 42-43'!H6+'Mason Pgs 44-45'!H6+'Northeast Tri Pgs 46-47'!H6+'Okanogan Pgs 48-49'!H6+'Pacific Pgs 50-51'!H6+'San Juan Pgs 52-53'!H6+'Skagit Pgs 56-57'!H6+'Skamania Pgs 58-59'!H6+'Snohomish Pgs 60-61'!H6+'Spokane Pgs 62-63'!H6+'Tacoma-Pierce Pgs 64-65'!H6+'Thurston Pgs 66-67'!H6+'Wahkiakum Pgs 68-69'!H6+'Walla Walla Pgs 70-71'!H6+'Whatcom Pgs 72-73'!H6+'Whitman Pgs 74-75'!H6+'Yakima Pgs 76-77'!H6+'Seattle-King Pgs 54-55'!H6</f>
        <v>0</v>
      </c>
      <c r="I6" s="102">
        <f>'Adams Pgs 8-9'!I6+'Asotin Pgs 10-11'!I6+'Benton-Franklin Pgs 12-13'!I6+'Chelan-Douglas Pgs 14-15'!I6+'Clallam Pgs 16-17'!I6+'Clark Pgs 18-19'!I6+'Columbia Pgs 20-21'!I6+'Cowlitz Pgs 22-23'!I6+'Garfield Pgs 24-25'!I6+'Grant Pgs 26-27'!I6+'Grays Harbor Pgs 28-29'!I6+'Island Pgs 30-31'!I6+'Jefferson Pgs 32-33'!I6+'Kitsap Pgs 34-35'!I6+'Kittitas Pgs 36-37'!I6+'Klickitat Pgs 38-39'!I6+'Lewis Pgs 40-41'!I6+'Lincoln Pgs 42-43'!I6+'Mason Pgs 44-45'!I6+'Northeast Tri Pgs 46-47'!I6+'Okanogan Pgs 48-49'!I6+'Pacific Pgs 50-51'!I6+'San Juan Pgs 52-53'!I6+'Snohomish Pgs 60-61'!I6+'Spokane Pgs 62-63'!I6+'Tacoma-Pierce Pgs 64-65'!I6+'Thurston Pgs 66-67'!I6+'Wahkiakum Pgs 68-69'!I6+'Walla Walla Pgs 70-71'!I6+'Whatcom Pgs 72-73'!I6+'Whitman Pgs 74-75'!I6+'Yakima Pgs 76-77'!I6+'Seattle-King Pgs 54-55'!I6+'Skagit Pgs 56-57'!I6+'Skamania Pgs 58-59'!I6</f>
        <v>0</v>
      </c>
      <c r="J6" s="104">
        <f>'Adams Pgs 8-9'!J6+'Asotin Pgs 10-11'!J6+'Benton-Franklin Pgs 12-13'!J6+'Chelan-Douglas Pgs 14-15'!J6+'Clallam Pgs 16-17'!J6+'Clark Pgs 18-19'!J6+'Columbia Pgs 20-21'!J6+'Cowlitz Pgs 22-23'!J6+'Garfield Pgs 24-25'!J6+'Grant Pgs 26-27'!J6+'Grays Harbor Pgs 28-29'!J6+'Island Pgs 30-31'!J6+'Jefferson Pgs 32-33'!J6+'Kitsap Pgs 34-35'!J6+'Kittitas Pgs 36-37'!J6+'Klickitat Pgs 38-39'!J6+'Lewis Pgs 40-41'!J6+'Lincoln Pgs 42-43'!J6+'Mason Pgs 44-45'!J6+'Northeast Tri Pgs 46-47'!J6+'Okanogan Pgs 48-49'!J6+'Pacific Pgs 50-51'!J6+'San Juan Pgs 52-53'!J6+'Skagit Pgs 56-57'!J6+'Skamania Pgs 58-59'!J6+'Snohomish Pgs 60-61'!J6+'Spokane Pgs 62-63'!J6+'Tacoma-Pierce Pgs 64-65'!J6+'Thurston Pgs 66-67'!J6+'Wahkiakum Pgs 68-69'!J6+'Walla Walla Pgs 70-71'!J6+'Whatcom Pgs 72-73'!J6+'Whitman Pgs 74-75'!J6+'Yakima Pgs 76-77'!J6+'Seattle-King Pgs 54-55'!J6</f>
        <v>0</v>
      </c>
      <c r="K6" s="129">
        <f t="shared" ref="K6:K43" si="0">SUM(C6:J6)</f>
        <v>0</v>
      </c>
      <c r="L6"/>
    </row>
    <row r="7" spans="1:12" x14ac:dyDescent="0.35">
      <c r="A7" s="79">
        <v>562.22</v>
      </c>
      <c r="B7" s="28" t="s">
        <v>52</v>
      </c>
      <c r="C7" s="103">
        <f>'Adams Pgs 8-9'!C7+'Asotin Pgs 10-11'!C7+'Benton-Franklin Pgs 12-13'!C7+'Chelan-Douglas Pgs 14-15'!C7+'Clallam Pgs 16-17'!C7+'Clark Pgs 18-19'!C7+'Columbia Pgs 20-21'!C7+'Cowlitz Pgs 22-23'!C7+'Garfield Pgs 24-25'!C7+'Grant Pgs 26-27'!C7+'Grays Harbor Pgs 28-29'!C7+'Island Pgs 30-31'!C7+'Jefferson Pgs 32-33'!C7+'Kitsap Pgs 34-35'!C7+'Kittitas Pgs 36-37'!C7+'Klickitat Pgs 38-39'!C7+'Lewis Pgs 40-41'!C7+'Lincoln Pgs 42-43'!C7+'Mason Pgs 44-45'!C7+'Northeast Tri Pgs 46-47'!C7+'Okanogan Pgs 48-49'!C7+'Pacific Pgs 50-51'!C7+'San Juan Pgs 52-53'!C7+'Skagit Pgs 56-57'!C7+'Skamania Pgs 58-59'!C7+'Snohomish Pgs 60-61'!C7+'Spokane Pgs 62-63'!C7+'Tacoma-Pierce Pgs 64-65'!C7+'Thurston Pgs 66-67'!C7+'Wahkiakum Pgs 68-69'!C7+'Walla Walla Pgs 70-71'!C7+'Whatcom Pgs 72-73'!C7+'Whitman Pgs 74-75'!C7+'Yakima Pgs 76-77'!C7+'Seattle-King Pgs 54-55'!C7</f>
        <v>9927886</v>
      </c>
      <c r="D7" s="102">
        <f>'Adams Pgs 8-9'!D7+'Asotin Pgs 10-11'!D7+'Benton-Franklin Pgs 12-13'!D7+'Chelan-Douglas Pgs 14-15'!D7+'Clallam Pgs 16-17'!D7+'Clark Pgs 18-19'!D7+'Columbia Pgs 20-21'!D7+'Cowlitz Pgs 22-23'!D7+'Garfield Pgs 24-25'!D7+'Grant Pgs 26-27'!D7+'Grays Harbor Pgs 28-29'!D7+'Island Pgs 30-31'!D7+'Jefferson Pgs 32-33'!D7+'Kitsap Pgs 34-35'!D7+'Kittitas Pgs 36-37'!D7+'Klickitat Pgs 38-39'!D7+'Lewis Pgs 40-41'!D7+'Lincoln Pgs 42-43'!D7+'Mason Pgs 44-45'!D7+'Northeast Tri Pgs 46-47'!D7+'Okanogan Pgs 48-49'!D7+'Pacific Pgs 50-51'!D7+'San Juan Pgs 52-53'!D7+'Skagit Pgs 56-57'!D7+'Skamania Pgs 58-59'!D7+'Snohomish Pgs 60-61'!D7+'Spokane Pgs 62-63'!D7+'Tacoma-Pierce Pgs 64-65'!D7+'Thurston Pgs 66-67'!D7+'Wahkiakum Pgs 68-69'!D7+'Walla Walla Pgs 70-71'!D7+'Whatcom Pgs 72-73'!D7+'Whitman Pgs 74-75'!D7+'Yakima Pgs 76-77'!D7+'Seattle-King Pgs 54-55'!D7</f>
        <v>21562564</v>
      </c>
      <c r="E7" s="100">
        <f>'Adams Pgs 8-9'!E7+'Asotin Pgs 10-11'!E7+'Benton-Franklin Pgs 12-13'!E7+'Chelan-Douglas Pgs 14-15'!E7+'Clallam Pgs 16-17'!E7+'Clark Pgs 18-19'!E7+'Columbia Pgs 20-21'!E7+'Cowlitz Pgs 22-23'!E7+'Garfield Pgs 24-25'!E7+'Grant Pgs 26-27'!E7+'Grays Harbor Pgs 28-29'!E7+'Island Pgs 30-31'!E7+'Jefferson Pgs 32-33'!E7+'Kitsap Pgs 34-35'!E7+'Kittitas Pgs 36-37'!E7+'Klickitat Pgs 38-39'!E7+'Lewis Pgs 40-41'!E7+'Lincoln Pgs 42-43'!E7+'Mason Pgs 44-45'!E7+'Northeast Tri Pgs 46-47'!E7+'Okanogan Pgs 48-49'!E7+'Pacific Pgs 50-51'!E7+'San Juan Pgs 52-53'!E7+'Skagit Pgs 56-57'!E7+'Skamania Pgs 58-59'!E7+'Snohomish Pgs 60-61'!E7+'Spokane Pgs 62-63'!E7+'Tacoma-Pierce Pgs 64-65'!E7+'Thurston Pgs 66-67'!E7+'Wahkiakum Pgs 68-69'!E7+'Walla Walla Pgs 70-71'!E7+'Whatcom Pgs 72-73'!E7+'Whitman Pgs 74-75'!E7+'Yakima Pgs 76-77'!E7+'Seattle-King Pgs 54-55'!E7</f>
        <v>0</v>
      </c>
      <c r="F7" s="101">
        <f>'Adams Pgs 8-9'!F7+'Asotin Pgs 10-11'!F7+'Benton-Franklin Pgs 12-13'!F7+'Chelan-Douglas Pgs 14-15'!F7+'Clallam Pgs 16-17'!F7+'Clark Pgs 18-19'!F7+'Columbia Pgs 20-21'!F7+'Cowlitz Pgs 22-23'!F7+'Garfield Pgs 24-25'!F7+'Grant Pgs 26-27'!F7+'Grays Harbor Pgs 28-29'!F7+'Island Pgs 30-31'!F7+'Jefferson Pgs 32-33'!F7+'Kitsap Pgs 34-35'!F7+'Kittitas Pgs 36-37'!F7+'Klickitat Pgs 38-39'!F7+'Lewis Pgs 40-41'!F7+'Lincoln Pgs 42-43'!F7+'Mason Pgs 44-45'!F7+'Northeast Tri Pgs 46-47'!F7+'Okanogan Pgs 48-49'!F7+'Pacific Pgs 50-51'!F7+'San Juan Pgs 52-53'!F7+'Skagit Pgs 56-57'!F7+'Skamania Pgs 58-59'!F7+'Snohomish Pgs 60-61'!F7+'Spokane Pgs 62-63'!F7+'Tacoma-Pierce Pgs 64-65'!F7+'Thurston Pgs 66-67'!F7+'Wahkiakum Pgs 68-69'!F7+'Walla Walla Pgs 70-71'!F7+'Whatcom Pgs 72-73'!F7+'Whitman Pgs 74-75'!F7+'Yakima Pgs 76-77'!F7+'Seattle-King Pgs 54-55'!F7</f>
        <v>5151603</v>
      </c>
      <c r="G7" s="102">
        <f>'Adams Pgs 8-9'!G7+'Asotin Pgs 10-11'!G7+'Benton-Franklin Pgs 12-13'!G7+'Chelan-Douglas Pgs 14-15'!G7+'Clallam Pgs 16-17'!G7+'Clark Pgs 18-19'!G7+'Columbia Pgs 20-21'!G7+'Cowlitz Pgs 22-23'!G7+'Garfield Pgs 24-25'!G7+'Grant Pgs 26-27'!G7+'Grays Harbor Pgs 28-29'!G7+'Island Pgs 30-31'!G7+'Jefferson Pgs 32-33'!G7+'Kitsap Pgs 34-35'!G7+'Kittitas Pgs 36-37'!G7+'Klickitat Pgs 38-39'!G7+'Lewis Pgs 40-41'!G7+'Lincoln Pgs 42-43'!G7+'Mason Pgs 44-45'!G7+'Northeast Tri Pgs 46-47'!G7+'Okanogan Pgs 48-49'!G7+'Pacific Pgs 50-51'!G7+'San Juan Pgs 52-53'!G7+'Skagit Pgs 56-57'!G7+'Skamania Pgs 58-59'!G7+'Snohomish Pgs 60-61'!G7+'Spokane Pgs 62-63'!G7+'Tacoma-Pierce Pgs 64-65'!G7+'Thurston Pgs 66-67'!G7+'Wahkiakum Pgs 68-69'!G7+'Walla Walla Pgs 70-71'!G7+'Whatcom Pgs 72-73'!G7+'Whitman Pgs 74-75'!G7+'Yakima Pgs 76-77'!G7+'Seattle-King Pgs 54-55'!G7</f>
        <v>2059838</v>
      </c>
      <c r="H7" s="100">
        <f>'Adams Pgs 8-9'!H7+'Asotin Pgs 10-11'!H7+'Benton-Franklin Pgs 12-13'!H7+'Chelan-Douglas Pgs 14-15'!H7+'Clallam Pgs 16-17'!H7+'Clark Pgs 18-19'!H7+'Columbia Pgs 20-21'!H7+'Cowlitz Pgs 22-23'!H7+'Garfield Pgs 24-25'!H7+'Grant Pgs 26-27'!H7+'Grays Harbor Pgs 28-29'!H7+'Island Pgs 30-31'!H7+'Jefferson Pgs 32-33'!H7+'Kitsap Pgs 34-35'!H7+'Kittitas Pgs 36-37'!H7+'Klickitat Pgs 38-39'!H7+'Lewis Pgs 40-41'!H7+'Lincoln Pgs 42-43'!H7+'Mason Pgs 44-45'!H7+'Northeast Tri Pgs 46-47'!H7+'Okanogan Pgs 48-49'!H7+'Pacific Pgs 50-51'!H7+'San Juan Pgs 52-53'!H7+'Skagit Pgs 56-57'!H7+'Skamania Pgs 58-59'!H7+'Snohomish Pgs 60-61'!H7+'Spokane Pgs 62-63'!H7+'Tacoma-Pierce Pgs 64-65'!H7+'Thurston Pgs 66-67'!H7+'Wahkiakum Pgs 68-69'!H7+'Walla Walla Pgs 70-71'!H7+'Whatcom Pgs 72-73'!H7+'Whitman Pgs 74-75'!H7+'Yakima Pgs 76-77'!H7+'Seattle-King Pgs 54-55'!H7</f>
        <v>4256813</v>
      </c>
      <c r="I7" s="102">
        <f>'Adams Pgs 8-9'!I7+'Asotin Pgs 10-11'!I7+'Benton-Franklin Pgs 12-13'!I7+'Chelan-Douglas Pgs 14-15'!I7+'Clallam Pgs 16-17'!I7+'Clark Pgs 18-19'!I7+'Columbia Pgs 20-21'!I7+'Cowlitz Pgs 22-23'!I7+'Garfield Pgs 24-25'!I7+'Grant Pgs 26-27'!I7+'Grays Harbor Pgs 28-29'!I7+'Island Pgs 30-31'!I7+'Jefferson Pgs 32-33'!I7+'Kitsap Pgs 34-35'!I7+'Kittitas Pgs 36-37'!I7+'Klickitat Pgs 38-39'!I7+'Lewis Pgs 40-41'!I7+'Lincoln Pgs 42-43'!I7+'Mason Pgs 44-45'!I7+'Northeast Tri Pgs 46-47'!I7+'Okanogan Pgs 48-49'!I7+'Pacific Pgs 50-51'!I7+'San Juan Pgs 52-53'!I7+'Snohomish Pgs 60-61'!I7+'Spokane Pgs 62-63'!I7+'Tacoma-Pierce Pgs 64-65'!I7+'Thurston Pgs 66-67'!I7+'Wahkiakum Pgs 68-69'!I7+'Walla Walla Pgs 70-71'!I7+'Whatcom Pgs 72-73'!I7+'Whitman Pgs 74-75'!I7+'Yakima Pgs 76-77'!I7+'Seattle-King Pgs 54-55'!I7+'Skagit Pgs 56-57'!I7+'Skamania Pgs 58-59'!I7</f>
        <v>3990423</v>
      </c>
      <c r="J7" s="104">
        <f>'Adams Pgs 8-9'!J7+'Asotin Pgs 10-11'!J7+'Benton-Franklin Pgs 12-13'!J7+'Chelan-Douglas Pgs 14-15'!J7+'Clallam Pgs 16-17'!J7+'Clark Pgs 18-19'!J7+'Columbia Pgs 20-21'!J7+'Cowlitz Pgs 22-23'!J7+'Garfield Pgs 24-25'!J7+'Grant Pgs 26-27'!J7+'Grays Harbor Pgs 28-29'!J7+'Island Pgs 30-31'!J7+'Jefferson Pgs 32-33'!J7+'Kitsap Pgs 34-35'!J7+'Kittitas Pgs 36-37'!J7+'Klickitat Pgs 38-39'!J7+'Lewis Pgs 40-41'!J7+'Lincoln Pgs 42-43'!J7+'Mason Pgs 44-45'!J7+'Northeast Tri Pgs 46-47'!J7+'Okanogan Pgs 48-49'!J7+'Pacific Pgs 50-51'!J7+'San Juan Pgs 52-53'!J7+'Skagit Pgs 56-57'!J7+'Skamania Pgs 58-59'!J7+'Snohomish Pgs 60-61'!J7+'Spokane Pgs 62-63'!J7+'Tacoma-Pierce Pgs 64-65'!J7+'Thurston Pgs 66-67'!J7+'Wahkiakum Pgs 68-69'!J7+'Walla Walla Pgs 70-71'!J7+'Whatcom Pgs 72-73'!J7+'Whitman Pgs 74-75'!J7+'Yakima Pgs 76-77'!J7+'Seattle-King Pgs 54-55'!J7</f>
        <v>657582</v>
      </c>
      <c r="K7" s="129">
        <f t="shared" si="0"/>
        <v>47606709</v>
      </c>
      <c r="L7"/>
    </row>
    <row r="8" spans="1:12" x14ac:dyDescent="0.35">
      <c r="A8" s="79">
        <v>562.24</v>
      </c>
      <c r="B8" s="16" t="s">
        <v>11</v>
      </c>
      <c r="C8" s="103">
        <f>'Adams Pgs 8-9'!C8+'Asotin Pgs 10-11'!C8+'Benton-Franklin Pgs 12-13'!C8+'Chelan-Douglas Pgs 14-15'!C8+'Clallam Pgs 16-17'!C8+'Clark Pgs 18-19'!C8+'Columbia Pgs 20-21'!C8+'Cowlitz Pgs 22-23'!C8+'Garfield Pgs 24-25'!C8+'Grant Pgs 26-27'!C8+'Grays Harbor Pgs 28-29'!C8+'Island Pgs 30-31'!C8+'Jefferson Pgs 32-33'!C8+'Kitsap Pgs 34-35'!C8+'Kittitas Pgs 36-37'!C8+'Klickitat Pgs 38-39'!C8+'Lewis Pgs 40-41'!C8+'Lincoln Pgs 42-43'!C8+'Mason Pgs 44-45'!C8+'Northeast Tri Pgs 46-47'!C8+'Okanogan Pgs 48-49'!C8+'Pacific Pgs 50-51'!C8+'San Juan Pgs 52-53'!C8+'Skagit Pgs 56-57'!C8+'Skamania Pgs 58-59'!C8+'Snohomish Pgs 60-61'!C8+'Spokane Pgs 62-63'!C8+'Tacoma-Pierce Pgs 64-65'!C8+'Thurston Pgs 66-67'!C8+'Wahkiakum Pgs 68-69'!C8+'Walla Walla Pgs 70-71'!C8+'Whatcom Pgs 72-73'!C8+'Whitman Pgs 74-75'!C8+'Yakima Pgs 76-77'!C8+'Seattle-King Pgs 54-55'!C8</f>
        <v>3557923</v>
      </c>
      <c r="D8" s="102">
        <f>'Adams Pgs 8-9'!D8+'Asotin Pgs 10-11'!D8+'Benton-Franklin Pgs 12-13'!D8+'Chelan-Douglas Pgs 14-15'!D8+'Clallam Pgs 16-17'!D8+'Clark Pgs 18-19'!D8+'Columbia Pgs 20-21'!D8+'Cowlitz Pgs 22-23'!D8+'Garfield Pgs 24-25'!D8+'Grant Pgs 26-27'!D8+'Grays Harbor Pgs 28-29'!D8+'Island Pgs 30-31'!D8+'Jefferson Pgs 32-33'!D8+'Kitsap Pgs 34-35'!D8+'Kittitas Pgs 36-37'!D8+'Klickitat Pgs 38-39'!D8+'Lewis Pgs 40-41'!D8+'Lincoln Pgs 42-43'!D8+'Mason Pgs 44-45'!D8+'Northeast Tri Pgs 46-47'!D8+'Okanogan Pgs 48-49'!D8+'Pacific Pgs 50-51'!D8+'San Juan Pgs 52-53'!D8+'Skagit Pgs 56-57'!D8+'Skamania Pgs 58-59'!D8+'Snohomish Pgs 60-61'!D8+'Spokane Pgs 62-63'!D8+'Tacoma-Pierce Pgs 64-65'!D8+'Thurston Pgs 66-67'!D8+'Wahkiakum Pgs 68-69'!D8+'Walla Walla Pgs 70-71'!D8+'Whatcom Pgs 72-73'!D8+'Whitman Pgs 74-75'!D8+'Yakima Pgs 76-77'!D8+'Seattle-King Pgs 54-55'!D8</f>
        <v>12459309</v>
      </c>
      <c r="E8" s="100">
        <f>'Adams Pgs 8-9'!E8+'Asotin Pgs 10-11'!E8+'Benton-Franklin Pgs 12-13'!E8+'Chelan-Douglas Pgs 14-15'!E8+'Clallam Pgs 16-17'!E8+'Clark Pgs 18-19'!E8+'Columbia Pgs 20-21'!E8+'Cowlitz Pgs 22-23'!E8+'Garfield Pgs 24-25'!E8+'Grant Pgs 26-27'!E8+'Grays Harbor Pgs 28-29'!E8+'Island Pgs 30-31'!E8+'Jefferson Pgs 32-33'!E8+'Kitsap Pgs 34-35'!E8+'Kittitas Pgs 36-37'!E8+'Klickitat Pgs 38-39'!E8+'Lewis Pgs 40-41'!E8+'Lincoln Pgs 42-43'!E8+'Mason Pgs 44-45'!E8+'Northeast Tri Pgs 46-47'!E8+'Okanogan Pgs 48-49'!E8+'Pacific Pgs 50-51'!E8+'San Juan Pgs 52-53'!E8+'Skagit Pgs 56-57'!E8+'Skamania Pgs 58-59'!E8+'Snohomish Pgs 60-61'!E8+'Spokane Pgs 62-63'!E8+'Tacoma-Pierce Pgs 64-65'!E8+'Thurston Pgs 66-67'!E8+'Wahkiakum Pgs 68-69'!E8+'Walla Walla Pgs 70-71'!E8+'Whatcom Pgs 72-73'!E8+'Whitman Pgs 74-75'!E8+'Yakima Pgs 76-77'!E8+'Seattle-King Pgs 54-55'!E8</f>
        <v>0</v>
      </c>
      <c r="F8" s="101">
        <f>'Adams Pgs 8-9'!F8+'Asotin Pgs 10-11'!F8+'Benton-Franklin Pgs 12-13'!F8+'Chelan-Douglas Pgs 14-15'!F8+'Clallam Pgs 16-17'!F8+'Clark Pgs 18-19'!F8+'Columbia Pgs 20-21'!F8+'Cowlitz Pgs 22-23'!F8+'Garfield Pgs 24-25'!F8+'Grant Pgs 26-27'!F8+'Grays Harbor Pgs 28-29'!F8+'Island Pgs 30-31'!F8+'Jefferson Pgs 32-33'!F8+'Kitsap Pgs 34-35'!F8+'Kittitas Pgs 36-37'!F8+'Klickitat Pgs 38-39'!F8+'Lewis Pgs 40-41'!F8+'Lincoln Pgs 42-43'!F8+'Mason Pgs 44-45'!F8+'Northeast Tri Pgs 46-47'!F8+'Okanogan Pgs 48-49'!F8+'Pacific Pgs 50-51'!F8+'San Juan Pgs 52-53'!F8+'Skagit Pgs 56-57'!F8+'Skamania Pgs 58-59'!F8+'Snohomish Pgs 60-61'!F8+'Spokane Pgs 62-63'!F8+'Tacoma-Pierce Pgs 64-65'!F8+'Thurston Pgs 66-67'!F8+'Wahkiakum Pgs 68-69'!F8+'Walla Walla Pgs 70-71'!F8+'Whatcom Pgs 72-73'!F8+'Whitman Pgs 74-75'!F8+'Yakima Pgs 76-77'!F8+'Seattle-King Pgs 54-55'!F8</f>
        <v>141596</v>
      </c>
      <c r="G8" s="102">
        <f>'Adams Pgs 8-9'!G8+'Asotin Pgs 10-11'!G8+'Benton-Franklin Pgs 12-13'!G8+'Chelan-Douglas Pgs 14-15'!G8+'Clallam Pgs 16-17'!G8+'Clark Pgs 18-19'!G8+'Columbia Pgs 20-21'!G8+'Cowlitz Pgs 22-23'!G8+'Garfield Pgs 24-25'!G8+'Grant Pgs 26-27'!G8+'Grays Harbor Pgs 28-29'!G8+'Island Pgs 30-31'!G8+'Jefferson Pgs 32-33'!G8+'Kitsap Pgs 34-35'!G8+'Kittitas Pgs 36-37'!G8+'Klickitat Pgs 38-39'!G8+'Lewis Pgs 40-41'!G8+'Lincoln Pgs 42-43'!G8+'Mason Pgs 44-45'!G8+'Northeast Tri Pgs 46-47'!G8+'Okanogan Pgs 48-49'!G8+'Pacific Pgs 50-51'!G8+'San Juan Pgs 52-53'!G8+'Skagit Pgs 56-57'!G8+'Skamania Pgs 58-59'!G8+'Snohomish Pgs 60-61'!G8+'Spokane Pgs 62-63'!G8+'Tacoma-Pierce Pgs 64-65'!G8+'Thurston Pgs 66-67'!G8+'Wahkiakum Pgs 68-69'!G8+'Walla Walla Pgs 70-71'!G8+'Whatcom Pgs 72-73'!G8+'Whitman Pgs 74-75'!G8+'Yakima Pgs 76-77'!G8+'Seattle-King Pgs 54-55'!G8</f>
        <v>236603</v>
      </c>
      <c r="H8" s="105">
        <f>'Adams Pgs 8-9'!H8+'Asotin Pgs 10-11'!H8+'Benton-Franklin Pgs 12-13'!H8+'Chelan-Douglas Pgs 14-15'!H8+'Clallam Pgs 16-17'!H8+'Clark Pgs 18-19'!H8+'Columbia Pgs 20-21'!H8+'Cowlitz Pgs 22-23'!H8+'Garfield Pgs 24-25'!H8+'Grant Pgs 26-27'!H8+'Grays Harbor Pgs 28-29'!H8+'Island Pgs 30-31'!H8+'Jefferson Pgs 32-33'!H8+'Kitsap Pgs 34-35'!H8+'Kittitas Pgs 36-37'!H8+'Klickitat Pgs 38-39'!H8+'Lewis Pgs 40-41'!H8+'Lincoln Pgs 42-43'!H8+'Mason Pgs 44-45'!H8+'Northeast Tri Pgs 46-47'!H8+'Okanogan Pgs 48-49'!H8+'Pacific Pgs 50-51'!H8+'San Juan Pgs 52-53'!H8+'Skagit Pgs 56-57'!H8+'Skamania Pgs 58-59'!H8+'Snohomish Pgs 60-61'!H8+'Spokane Pgs 62-63'!H8+'Tacoma-Pierce Pgs 64-65'!H8+'Thurston Pgs 66-67'!H8+'Wahkiakum Pgs 68-69'!H8+'Walla Walla Pgs 70-71'!H8+'Whatcom Pgs 72-73'!H8+'Whitman Pgs 74-75'!H8+'Yakima Pgs 76-77'!H8+'Seattle-King Pgs 54-55'!H8</f>
        <v>148</v>
      </c>
      <c r="I8" s="106">
        <f>'Adams Pgs 8-9'!I8+'Asotin Pgs 10-11'!I8+'Benton-Franklin Pgs 12-13'!I8+'Chelan-Douglas Pgs 14-15'!I8+'Clallam Pgs 16-17'!I8+'Clark Pgs 18-19'!I8+'Columbia Pgs 20-21'!I8+'Cowlitz Pgs 22-23'!I8+'Garfield Pgs 24-25'!I8+'Grant Pgs 26-27'!I8+'Grays Harbor Pgs 28-29'!I8+'Island Pgs 30-31'!I8+'Jefferson Pgs 32-33'!I8+'Kitsap Pgs 34-35'!I8+'Kittitas Pgs 36-37'!I8+'Klickitat Pgs 38-39'!I8+'Lewis Pgs 40-41'!I8+'Lincoln Pgs 42-43'!I8+'Mason Pgs 44-45'!I8+'Northeast Tri Pgs 46-47'!I8+'Okanogan Pgs 48-49'!I8+'Pacific Pgs 50-51'!I8+'San Juan Pgs 52-53'!I8+'Snohomish Pgs 60-61'!I8+'Spokane Pgs 62-63'!I8+'Tacoma-Pierce Pgs 64-65'!I8+'Thurston Pgs 66-67'!I8+'Wahkiakum Pgs 68-69'!I8+'Walla Walla Pgs 70-71'!I8+'Whatcom Pgs 72-73'!I8+'Whitman Pgs 74-75'!I8+'Yakima Pgs 76-77'!I8+'Seattle-King Pgs 54-55'!I8+'Skagit Pgs 56-57'!I8+'Skamania Pgs 58-59'!I8</f>
        <v>772180</v>
      </c>
      <c r="J8" s="104">
        <f>'Adams Pgs 8-9'!J8+'Asotin Pgs 10-11'!J8+'Benton-Franklin Pgs 12-13'!J8+'Chelan-Douglas Pgs 14-15'!J8+'Clallam Pgs 16-17'!J8+'Clark Pgs 18-19'!J8+'Columbia Pgs 20-21'!J8+'Cowlitz Pgs 22-23'!J8+'Garfield Pgs 24-25'!J8+'Grant Pgs 26-27'!J8+'Grays Harbor Pgs 28-29'!J8+'Island Pgs 30-31'!J8+'Jefferson Pgs 32-33'!J8+'Kitsap Pgs 34-35'!J8+'Kittitas Pgs 36-37'!J8+'Klickitat Pgs 38-39'!J8+'Lewis Pgs 40-41'!J8+'Lincoln Pgs 42-43'!J8+'Mason Pgs 44-45'!J8+'Northeast Tri Pgs 46-47'!J8+'Okanogan Pgs 48-49'!J8+'Pacific Pgs 50-51'!J8+'San Juan Pgs 52-53'!J8+'Skagit Pgs 56-57'!J8+'Skamania Pgs 58-59'!J8+'Snohomish Pgs 60-61'!J8+'Spokane Pgs 62-63'!J8+'Tacoma-Pierce Pgs 64-65'!J8+'Thurston Pgs 66-67'!J8+'Wahkiakum Pgs 68-69'!J8+'Walla Walla Pgs 70-71'!J8+'Whatcom Pgs 72-73'!J8+'Whitman Pgs 74-75'!J8+'Yakima Pgs 76-77'!J8+'Seattle-King Pgs 54-55'!J8</f>
        <v>32171</v>
      </c>
      <c r="K8" s="129">
        <f t="shared" si="0"/>
        <v>17199930</v>
      </c>
      <c r="L8"/>
    </row>
    <row r="9" spans="1:12" x14ac:dyDescent="0.35">
      <c r="A9" s="79">
        <v>562.25</v>
      </c>
      <c r="B9" s="28" t="s">
        <v>53</v>
      </c>
      <c r="C9" s="103">
        <f>'Adams Pgs 8-9'!C9+'Asotin Pgs 10-11'!C9+'Benton-Franklin Pgs 12-13'!C9+'Chelan-Douglas Pgs 14-15'!C9+'Clallam Pgs 16-17'!C9+'Clark Pgs 18-19'!C9+'Columbia Pgs 20-21'!C9+'Cowlitz Pgs 22-23'!C9+'Garfield Pgs 24-25'!C9+'Grant Pgs 26-27'!C9+'Grays Harbor Pgs 28-29'!C9+'Island Pgs 30-31'!C9+'Jefferson Pgs 32-33'!C9+'Kitsap Pgs 34-35'!C9+'Kittitas Pgs 36-37'!C9+'Klickitat Pgs 38-39'!C9+'Lewis Pgs 40-41'!C9+'Lincoln Pgs 42-43'!C9+'Mason Pgs 44-45'!C9+'Northeast Tri Pgs 46-47'!C9+'Okanogan Pgs 48-49'!C9+'Pacific Pgs 50-51'!C9+'San Juan Pgs 52-53'!C9+'Skagit Pgs 56-57'!C9+'Skamania Pgs 58-59'!C9+'Snohomish Pgs 60-61'!C9+'Spokane Pgs 62-63'!C9+'Tacoma-Pierce Pgs 64-65'!C9+'Thurston Pgs 66-67'!C9+'Wahkiakum Pgs 68-69'!C9+'Walla Walla Pgs 70-71'!C9+'Whatcom Pgs 72-73'!C9+'Whitman Pgs 74-75'!C9+'Yakima Pgs 76-77'!C9+'Seattle-King Pgs 54-55'!C9</f>
        <v>303025</v>
      </c>
      <c r="D9" s="102">
        <f>'Adams Pgs 8-9'!D9+'Asotin Pgs 10-11'!D9+'Benton-Franklin Pgs 12-13'!D9+'Chelan-Douglas Pgs 14-15'!D9+'Clallam Pgs 16-17'!D9+'Clark Pgs 18-19'!D9+'Columbia Pgs 20-21'!D9+'Cowlitz Pgs 22-23'!D9+'Garfield Pgs 24-25'!D9+'Grant Pgs 26-27'!D9+'Grays Harbor Pgs 28-29'!D9+'Island Pgs 30-31'!D9+'Jefferson Pgs 32-33'!D9+'Kitsap Pgs 34-35'!D9+'Kittitas Pgs 36-37'!D9+'Klickitat Pgs 38-39'!D9+'Lewis Pgs 40-41'!D9+'Lincoln Pgs 42-43'!D9+'Mason Pgs 44-45'!D9+'Northeast Tri Pgs 46-47'!D9+'Okanogan Pgs 48-49'!D9+'Pacific Pgs 50-51'!D9+'San Juan Pgs 52-53'!D9+'Skagit Pgs 56-57'!D9+'Skamania Pgs 58-59'!D9+'Snohomish Pgs 60-61'!D9+'Spokane Pgs 62-63'!D9+'Tacoma-Pierce Pgs 64-65'!D9+'Thurston Pgs 66-67'!D9+'Wahkiakum Pgs 68-69'!D9+'Walla Walla Pgs 70-71'!D9+'Whatcom Pgs 72-73'!D9+'Whitman Pgs 74-75'!D9+'Yakima Pgs 76-77'!D9+'Seattle-King Pgs 54-55'!D9</f>
        <v>302554</v>
      </c>
      <c r="E9" s="100">
        <f>'Adams Pgs 8-9'!E9+'Asotin Pgs 10-11'!E9+'Benton-Franklin Pgs 12-13'!E9+'Chelan-Douglas Pgs 14-15'!E9+'Clallam Pgs 16-17'!E9+'Clark Pgs 18-19'!E9+'Columbia Pgs 20-21'!E9+'Cowlitz Pgs 22-23'!E9+'Garfield Pgs 24-25'!E9+'Grant Pgs 26-27'!E9+'Grays Harbor Pgs 28-29'!E9+'Island Pgs 30-31'!E9+'Jefferson Pgs 32-33'!E9+'Kitsap Pgs 34-35'!E9+'Kittitas Pgs 36-37'!E9+'Klickitat Pgs 38-39'!E9+'Lewis Pgs 40-41'!E9+'Lincoln Pgs 42-43'!E9+'Mason Pgs 44-45'!E9+'Northeast Tri Pgs 46-47'!E9+'Okanogan Pgs 48-49'!E9+'Pacific Pgs 50-51'!E9+'San Juan Pgs 52-53'!E9+'Skagit Pgs 56-57'!E9+'Skamania Pgs 58-59'!E9+'Snohomish Pgs 60-61'!E9+'Spokane Pgs 62-63'!E9+'Tacoma-Pierce Pgs 64-65'!E9+'Thurston Pgs 66-67'!E9+'Wahkiakum Pgs 68-69'!E9+'Walla Walla Pgs 70-71'!E9+'Whatcom Pgs 72-73'!E9+'Whitman Pgs 74-75'!E9+'Yakima Pgs 76-77'!E9+'Seattle-King Pgs 54-55'!E9</f>
        <v>4867</v>
      </c>
      <c r="F9" s="101">
        <f>'Adams Pgs 8-9'!F9+'Asotin Pgs 10-11'!F9+'Benton-Franklin Pgs 12-13'!F9+'Chelan-Douglas Pgs 14-15'!F9+'Clallam Pgs 16-17'!F9+'Clark Pgs 18-19'!F9+'Columbia Pgs 20-21'!F9+'Cowlitz Pgs 22-23'!F9+'Garfield Pgs 24-25'!F9+'Grant Pgs 26-27'!F9+'Grays Harbor Pgs 28-29'!F9+'Island Pgs 30-31'!F9+'Jefferson Pgs 32-33'!F9+'Kitsap Pgs 34-35'!F9+'Kittitas Pgs 36-37'!F9+'Klickitat Pgs 38-39'!F9+'Lewis Pgs 40-41'!F9+'Lincoln Pgs 42-43'!F9+'Mason Pgs 44-45'!F9+'Northeast Tri Pgs 46-47'!F9+'Okanogan Pgs 48-49'!F9+'Pacific Pgs 50-51'!F9+'San Juan Pgs 52-53'!F9+'Skagit Pgs 56-57'!F9+'Skamania Pgs 58-59'!F9+'Snohomish Pgs 60-61'!F9+'Spokane Pgs 62-63'!F9+'Tacoma-Pierce Pgs 64-65'!F9+'Thurston Pgs 66-67'!F9+'Wahkiakum Pgs 68-69'!F9+'Walla Walla Pgs 70-71'!F9+'Whatcom Pgs 72-73'!F9+'Whitman Pgs 74-75'!F9+'Yakima Pgs 76-77'!F9+'Seattle-King Pgs 54-55'!F9</f>
        <v>369743</v>
      </c>
      <c r="G9" s="102">
        <f>'Adams Pgs 8-9'!G9+'Asotin Pgs 10-11'!G9+'Benton-Franklin Pgs 12-13'!G9+'Chelan-Douglas Pgs 14-15'!G9+'Clallam Pgs 16-17'!G9+'Clark Pgs 18-19'!G9+'Columbia Pgs 20-21'!G9+'Cowlitz Pgs 22-23'!G9+'Garfield Pgs 24-25'!G9+'Grant Pgs 26-27'!G9+'Grays Harbor Pgs 28-29'!G9+'Island Pgs 30-31'!G9+'Jefferson Pgs 32-33'!G9+'Kitsap Pgs 34-35'!G9+'Kittitas Pgs 36-37'!G9+'Klickitat Pgs 38-39'!G9+'Lewis Pgs 40-41'!G9+'Lincoln Pgs 42-43'!G9+'Mason Pgs 44-45'!G9+'Northeast Tri Pgs 46-47'!G9+'Okanogan Pgs 48-49'!G9+'Pacific Pgs 50-51'!G9+'San Juan Pgs 52-53'!G9+'Skagit Pgs 56-57'!G9+'Skamania Pgs 58-59'!G9+'Snohomish Pgs 60-61'!G9+'Spokane Pgs 62-63'!G9+'Tacoma-Pierce Pgs 64-65'!G9+'Thurston Pgs 66-67'!G9+'Wahkiakum Pgs 68-69'!G9+'Walla Walla Pgs 70-71'!G9+'Whatcom Pgs 72-73'!G9+'Whitman Pgs 74-75'!G9+'Yakima Pgs 76-77'!G9+'Seattle-King Pgs 54-55'!G9</f>
        <v>4442105</v>
      </c>
      <c r="H9" s="100">
        <f>'Adams Pgs 8-9'!H9+'Asotin Pgs 10-11'!H9+'Benton-Franklin Pgs 12-13'!H9+'Chelan-Douglas Pgs 14-15'!H9+'Clallam Pgs 16-17'!H9+'Clark Pgs 18-19'!H9+'Columbia Pgs 20-21'!H9+'Cowlitz Pgs 22-23'!H9+'Garfield Pgs 24-25'!H9+'Grant Pgs 26-27'!H9+'Grays Harbor Pgs 28-29'!H9+'Island Pgs 30-31'!H9+'Jefferson Pgs 32-33'!H9+'Kitsap Pgs 34-35'!H9+'Kittitas Pgs 36-37'!H9+'Klickitat Pgs 38-39'!H9+'Lewis Pgs 40-41'!H9+'Lincoln Pgs 42-43'!H9+'Mason Pgs 44-45'!H9+'Northeast Tri Pgs 46-47'!H9+'Okanogan Pgs 48-49'!H9+'Pacific Pgs 50-51'!H9+'San Juan Pgs 52-53'!H9+'Skagit Pgs 56-57'!H9+'Skamania Pgs 58-59'!H9+'Snohomish Pgs 60-61'!H9+'Spokane Pgs 62-63'!H9+'Tacoma-Pierce Pgs 64-65'!H9+'Thurston Pgs 66-67'!H9+'Wahkiakum Pgs 68-69'!H9+'Walla Walla Pgs 70-71'!H9+'Whatcom Pgs 72-73'!H9+'Whitman Pgs 74-75'!H9+'Yakima Pgs 76-77'!H9+'Seattle-King Pgs 54-55'!H9</f>
        <v>1443321</v>
      </c>
      <c r="I9" s="102">
        <f>'Adams Pgs 8-9'!I9+'Asotin Pgs 10-11'!I9+'Benton-Franklin Pgs 12-13'!I9+'Chelan-Douglas Pgs 14-15'!I9+'Clallam Pgs 16-17'!I9+'Clark Pgs 18-19'!I9+'Columbia Pgs 20-21'!I9+'Cowlitz Pgs 22-23'!I9+'Garfield Pgs 24-25'!I9+'Grant Pgs 26-27'!I9+'Grays Harbor Pgs 28-29'!I9+'Island Pgs 30-31'!I9+'Jefferson Pgs 32-33'!I9+'Kitsap Pgs 34-35'!I9+'Kittitas Pgs 36-37'!I9+'Klickitat Pgs 38-39'!I9+'Lewis Pgs 40-41'!I9+'Lincoln Pgs 42-43'!I9+'Mason Pgs 44-45'!I9+'Northeast Tri Pgs 46-47'!I9+'Okanogan Pgs 48-49'!I9+'Pacific Pgs 50-51'!I9+'San Juan Pgs 52-53'!I9+'Snohomish Pgs 60-61'!I9+'Spokane Pgs 62-63'!I9+'Tacoma-Pierce Pgs 64-65'!I9+'Thurston Pgs 66-67'!I9+'Wahkiakum Pgs 68-69'!I9+'Walla Walla Pgs 70-71'!I9+'Whatcom Pgs 72-73'!I9+'Whitman Pgs 74-75'!I9+'Yakima Pgs 76-77'!I9+'Seattle-King Pgs 54-55'!I9+'Skagit Pgs 56-57'!I9+'Skamania Pgs 58-59'!I9</f>
        <v>764318</v>
      </c>
      <c r="J9" s="104">
        <f>'Adams Pgs 8-9'!J9+'Asotin Pgs 10-11'!J9+'Benton-Franklin Pgs 12-13'!J9+'Chelan-Douglas Pgs 14-15'!J9+'Clallam Pgs 16-17'!J9+'Clark Pgs 18-19'!J9+'Columbia Pgs 20-21'!J9+'Cowlitz Pgs 22-23'!J9+'Garfield Pgs 24-25'!J9+'Grant Pgs 26-27'!J9+'Grays Harbor Pgs 28-29'!J9+'Island Pgs 30-31'!J9+'Jefferson Pgs 32-33'!J9+'Kitsap Pgs 34-35'!J9+'Kittitas Pgs 36-37'!J9+'Klickitat Pgs 38-39'!J9+'Lewis Pgs 40-41'!J9+'Lincoln Pgs 42-43'!J9+'Mason Pgs 44-45'!J9+'Northeast Tri Pgs 46-47'!J9+'Okanogan Pgs 48-49'!J9+'Pacific Pgs 50-51'!J9+'San Juan Pgs 52-53'!J9+'Skagit Pgs 56-57'!J9+'Skamania Pgs 58-59'!J9+'Snohomish Pgs 60-61'!J9+'Spokane Pgs 62-63'!J9+'Tacoma-Pierce Pgs 64-65'!J9+'Thurston Pgs 66-67'!J9+'Wahkiakum Pgs 68-69'!J9+'Walla Walla Pgs 70-71'!J9+'Whatcom Pgs 72-73'!J9+'Whitman Pgs 74-75'!J9+'Yakima Pgs 76-77'!J9+'Seattle-King Pgs 54-55'!J9</f>
        <v>4818</v>
      </c>
      <c r="K9" s="129">
        <f t="shared" si="0"/>
        <v>7634751</v>
      </c>
      <c r="L9"/>
    </row>
    <row r="10" spans="1:12" x14ac:dyDescent="0.35">
      <c r="A10" s="79">
        <v>562.26</v>
      </c>
      <c r="B10" s="28" t="s">
        <v>44</v>
      </c>
      <c r="C10" s="103">
        <f>'Adams Pgs 8-9'!C10+'Asotin Pgs 10-11'!C10+'Benton-Franklin Pgs 12-13'!C10+'Chelan-Douglas Pgs 14-15'!C10+'Clallam Pgs 16-17'!C10+'Clark Pgs 18-19'!C10+'Columbia Pgs 20-21'!C10+'Cowlitz Pgs 22-23'!C10+'Garfield Pgs 24-25'!C10+'Grant Pgs 26-27'!C10+'Grays Harbor Pgs 28-29'!C10+'Island Pgs 30-31'!C10+'Jefferson Pgs 32-33'!C10+'Kitsap Pgs 34-35'!C10+'Kittitas Pgs 36-37'!C10+'Klickitat Pgs 38-39'!C10+'Lewis Pgs 40-41'!C10+'Lincoln Pgs 42-43'!C10+'Mason Pgs 44-45'!C10+'Northeast Tri Pgs 46-47'!C10+'Okanogan Pgs 48-49'!C10+'Pacific Pgs 50-51'!C10+'San Juan Pgs 52-53'!C10+'Skagit Pgs 56-57'!C10+'Skamania Pgs 58-59'!C10+'Snohomish Pgs 60-61'!C10+'Spokane Pgs 62-63'!C10+'Tacoma-Pierce Pgs 64-65'!C10+'Thurston Pgs 66-67'!C10+'Wahkiakum Pgs 68-69'!C10+'Walla Walla Pgs 70-71'!C10+'Whatcom Pgs 72-73'!C10+'Whitman Pgs 74-75'!C10+'Yakima Pgs 76-77'!C10+'Seattle-King Pgs 54-55'!C10</f>
        <v>4235683</v>
      </c>
      <c r="D10" s="102">
        <f>'Adams Pgs 8-9'!D10+'Asotin Pgs 10-11'!D10+'Benton-Franklin Pgs 12-13'!D10+'Chelan-Douglas Pgs 14-15'!D10+'Clallam Pgs 16-17'!D10+'Clark Pgs 18-19'!D10+'Columbia Pgs 20-21'!D10+'Cowlitz Pgs 22-23'!D10+'Garfield Pgs 24-25'!D10+'Grant Pgs 26-27'!D10+'Grays Harbor Pgs 28-29'!D10+'Island Pgs 30-31'!D10+'Jefferson Pgs 32-33'!D10+'Kitsap Pgs 34-35'!D10+'Kittitas Pgs 36-37'!D10+'Klickitat Pgs 38-39'!D10+'Lewis Pgs 40-41'!D10+'Lincoln Pgs 42-43'!D10+'Mason Pgs 44-45'!D10+'Northeast Tri Pgs 46-47'!D10+'Okanogan Pgs 48-49'!D10+'Pacific Pgs 50-51'!D10+'San Juan Pgs 52-53'!D10+'Skagit Pgs 56-57'!D10+'Skamania Pgs 58-59'!D10+'Snohomish Pgs 60-61'!D10+'Spokane Pgs 62-63'!D10+'Tacoma-Pierce Pgs 64-65'!D10+'Thurston Pgs 66-67'!D10+'Wahkiakum Pgs 68-69'!D10+'Walla Walla Pgs 70-71'!D10+'Whatcom Pgs 72-73'!D10+'Whitman Pgs 74-75'!D10+'Yakima Pgs 76-77'!D10+'Seattle-King Pgs 54-55'!D10</f>
        <v>5105025</v>
      </c>
      <c r="E10" s="100">
        <f>'Adams Pgs 8-9'!E10+'Asotin Pgs 10-11'!E10+'Benton-Franklin Pgs 12-13'!E10+'Chelan-Douglas Pgs 14-15'!E10+'Clallam Pgs 16-17'!E10+'Clark Pgs 18-19'!E10+'Columbia Pgs 20-21'!E10+'Cowlitz Pgs 22-23'!E10+'Garfield Pgs 24-25'!E10+'Grant Pgs 26-27'!E10+'Grays Harbor Pgs 28-29'!E10+'Island Pgs 30-31'!E10+'Jefferson Pgs 32-33'!E10+'Kitsap Pgs 34-35'!E10+'Kittitas Pgs 36-37'!E10+'Klickitat Pgs 38-39'!E10+'Lewis Pgs 40-41'!E10+'Lincoln Pgs 42-43'!E10+'Mason Pgs 44-45'!E10+'Northeast Tri Pgs 46-47'!E10+'Okanogan Pgs 48-49'!E10+'Pacific Pgs 50-51'!E10+'San Juan Pgs 52-53'!E10+'Skagit Pgs 56-57'!E10+'Skamania Pgs 58-59'!E10+'Snohomish Pgs 60-61'!E10+'Spokane Pgs 62-63'!E10+'Tacoma-Pierce Pgs 64-65'!E10+'Thurston Pgs 66-67'!E10+'Wahkiakum Pgs 68-69'!E10+'Walla Walla Pgs 70-71'!E10+'Whatcom Pgs 72-73'!E10+'Whitman Pgs 74-75'!E10+'Yakima Pgs 76-77'!E10+'Seattle-King Pgs 54-55'!E10</f>
        <v>1408920</v>
      </c>
      <c r="F10" s="101">
        <f>'Adams Pgs 8-9'!F10+'Asotin Pgs 10-11'!F10+'Benton-Franklin Pgs 12-13'!F10+'Chelan-Douglas Pgs 14-15'!F10+'Clallam Pgs 16-17'!F10+'Clark Pgs 18-19'!F10+'Columbia Pgs 20-21'!F10+'Cowlitz Pgs 22-23'!F10+'Garfield Pgs 24-25'!F10+'Grant Pgs 26-27'!F10+'Grays Harbor Pgs 28-29'!F10+'Island Pgs 30-31'!F10+'Jefferson Pgs 32-33'!F10+'Kitsap Pgs 34-35'!F10+'Kittitas Pgs 36-37'!F10+'Klickitat Pgs 38-39'!F10+'Lewis Pgs 40-41'!F10+'Lincoln Pgs 42-43'!F10+'Mason Pgs 44-45'!F10+'Northeast Tri Pgs 46-47'!F10+'Okanogan Pgs 48-49'!F10+'Pacific Pgs 50-51'!F10+'San Juan Pgs 52-53'!F10+'Skagit Pgs 56-57'!F10+'Skamania Pgs 58-59'!F10+'Snohomish Pgs 60-61'!F10+'Spokane Pgs 62-63'!F10+'Tacoma-Pierce Pgs 64-65'!F10+'Thurston Pgs 66-67'!F10+'Wahkiakum Pgs 68-69'!F10+'Walla Walla Pgs 70-71'!F10+'Whatcom Pgs 72-73'!F10+'Whitman Pgs 74-75'!F10+'Yakima Pgs 76-77'!F10+'Seattle-King Pgs 54-55'!F10</f>
        <v>1150034</v>
      </c>
      <c r="G10" s="102">
        <f>'Adams Pgs 8-9'!G10+'Asotin Pgs 10-11'!G10+'Benton-Franklin Pgs 12-13'!G10+'Chelan-Douglas Pgs 14-15'!G10+'Clallam Pgs 16-17'!G10+'Clark Pgs 18-19'!G10+'Columbia Pgs 20-21'!G10+'Cowlitz Pgs 22-23'!G10+'Garfield Pgs 24-25'!G10+'Grant Pgs 26-27'!G10+'Grays Harbor Pgs 28-29'!G10+'Island Pgs 30-31'!G10+'Jefferson Pgs 32-33'!G10+'Kitsap Pgs 34-35'!G10+'Kittitas Pgs 36-37'!G10+'Klickitat Pgs 38-39'!G10+'Lewis Pgs 40-41'!G10+'Lincoln Pgs 42-43'!G10+'Mason Pgs 44-45'!G10+'Northeast Tri Pgs 46-47'!G10+'Okanogan Pgs 48-49'!G10+'Pacific Pgs 50-51'!G10+'San Juan Pgs 52-53'!G10+'Skagit Pgs 56-57'!G10+'Skamania Pgs 58-59'!G10+'Snohomish Pgs 60-61'!G10+'Spokane Pgs 62-63'!G10+'Tacoma-Pierce Pgs 64-65'!G10+'Thurston Pgs 66-67'!G10+'Wahkiakum Pgs 68-69'!G10+'Walla Walla Pgs 70-71'!G10+'Whatcom Pgs 72-73'!G10+'Whitman Pgs 74-75'!G10+'Yakima Pgs 76-77'!G10+'Seattle-King Pgs 54-55'!G10</f>
        <v>12162</v>
      </c>
      <c r="H10" s="100">
        <f>'Adams Pgs 8-9'!H10+'Asotin Pgs 10-11'!H10+'Benton-Franklin Pgs 12-13'!H10+'Chelan-Douglas Pgs 14-15'!H10+'Clallam Pgs 16-17'!H10+'Clark Pgs 18-19'!H10+'Columbia Pgs 20-21'!H10+'Cowlitz Pgs 22-23'!H10+'Garfield Pgs 24-25'!H10+'Grant Pgs 26-27'!H10+'Grays Harbor Pgs 28-29'!H10+'Island Pgs 30-31'!H10+'Jefferson Pgs 32-33'!H10+'Kitsap Pgs 34-35'!H10+'Kittitas Pgs 36-37'!H10+'Klickitat Pgs 38-39'!H10+'Lewis Pgs 40-41'!H10+'Lincoln Pgs 42-43'!H10+'Mason Pgs 44-45'!H10+'Northeast Tri Pgs 46-47'!H10+'Okanogan Pgs 48-49'!H10+'Pacific Pgs 50-51'!H10+'San Juan Pgs 52-53'!H10+'Skagit Pgs 56-57'!H10+'Skamania Pgs 58-59'!H10+'Snohomish Pgs 60-61'!H10+'Spokane Pgs 62-63'!H10+'Tacoma-Pierce Pgs 64-65'!H10+'Thurston Pgs 66-67'!H10+'Wahkiakum Pgs 68-69'!H10+'Walla Walla Pgs 70-71'!H10+'Whatcom Pgs 72-73'!H10+'Whitman Pgs 74-75'!H10+'Yakima Pgs 76-77'!H10+'Seattle-King Pgs 54-55'!H10</f>
        <v>0</v>
      </c>
      <c r="I10" s="102">
        <f>'Adams Pgs 8-9'!I10+'Asotin Pgs 10-11'!I10+'Benton-Franklin Pgs 12-13'!I10+'Chelan-Douglas Pgs 14-15'!I10+'Clallam Pgs 16-17'!I10+'Clark Pgs 18-19'!I10+'Columbia Pgs 20-21'!I10+'Cowlitz Pgs 22-23'!I10+'Garfield Pgs 24-25'!I10+'Grant Pgs 26-27'!I10+'Grays Harbor Pgs 28-29'!I10+'Island Pgs 30-31'!I10+'Jefferson Pgs 32-33'!I10+'Kitsap Pgs 34-35'!I10+'Kittitas Pgs 36-37'!I10+'Klickitat Pgs 38-39'!I10+'Lewis Pgs 40-41'!I10+'Lincoln Pgs 42-43'!I10+'Mason Pgs 44-45'!I10+'Northeast Tri Pgs 46-47'!I10+'Okanogan Pgs 48-49'!I10+'Pacific Pgs 50-51'!I10+'San Juan Pgs 52-53'!I10+'Snohomish Pgs 60-61'!I10+'Spokane Pgs 62-63'!I10+'Tacoma-Pierce Pgs 64-65'!I10+'Thurston Pgs 66-67'!I10+'Wahkiakum Pgs 68-69'!I10+'Walla Walla Pgs 70-71'!I10+'Whatcom Pgs 72-73'!I10+'Whitman Pgs 74-75'!I10+'Yakima Pgs 76-77'!I10+'Seattle-King Pgs 54-55'!I10+'Skagit Pgs 56-57'!I10+'Skamania Pgs 58-59'!I10</f>
        <v>1887008</v>
      </c>
      <c r="J10" s="104">
        <f>'Adams Pgs 8-9'!J10+'Asotin Pgs 10-11'!J10+'Benton-Franklin Pgs 12-13'!J10+'Chelan-Douglas Pgs 14-15'!J10+'Clallam Pgs 16-17'!J10+'Clark Pgs 18-19'!J10+'Columbia Pgs 20-21'!J10+'Cowlitz Pgs 22-23'!J10+'Garfield Pgs 24-25'!J10+'Grant Pgs 26-27'!J10+'Grays Harbor Pgs 28-29'!J10+'Island Pgs 30-31'!J10+'Jefferson Pgs 32-33'!J10+'Kitsap Pgs 34-35'!J10+'Kittitas Pgs 36-37'!J10+'Klickitat Pgs 38-39'!J10+'Lewis Pgs 40-41'!J10+'Lincoln Pgs 42-43'!J10+'Mason Pgs 44-45'!J10+'Northeast Tri Pgs 46-47'!J10+'Okanogan Pgs 48-49'!J10+'Pacific Pgs 50-51'!J10+'San Juan Pgs 52-53'!J10+'Skagit Pgs 56-57'!J10+'Skamania Pgs 58-59'!J10+'Snohomish Pgs 60-61'!J10+'Spokane Pgs 62-63'!J10+'Tacoma-Pierce Pgs 64-65'!J10+'Thurston Pgs 66-67'!J10+'Wahkiakum Pgs 68-69'!J10+'Walla Walla Pgs 70-71'!J10+'Whatcom Pgs 72-73'!J10+'Whitman Pgs 74-75'!J10+'Yakima Pgs 76-77'!J10+'Seattle-King Pgs 54-55'!J10</f>
        <v>167049</v>
      </c>
      <c r="K10" s="129">
        <f t="shared" si="0"/>
        <v>13965881</v>
      </c>
      <c r="L10"/>
    </row>
    <row r="11" spans="1:12" x14ac:dyDescent="0.35">
      <c r="A11" s="79">
        <v>562.27</v>
      </c>
      <c r="B11" s="28" t="s">
        <v>45</v>
      </c>
      <c r="C11" s="103">
        <f>'Adams Pgs 8-9'!C11+'Asotin Pgs 10-11'!C11+'Benton-Franklin Pgs 12-13'!C11+'Chelan-Douglas Pgs 14-15'!C11+'Clallam Pgs 16-17'!C11+'Clark Pgs 18-19'!C11+'Columbia Pgs 20-21'!C11+'Cowlitz Pgs 22-23'!C11+'Garfield Pgs 24-25'!C11+'Grant Pgs 26-27'!C11+'Grays Harbor Pgs 28-29'!C11+'Island Pgs 30-31'!C11+'Jefferson Pgs 32-33'!C11+'Kitsap Pgs 34-35'!C11+'Kittitas Pgs 36-37'!C11+'Klickitat Pgs 38-39'!C11+'Lewis Pgs 40-41'!C11+'Lincoln Pgs 42-43'!C11+'Mason Pgs 44-45'!C11+'Northeast Tri Pgs 46-47'!C11+'Okanogan Pgs 48-49'!C11+'Pacific Pgs 50-51'!C11+'San Juan Pgs 52-53'!C11+'Skagit Pgs 56-57'!C11+'Skamania Pgs 58-59'!C11+'Snohomish Pgs 60-61'!C11+'Spokane Pgs 62-63'!C11+'Tacoma-Pierce Pgs 64-65'!C11+'Thurston Pgs 66-67'!C11+'Wahkiakum Pgs 68-69'!C11+'Walla Walla Pgs 70-71'!C11+'Whatcom Pgs 72-73'!C11+'Whitman Pgs 74-75'!C11+'Yakima Pgs 76-77'!C11+'Seattle-King Pgs 54-55'!C11</f>
        <v>52640</v>
      </c>
      <c r="D11" s="102">
        <f>'Adams Pgs 8-9'!D11+'Asotin Pgs 10-11'!D11+'Benton-Franklin Pgs 12-13'!D11+'Chelan-Douglas Pgs 14-15'!D11+'Clallam Pgs 16-17'!D11+'Clark Pgs 18-19'!D11+'Columbia Pgs 20-21'!D11+'Cowlitz Pgs 22-23'!D11+'Garfield Pgs 24-25'!D11+'Grant Pgs 26-27'!D11+'Grays Harbor Pgs 28-29'!D11+'Island Pgs 30-31'!D11+'Jefferson Pgs 32-33'!D11+'Kitsap Pgs 34-35'!D11+'Kittitas Pgs 36-37'!D11+'Klickitat Pgs 38-39'!D11+'Lewis Pgs 40-41'!D11+'Lincoln Pgs 42-43'!D11+'Mason Pgs 44-45'!D11+'Northeast Tri Pgs 46-47'!D11+'Okanogan Pgs 48-49'!D11+'Pacific Pgs 50-51'!D11+'San Juan Pgs 52-53'!D11+'Skagit Pgs 56-57'!D11+'Skamania Pgs 58-59'!D11+'Snohomish Pgs 60-61'!D11+'Spokane Pgs 62-63'!D11+'Tacoma-Pierce Pgs 64-65'!D11+'Thurston Pgs 66-67'!D11+'Wahkiakum Pgs 68-69'!D11+'Walla Walla Pgs 70-71'!D11+'Whatcom Pgs 72-73'!D11+'Whitman Pgs 74-75'!D11+'Yakima Pgs 76-77'!D11+'Seattle-King Pgs 54-55'!D11</f>
        <v>23060</v>
      </c>
      <c r="E11" s="100">
        <f>'Adams Pgs 8-9'!E11+'Asotin Pgs 10-11'!E11+'Benton-Franklin Pgs 12-13'!E11+'Chelan-Douglas Pgs 14-15'!E11+'Clallam Pgs 16-17'!E11+'Clark Pgs 18-19'!E11+'Columbia Pgs 20-21'!E11+'Cowlitz Pgs 22-23'!E11+'Garfield Pgs 24-25'!E11+'Grant Pgs 26-27'!E11+'Grays Harbor Pgs 28-29'!E11+'Island Pgs 30-31'!E11+'Jefferson Pgs 32-33'!E11+'Kitsap Pgs 34-35'!E11+'Kittitas Pgs 36-37'!E11+'Klickitat Pgs 38-39'!E11+'Lewis Pgs 40-41'!E11+'Lincoln Pgs 42-43'!E11+'Mason Pgs 44-45'!E11+'Northeast Tri Pgs 46-47'!E11+'Okanogan Pgs 48-49'!E11+'Pacific Pgs 50-51'!E11+'San Juan Pgs 52-53'!E11+'Skagit Pgs 56-57'!E11+'Skamania Pgs 58-59'!E11+'Snohomish Pgs 60-61'!E11+'Spokane Pgs 62-63'!E11+'Tacoma-Pierce Pgs 64-65'!E11+'Thurston Pgs 66-67'!E11+'Wahkiakum Pgs 68-69'!E11+'Walla Walla Pgs 70-71'!E11+'Whatcom Pgs 72-73'!E11+'Whitman Pgs 74-75'!E11+'Yakima Pgs 76-77'!E11+'Seattle-King Pgs 54-55'!E11</f>
        <v>15539</v>
      </c>
      <c r="F11" s="101">
        <f>'Adams Pgs 8-9'!F11+'Asotin Pgs 10-11'!F11+'Benton-Franklin Pgs 12-13'!F11+'Chelan-Douglas Pgs 14-15'!F11+'Clallam Pgs 16-17'!F11+'Clark Pgs 18-19'!F11+'Columbia Pgs 20-21'!F11+'Cowlitz Pgs 22-23'!F11+'Garfield Pgs 24-25'!F11+'Grant Pgs 26-27'!F11+'Grays Harbor Pgs 28-29'!F11+'Island Pgs 30-31'!F11+'Jefferson Pgs 32-33'!F11+'Kitsap Pgs 34-35'!F11+'Kittitas Pgs 36-37'!F11+'Klickitat Pgs 38-39'!F11+'Lewis Pgs 40-41'!F11+'Lincoln Pgs 42-43'!F11+'Mason Pgs 44-45'!F11+'Northeast Tri Pgs 46-47'!F11+'Okanogan Pgs 48-49'!F11+'Pacific Pgs 50-51'!F11+'San Juan Pgs 52-53'!F11+'Skagit Pgs 56-57'!F11+'Skamania Pgs 58-59'!F11+'Snohomish Pgs 60-61'!F11+'Spokane Pgs 62-63'!F11+'Tacoma-Pierce Pgs 64-65'!F11+'Thurston Pgs 66-67'!F11+'Wahkiakum Pgs 68-69'!F11+'Walla Walla Pgs 70-71'!F11+'Whatcom Pgs 72-73'!F11+'Whitman Pgs 74-75'!F11+'Yakima Pgs 76-77'!F11+'Seattle-King Pgs 54-55'!F11</f>
        <v>29006</v>
      </c>
      <c r="G11" s="102">
        <f>'Adams Pgs 8-9'!G11+'Asotin Pgs 10-11'!G11+'Benton-Franklin Pgs 12-13'!G11+'Chelan-Douglas Pgs 14-15'!G11+'Clallam Pgs 16-17'!G11+'Clark Pgs 18-19'!G11+'Columbia Pgs 20-21'!G11+'Cowlitz Pgs 22-23'!G11+'Garfield Pgs 24-25'!G11+'Grant Pgs 26-27'!G11+'Grays Harbor Pgs 28-29'!G11+'Island Pgs 30-31'!G11+'Jefferson Pgs 32-33'!G11+'Kitsap Pgs 34-35'!G11+'Kittitas Pgs 36-37'!G11+'Klickitat Pgs 38-39'!G11+'Lewis Pgs 40-41'!G11+'Lincoln Pgs 42-43'!G11+'Mason Pgs 44-45'!G11+'Northeast Tri Pgs 46-47'!G11+'Okanogan Pgs 48-49'!G11+'Pacific Pgs 50-51'!G11+'San Juan Pgs 52-53'!G11+'Skagit Pgs 56-57'!G11+'Skamania Pgs 58-59'!G11+'Snohomish Pgs 60-61'!G11+'Spokane Pgs 62-63'!G11+'Tacoma-Pierce Pgs 64-65'!G11+'Thurston Pgs 66-67'!G11+'Wahkiakum Pgs 68-69'!G11+'Walla Walla Pgs 70-71'!G11+'Whatcom Pgs 72-73'!G11+'Whitman Pgs 74-75'!G11+'Yakima Pgs 76-77'!G11+'Seattle-King Pgs 54-55'!G11</f>
        <v>0</v>
      </c>
      <c r="H11" s="100">
        <f>'Adams Pgs 8-9'!H11+'Asotin Pgs 10-11'!H11+'Benton-Franklin Pgs 12-13'!H11+'Chelan-Douglas Pgs 14-15'!H11+'Clallam Pgs 16-17'!H11+'Clark Pgs 18-19'!H11+'Columbia Pgs 20-21'!H11+'Cowlitz Pgs 22-23'!H11+'Garfield Pgs 24-25'!H11+'Grant Pgs 26-27'!H11+'Grays Harbor Pgs 28-29'!H11+'Island Pgs 30-31'!H11+'Jefferson Pgs 32-33'!H11+'Kitsap Pgs 34-35'!H11+'Kittitas Pgs 36-37'!H11+'Klickitat Pgs 38-39'!H11+'Lewis Pgs 40-41'!H11+'Lincoln Pgs 42-43'!H11+'Mason Pgs 44-45'!H11+'Northeast Tri Pgs 46-47'!H11+'Okanogan Pgs 48-49'!H11+'Pacific Pgs 50-51'!H11+'San Juan Pgs 52-53'!H11+'Skagit Pgs 56-57'!H11+'Skamania Pgs 58-59'!H11+'Snohomish Pgs 60-61'!H11+'Spokane Pgs 62-63'!H11+'Tacoma-Pierce Pgs 64-65'!H11+'Thurston Pgs 66-67'!H11+'Wahkiakum Pgs 68-69'!H11+'Walla Walla Pgs 70-71'!H11+'Whatcom Pgs 72-73'!H11+'Whitman Pgs 74-75'!H11+'Yakima Pgs 76-77'!H11+'Seattle-King Pgs 54-55'!H11</f>
        <v>555229</v>
      </c>
      <c r="I11" s="102">
        <f>'Adams Pgs 8-9'!I11+'Asotin Pgs 10-11'!I11+'Benton-Franklin Pgs 12-13'!I11+'Chelan-Douglas Pgs 14-15'!I11+'Clallam Pgs 16-17'!I11+'Clark Pgs 18-19'!I11+'Columbia Pgs 20-21'!I11+'Cowlitz Pgs 22-23'!I11+'Garfield Pgs 24-25'!I11+'Grant Pgs 26-27'!I11+'Grays Harbor Pgs 28-29'!I11+'Island Pgs 30-31'!I11+'Jefferson Pgs 32-33'!I11+'Kitsap Pgs 34-35'!I11+'Kittitas Pgs 36-37'!I11+'Klickitat Pgs 38-39'!I11+'Lewis Pgs 40-41'!I11+'Lincoln Pgs 42-43'!I11+'Mason Pgs 44-45'!I11+'Northeast Tri Pgs 46-47'!I11+'Okanogan Pgs 48-49'!I11+'Pacific Pgs 50-51'!I11+'San Juan Pgs 52-53'!I11+'Snohomish Pgs 60-61'!I11+'Spokane Pgs 62-63'!I11+'Tacoma-Pierce Pgs 64-65'!I11+'Thurston Pgs 66-67'!I11+'Wahkiakum Pgs 68-69'!I11+'Walla Walla Pgs 70-71'!I11+'Whatcom Pgs 72-73'!I11+'Whitman Pgs 74-75'!I11+'Yakima Pgs 76-77'!I11+'Seattle-King Pgs 54-55'!I11+'Skagit Pgs 56-57'!I11+'Skamania Pgs 58-59'!I11</f>
        <v>31578</v>
      </c>
      <c r="J11" s="104">
        <f>'Adams Pgs 8-9'!J11+'Asotin Pgs 10-11'!J11+'Benton-Franklin Pgs 12-13'!J11+'Chelan-Douglas Pgs 14-15'!J11+'Clallam Pgs 16-17'!J11+'Clark Pgs 18-19'!J11+'Columbia Pgs 20-21'!J11+'Cowlitz Pgs 22-23'!J11+'Garfield Pgs 24-25'!J11+'Grant Pgs 26-27'!J11+'Grays Harbor Pgs 28-29'!J11+'Island Pgs 30-31'!J11+'Jefferson Pgs 32-33'!J11+'Kitsap Pgs 34-35'!J11+'Kittitas Pgs 36-37'!J11+'Klickitat Pgs 38-39'!J11+'Lewis Pgs 40-41'!J11+'Lincoln Pgs 42-43'!J11+'Mason Pgs 44-45'!J11+'Northeast Tri Pgs 46-47'!J11+'Okanogan Pgs 48-49'!J11+'Pacific Pgs 50-51'!J11+'San Juan Pgs 52-53'!J11+'Skagit Pgs 56-57'!J11+'Skamania Pgs 58-59'!J11+'Snohomish Pgs 60-61'!J11+'Spokane Pgs 62-63'!J11+'Tacoma-Pierce Pgs 64-65'!J11+'Thurston Pgs 66-67'!J11+'Wahkiakum Pgs 68-69'!J11+'Walla Walla Pgs 70-71'!J11+'Whatcom Pgs 72-73'!J11+'Whitman Pgs 74-75'!J11+'Yakima Pgs 76-77'!J11+'Seattle-King Pgs 54-55'!J11</f>
        <v>-10686</v>
      </c>
      <c r="K11" s="129">
        <f t="shared" si="0"/>
        <v>696366</v>
      </c>
      <c r="L11"/>
    </row>
    <row r="12" spans="1:12" x14ac:dyDescent="0.35">
      <c r="A12" s="79">
        <v>562.28</v>
      </c>
      <c r="B12" s="28" t="s">
        <v>54</v>
      </c>
      <c r="C12" s="103">
        <f>'Adams Pgs 8-9'!C12+'Asotin Pgs 10-11'!C12+'Benton-Franklin Pgs 12-13'!C12+'Chelan-Douglas Pgs 14-15'!C12+'Clallam Pgs 16-17'!C12+'Clark Pgs 18-19'!C12+'Columbia Pgs 20-21'!C12+'Cowlitz Pgs 22-23'!C12+'Garfield Pgs 24-25'!C12+'Grant Pgs 26-27'!C12+'Grays Harbor Pgs 28-29'!C12+'Island Pgs 30-31'!C12+'Jefferson Pgs 32-33'!C12+'Kitsap Pgs 34-35'!C12+'Kittitas Pgs 36-37'!C12+'Klickitat Pgs 38-39'!C12+'Lewis Pgs 40-41'!C12+'Lincoln Pgs 42-43'!C12+'Mason Pgs 44-45'!C12+'Northeast Tri Pgs 46-47'!C12+'Okanogan Pgs 48-49'!C12+'Pacific Pgs 50-51'!C12+'San Juan Pgs 52-53'!C12+'Skagit Pgs 56-57'!C12+'Skamania Pgs 58-59'!C12+'Snohomish Pgs 60-61'!C12+'Spokane Pgs 62-63'!C12+'Tacoma-Pierce Pgs 64-65'!C12+'Thurston Pgs 66-67'!C12+'Wahkiakum Pgs 68-69'!C12+'Walla Walla Pgs 70-71'!C12+'Whatcom Pgs 72-73'!C12+'Whitman Pgs 74-75'!C12+'Yakima Pgs 76-77'!C12+'Seattle-King Pgs 54-55'!C12</f>
        <v>913974</v>
      </c>
      <c r="D12" s="102">
        <f>'Adams Pgs 8-9'!D12+'Asotin Pgs 10-11'!D12+'Benton-Franklin Pgs 12-13'!D12+'Chelan-Douglas Pgs 14-15'!D12+'Clallam Pgs 16-17'!D12+'Clark Pgs 18-19'!D12+'Columbia Pgs 20-21'!D12+'Cowlitz Pgs 22-23'!D12+'Garfield Pgs 24-25'!D12+'Grant Pgs 26-27'!D12+'Grays Harbor Pgs 28-29'!D12+'Island Pgs 30-31'!D12+'Jefferson Pgs 32-33'!D12+'Kitsap Pgs 34-35'!D12+'Kittitas Pgs 36-37'!D12+'Klickitat Pgs 38-39'!D12+'Lewis Pgs 40-41'!D12+'Lincoln Pgs 42-43'!D12+'Mason Pgs 44-45'!D12+'Northeast Tri Pgs 46-47'!D12+'Okanogan Pgs 48-49'!D12+'Pacific Pgs 50-51'!D12+'San Juan Pgs 52-53'!D12+'Skagit Pgs 56-57'!D12+'Skamania Pgs 58-59'!D12+'Snohomish Pgs 60-61'!D12+'Spokane Pgs 62-63'!D12+'Tacoma-Pierce Pgs 64-65'!D12+'Thurston Pgs 66-67'!D12+'Wahkiakum Pgs 68-69'!D12+'Walla Walla Pgs 70-71'!D12+'Whatcom Pgs 72-73'!D12+'Whitman Pgs 74-75'!D12+'Yakima Pgs 76-77'!D12+'Seattle-King Pgs 54-55'!D12</f>
        <v>1319917</v>
      </c>
      <c r="E12" s="100">
        <f>'Adams Pgs 8-9'!E12+'Asotin Pgs 10-11'!E12+'Benton-Franklin Pgs 12-13'!E12+'Chelan-Douglas Pgs 14-15'!E12+'Clallam Pgs 16-17'!E12+'Clark Pgs 18-19'!E12+'Columbia Pgs 20-21'!E12+'Cowlitz Pgs 22-23'!E12+'Garfield Pgs 24-25'!E12+'Grant Pgs 26-27'!E12+'Grays Harbor Pgs 28-29'!E12+'Island Pgs 30-31'!E12+'Jefferson Pgs 32-33'!E12+'Kitsap Pgs 34-35'!E12+'Kittitas Pgs 36-37'!E12+'Klickitat Pgs 38-39'!E12+'Lewis Pgs 40-41'!E12+'Lincoln Pgs 42-43'!E12+'Mason Pgs 44-45'!E12+'Northeast Tri Pgs 46-47'!E12+'Okanogan Pgs 48-49'!E12+'Pacific Pgs 50-51'!E12+'San Juan Pgs 52-53'!E12+'Skagit Pgs 56-57'!E12+'Skamania Pgs 58-59'!E12+'Snohomish Pgs 60-61'!E12+'Spokane Pgs 62-63'!E12+'Tacoma-Pierce Pgs 64-65'!E12+'Thurston Pgs 66-67'!E12+'Wahkiakum Pgs 68-69'!E12+'Walla Walla Pgs 70-71'!E12+'Whatcom Pgs 72-73'!E12+'Whitman Pgs 74-75'!E12+'Yakima Pgs 76-77'!E12+'Seattle-King Pgs 54-55'!E12</f>
        <v>0</v>
      </c>
      <c r="F12" s="101">
        <f>'Adams Pgs 8-9'!F12+'Asotin Pgs 10-11'!F12+'Benton-Franklin Pgs 12-13'!F12+'Chelan-Douglas Pgs 14-15'!F12+'Clallam Pgs 16-17'!F12+'Clark Pgs 18-19'!F12+'Columbia Pgs 20-21'!F12+'Cowlitz Pgs 22-23'!F12+'Garfield Pgs 24-25'!F12+'Grant Pgs 26-27'!F12+'Grays Harbor Pgs 28-29'!F12+'Island Pgs 30-31'!F12+'Jefferson Pgs 32-33'!F12+'Kitsap Pgs 34-35'!F12+'Kittitas Pgs 36-37'!F12+'Klickitat Pgs 38-39'!F12+'Lewis Pgs 40-41'!F12+'Lincoln Pgs 42-43'!F12+'Mason Pgs 44-45'!F12+'Northeast Tri Pgs 46-47'!F12+'Okanogan Pgs 48-49'!F12+'Pacific Pgs 50-51'!F12+'San Juan Pgs 52-53'!F12+'Skagit Pgs 56-57'!F12+'Skamania Pgs 58-59'!F12+'Snohomish Pgs 60-61'!F12+'Spokane Pgs 62-63'!F12+'Tacoma-Pierce Pgs 64-65'!F12+'Thurston Pgs 66-67'!F12+'Wahkiakum Pgs 68-69'!F12+'Walla Walla Pgs 70-71'!F12+'Whatcom Pgs 72-73'!F12+'Whitman Pgs 74-75'!F12+'Yakima Pgs 76-77'!F12+'Seattle-King Pgs 54-55'!F12</f>
        <v>2244800</v>
      </c>
      <c r="G12" s="102">
        <f>'Adams Pgs 8-9'!G12+'Asotin Pgs 10-11'!G12+'Benton-Franklin Pgs 12-13'!G12+'Chelan-Douglas Pgs 14-15'!G12+'Clallam Pgs 16-17'!G12+'Clark Pgs 18-19'!G12+'Columbia Pgs 20-21'!G12+'Cowlitz Pgs 22-23'!G12+'Garfield Pgs 24-25'!G12+'Grant Pgs 26-27'!G12+'Grays Harbor Pgs 28-29'!G12+'Island Pgs 30-31'!G12+'Jefferson Pgs 32-33'!G12+'Kitsap Pgs 34-35'!G12+'Kittitas Pgs 36-37'!G12+'Klickitat Pgs 38-39'!G12+'Lewis Pgs 40-41'!G12+'Lincoln Pgs 42-43'!G12+'Mason Pgs 44-45'!G12+'Northeast Tri Pgs 46-47'!G12+'Okanogan Pgs 48-49'!G12+'Pacific Pgs 50-51'!G12+'San Juan Pgs 52-53'!G12+'Skagit Pgs 56-57'!G12+'Skamania Pgs 58-59'!G12+'Snohomish Pgs 60-61'!G12+'Spokane Pgs 62-63'!G12+'Tacoma-Pierce Pgs 64-65'!G12+'Thurston Pgs 66-67'!G12+'Wahkiakum Pgs 68-69'!G12+'Walla Walla Pgs 70-71'!G12+'Whatcom Pgs 72-73'!G12+'Whitman Pgs 74-75'!G12+'Yakima Pgs 76-77'!G12+'Seattle-King Pgs 54-55'!G12</f>
        <v>0</v>
      </c>
      <c r="H12" s="100">
        <f>'Adams Pgs 8-9'!H12+'Asotin Pgs 10-11'!H12+'Benton-Franklin Pgs 12-13'!H12+'Chelan-Douglas Pgs 14-15'!H12+'Clallam Pgs 16-17'!H12+'Clark Pgs 18-19'!H12+'Columbia Pgs 20-21'!H12+'Cowlitz Pgs 22-23'!H12+'Garfield Pgs 24-25'!H12+'Grant Pgs 26-27'!H12+'Grays Harbor Pgs 28-29'!H12+'Island Pgs 30-31'!H12+'Jefferson Pgs 32-33'!H12+'Kitsap Pgs 34-35'!H12+'Kittitas Pgs 36-37'!H12+'Klickitat Pgs 38-39'!H12+'Lewis Pgs 40-41'!H12+'Lincoln Pgs 42-43'!H12+'Mason Pgs 44-45'!H12+'Northeast Tri Pgs 46-47'!H12+'Okanogan Pgs 48-49'!H12+'Pacific Pgs 50-51'!H12+'San Juan Pgs 52-53'!H12+'Skagit Pgs 56-57'!H12+'Skamania Pgs 58-59'!H12+'Snohomish Pgs 60-61'!H12+'Spokane Pgs 62-63'!H12+'Tacoma-Pierce Pgs 64-65'!H12+'Thurston Pgs 66-67'!H12+'Wahkiakum Pgs 68-69'!H12+'Walla Walla Pgs 70-71'!H12+'Whatcom Pgs 72-73'!H12+'Whitman Pgs 74-75'!H12+'Yakima Pgs 76-77'!H12+'Seattle-King Pgs 54-55'!H12</f>
        <v>15606188</v>
      </c>
      <c r="I12" s="102">
        <f>'Adams Pgs 8-9'!I12+'Asotin Pgs 10-11'!I12+'Benton-Franklin Pgs 12-13'!I12+'Chelan-Douglas Pgs 14-15'!I12+'Clallam Pgs 16-17'!I12+'Clark Pgs 18-19'!I12+'Columbia Pgs 20-21'!I12+'Cowlitz Pgs 22-23'!I12+'Garfield Pgs 24-25'!I12+'Grant Pgs 26-27'!I12+'Grays Harbor Pgs 28-29'!I12+'Island Pgs 30-31'!I12+'Jefferson Pgs 32-33'!I12+'Kitsap Pgs 34-35'!I12+'Kittitas Pgs 36-37'!I12+'Klickitat Pgs 38-39'!I12+'Lewis Pgs 40-41'!I12+'Lincoln Pgs 42-43'!I12+'Mason Pgs 44-45'!I12+'Northeast Tri Pgs 46-47'!I12+'Okanogan Pgs 48-49'!I12+'Pacific Pgs 50-51'!I12+'San Juan Pgs 52-53'!I12+'Snohomish Pgs 60-61'!I12+'Spokane Pgs 62-63'!I12+'Tacoma-Pierce Pgs 64-65'!I12+'Thurston Pgs 66-67'!I12+'Wahkiakum Pgs 68-69'!I12+'Walla Walla Pgs 70-71'!I12+'Whatcom Pgs 72-73'!I12+'Whitman Pgs 74-75'!I12+'Yakima Pgs 76-77'!I12+'Seattle-King Pgs 54-55'!I12+'Skagit Pgs 56-57'!I12+'Skamania Pgs 58-59'!I12</f>
        <v>15291</v>
      </c>
      <c r="J12" s="104">
        <f>'Adams Pgs 8-9'!J12+'Asotin Pgs 10-11'!J12+'Benton-Franklin Pgs 12-13'!J12+'Chelan-Douglas Pgs 14-15'!J12+'Clallam Pgs 16-17'!J12+'Clark Pgs 18-19'!J12+'Columbia Pgs 20-21'!J12+'Cowlitz Pgs 22-23'!J12+'Garfield Pgs 24-25'!J12+'Grant Pgs 26-27'!J12+'Grays Harbor Pgs 28-29'!J12+'Island Pgs 30-31'!J12+'Jefferson Pgs 32-33'!J12+'Kitsap Pgs 34-35'!J12+'Kittitas Pgs 36-37'!J12+'Klickitat Pgs 38-39'!J12+'Lewis Pgs 40-41'!J12+'Lincoln Pgs 42-43'!J12+'Mason Pgs 44-45'!J12+'Northeast Tri Pgs 46-47'!J12+'Okanogan Pgs 48-49'!J12+'Pacific Pgs 50-51'!J12+'San Juan Pgs 52-53'!J12+'Skagit Pgs 56-57'!J12+'Skamania Pgs 58-59'!J12+'Snohomish Pgs 60-61'!J12+'Spokane Pgs 62-63'!J12+'Tacoma-Pierce Pgs 64-65'!J12+'Thurston Pgs 66-67'!J12+'Wahkiakum Pgs 68-69'!J12+'Walla Walla Pgs 70-71'!J12+'Whatcom Pgs 72-73'!J12+'Whitman Pgs 74-75'!J12+'Yakima Pgs 76-77'!J12+'Seattle-King Pgs 54-55'!J12</f>
        <v>71686</v>
      </c>
      <c r="K12" s="129">
        <f t="shared" si="0"/>
        <v>20171856</v>
      </c>
      <c r="L12"/>
    </row>
    <row r="13" spans="1:12" x14ac:dyDescent="0.35">
      <c r="A13" s="79">
        <v>562.29</v>
      </c>
      <c r="B13" s="28" t="s">
        <v>46</v>
      </c>
      <c r="C13" s="103">
        <f>'Adams Pgs 8-9'!C13+'Asotin Pgs 10-11'!C13+'Benton-Franklin Pgs 12-13'!C13+'Chelan-Douglas Pgs 14-15'!C13+'Clallam Pgs 16-17'!C13+'Clark Pgs 18-19'!C13+'Columbia Pgs 20-21'!C13+'Cowlitz Pgs 22-23'!C13+'Garfield Pgs 24-25'!C13+'Grant Pgs 26-27'!C13+'Grays Harbor Pgs 28-29'!C13+'Island Pgs 30-31'!C13+'Jefferson Pgs 32-33'!C13+'Kitsap Pgs 34-35'!C13+'Kittitas Pgs 36-37'!C13+'Klickitat Pgs 38-39'!C13+'Lewis Pgs 40-41'!C13+'Lincoln Pgs 42-43'!C13+'Mason Pgs 44-45'!C13+'Northeast Tri Pgs 46-47'!C13+'Okanogan Pgs 48-49'!C13+'Pacific Pgs 50-51'!C13+'San Juan Pgs 52-53'!C13+'Skagit Pgs 56-57'!C13+'Skamania Pgs 58-59'!C13+'Snohomish Pgs 60-61'!C13+'Spokane Pgs 62-63'!C13+'Tacoma-Pierce Pgs 64-65'!C13+'Thurston Pgs 66-67'!C13+'Wahkiakum Pgs 68-69'!C13+'Walla Walla Pgs 70-71'!C13+'Whatcom Pgs 72-73'!C13+'Whitman Pgs 74-75'!C13+'Yakima Pgs 76-77'!C13+'Seattle-King Pgs 54-55'!C13</f>
        <v>6706231</v>
      </c>
      <c r="D13" s="102">
        <f>'Adams Pgs 8-9'!D13+'Asotin Pgs 10-11'!D13+'Benton-Franklin Pgs 12-13'!D13+'Chelan-Douglas Pgs 14-15'!D13+'Clallam Pgs 16-17'!D13+'Clark Pgs 18-19'!D13+'Columbia Pgs 20-21'!D13+'Cowlitz Pgs 22-23'!D13+'Garfield Pgs 24-25'!D13+'Grant Pgs 26-27'!D13+'Grays Harbor Pgs 28-29'!D13+'Island Pgs 30-31'!D13+'Jefferson Pgs 32-33'!D13+'Kitsap Pgs 34-35'!D13+'Kittitas Pgs 36-37'!D13+'Klickitat Pgs 38-39'!D13+'Lewis Pgs 40-41'!D13+'Lincoln Pgs 42-43'!D13+'Mason Pgs 44-45'!D13+'Northeast Tri Pgs 46-47'!D13+'Okanogan Pgs 48-49'!D13+'Pacific Pgs 50-51'!D13+'San Juan Pgs 52-53'!D13+'Skagit Pgs 56-57'!D13+'Skamania Pgs 58-59'!D13+'Snohomish Pgs 60-61'!D13+'Spokane Pgs 62-63'!D13+'Tacoma-Pierce Pgs 64-65'!D13+'Thurston Pgs 66-67'!D13+'Wahkiakum Pgs 68-69'!D13+'Walla Walla Pgs 70-71'!D13+'Whatcom Pgs 72-73'!D13+'Whitman Pgs 74-75'!D13+'Yakima Pgs 76-77'!D13+'Seattle-King Pgs 54-55'!D13</f>
        <v>12347279</v>
      </c>
      <c r="E13" s="100">
        <f>'Adams Pgs 8-9'!E13+'Asotin Pgs 10-11'!E13+'Benton-Franklin Pgs 12-13'!E13+'Chelan-Douglas Pgs 14-15'!E13+'Clallam Pgs 16-17'!E13+'Clark Pgs 18-19'!E13+'Columbia Pgs 20-21'!E13+'Cowlitz Pgs 22-23'!E13+'Garfield Pgs 24-25'!E13+'Grant Pgs 26-27'!E13+'Grays Harbor Pgs 28-29'!E13+'Island Pgs 30-31'!E13+'Jefferson Pgs 32-33'!E13+'Kitsap Pgs 34-35'!E13+'Kittitas Pgs 36-37'!E13+'Klickitat Pgs 38-39'!E13+'Lewis Pgs 40-41'!E13+'Lincoln Pgs 42-43'!E13+'Mason Pgs 44-45'!E13+'Northeast Tri Pgs 46-47'!E13+'Okanogan Pgs 48-49'!E13+'Pacific Pgs 50-51'!E13+'San Juan Pgs 52-53'!E13+'Skagit Pgs 56-57'!E13+'Skamania Pgs 58-59'!E13+'Snohomish Pgs 60-61'!E13+'Spokane Pgs 62-63'!E13+'Tacoma-Pierce Pgs 64-65'!E13+'Thurston Pgs 66-67'!E13+'Wahkiakum Pgs 68-69'!E13+'Walla Walla Pgs 70-71'!E13+'Whatcom Pgs 72-73'!E13+'Whitman Pgs 74-75'!E13+'Yakima Pgs 76-77'!E13+'Seattle-King Pgs 54-55'!E13</f>
        <v>0</v>
      </c>
      <c r="F13" s="101">
        <f>'Adams Pgs 8-9'!F13+'Asotin Pgs 10-11'!F13+'Benton-Franklin Pgs 12-13'!F13+'Chelan-Douglas Pgs 14-15'!F13+'Clallam Pgs 16-17'!F13+'Clark Pgs 18-19'!F13+'Columbia Pgs 20-21'!F13+'Cowlitz Pgs 22-23'!F13+'Garfield Pgs 24-25'!F13+'Grant Pgs 26-27'!F13+'Grays Harbor Pgs 28-29'!F13+'Island Pgs 30-31'!F13+'Jefferson Pgs 32-33'!F13+'Kitsap Pgs 34-35'!F13+'Kittitas Pgs 36-37'!F13+'Klickitat Pgs 38-39'!F13+'Lewis Pgs 40-41'!F13+'Lincoln Pgs 42-43'!F13+'Mason Pgs 44-45'!F13+'Northeast Tri Pgs 46-47'!F13+'Okanogan Pgs 48-49'!F13+'Pacific Pgs 50-51'!F13+'San Juan Pgs 52-53'!F13+'Skagit Pgs 56-57'!F13+'Skamania Pgs 58-59'!F13+'Snohomish Pgs 60-61'!F13+'Spokane Pgs 62-63'!F13+'Tacoma-Pierce Pgs 64-65'!F13+'Thurston Pgs 66-67'!F13+'Wahkiakum Pgs 68-69'!F13+'Walla Walla Pgs 70-71'!F13+'Whatcom Pgs 72-73'!F13+'Whitman Pgs 74-75'!F13+'Yakima Pgs 76-77'!F13+'Seattle-King Pgs 54-55'!F13</f>
        <v>956816</v>
      </c>
      <c r="G13" s="102">
        <f>'Adams Pgs 8-9'!G13+'Asotin Pgs 10-11'!G13+'Benton-Franklin Pgs 12-13'!G13+'Chelan-Douglas Pgs 14-15'!G13+'Clallam Pgs 16-17'!G13+'Clark Pgs 18-19'!G13+'Columbia Pgs 20-21'!G13+'Cowlitz Pgs 22-23'!G13+'Garfield Pgs 24-25'!G13+'Grant Pgs 26-27'!G13+'Grays Harbor Pgs 28-29'!G13+'Island Pgs 30-31'!G13+'Jefferson Pgs 32-33'!G13+'Kitsap Pgs 34-35'!G13+'Kittitas Pgs 36-37'!G13+'Klickitat Pgs 38-39'!G13+'Lewis Pgs 40-41'!G13+'Lincoln Pgs 42-43'!G13+'Mason Pgs 44-45'!G13+'Northeast Tri Pgs 46-47'!G13+'Okanogan Pgs 48-49'!G13+'Pacific Pgs 50-51'!G13+'San Juan Pgs 52-53'!G13+'Skagit Pgs 56-57'!G13+'Skamania Pgs 58-59'!G13+'Snohomish Pgs 60-61'!G13+'Spokane Pgs 62-63'!G13+'Tacoma-Pierce Pgs 64-65'!G13+'Thurston Pgs 66-67'!G13+'Wahkiakum Pgs 68-69'!G13+'Walla Walla Pgs 70-71'!G13+'Whatcom Pgs 72-73'!G13+'Whitman Pgs 74-75'!G13+'Yakima Pgs 76-77'!G13+'Seattle-King Pgs 54-55'!G13</f>
        <v>337063</v>
      </c>
      <c r="H13" s="100">
        <f>'Adams Pgs 8-9'!H13+'Asotin Pgs 10-11'!H13+'Benton-Franklin Pgs 12-13'!H13+'Chelan-Douglas Pgs 14-15'!H13+'Clallam Pgs 16-17'!H13+'Clark Pgs 18-19'!H13+'Columbia Pgs 20-21'!H13+'Cowlitz Pgs 22-23'!H13+'Garfield Pgs 24-25'!H13+'Grant Pgs 26-27'!H13+'Grays Harbor Pgs 28-29'!H13+'Island Pgs 30-31'!H13+'Jefferson Pgs 32-33'!H13+'Kitsap Pgs 34-35'!H13+'Kittitas Pgs 36-37'!H13+'Klickitat Pgs 38-39'!H13+'Lewis Pgs 40-41'!H13+'Lincoln Pgs 42-43'!H13+'Mason Pgs 44-45'!H13+'Northeast Tri Pgs 46-47'!H13+'Okanogan Pgs 48-49'!H13+'Pacific Pgs 50-51'!H13+'San Juan Pgs 52-53'!H13+'Skagit Pgs 56-57'!H13+'Skamania Pgs 58-59'!H13+'Snohomish Pgs 60-61'!H13+'Spokane Pgs 62-63'!H13+'Tacoma-Pierce Pgs 64-65'!H13+'Thurston Pgs 66-67'!H13+'Wahkiakum Pgs 68-69'!H13+'Walla Walla Pgs 70-71'!H13+'Whatcom Pgs 72-73'!H13+'Whitman Pgs 74-75'!H13+'Yakima Pgs 76-77'!H13+'Seattle-King Pgs 54-55'!H13</f>
        <v>215012</v>
      </c>
      <c r="I13" s="102">
        <f>'Adams Pgs 8-9'!I13+'Asotin Pgs 10-11'!I13+'Benton-Franklin Pgs 12-13'!I13+'Chelan-Douglas Pgs 14-15'!I13+'Clallam Pgs 16-17'!I13+'Clark Pgs 18-19'!I13+'Columbia Pgs 20-21'!I13+'Cowlitz Pgs 22-23'!I13+'Garfield Pgs 24-25'!I13+'Grant Pgs 26-27'!I13+'Grays Harbor Pgs 28-29'!I13+'Island Pgs 30-31'!I13+'Jefferson Pgs 32-33'!I13+'Kitsap Pgs 34-35'!I13+'Kittitas Pgs 36-37'!I13+'Klickitat Pgs 38-39'!I13+'Lewis Pgs 40-41'!I13+'Lincoln Pgs 42-43'!I13+'Mason Pgs 44-45'!I13+'Northeast Tri Pgs 46-47'!I13+'Okanogan Pgs 48-49'!I13+'Pacific Pgs 50-51'!I13+'San Juan Pgs 52-53'!I13+'Snohomish Pgs 60-61'!I13+'Spokane Pgs 62-63'!I13+'Tacoma-Pierce Pgs 64-65'!I13+'Thurston Pgs 66-67'!I13+'Wahkiakum Pgs 68-69'!I13+'Walla Walla Pgs 70-71'!I13+'Whatcom Pgs 72-73'!I13+'Whitman Pgs 74-75'!I13+'Yakima Pgs 76-77'!I13+'Seattle-King Pgs 54-55'!I13+'Skagit Pgs 56-57'!I13+'Skamania Pgs 58-59'!I13</f>
        <v>6746849</v>
      </c>
      <c r="J13" s="104">
        <f>'Adams Pgs 8-9'!J13+'Asotin Pgs 10-11'!J13+'Benton-Franklin Pgs 12-13'!J13+'Chelan-Douglas Pgs 14-15'!J13+'Clallam Pgs 16-17'!J13+'Clark Pgs 18-19'!J13+'Columbia Pgs 20-21'!J13+'Cowlitz Pgs 22-23'!J13+'Garfield Pgs 24-25'!J13+'Grant Pgs 26-27'!J13+'Grays Harbor Pgs 28-29'!J13+'Island Pgs 30-31'!J13+'Jefferson Pgs 32-33'!J13+'Kitsap Pgs 34-35'!J13+'Kittitas Pgs 36-37'!J13+'Klickitat Pgs 38-39'!J13+'Lewis Pgs 40-41'!J13+'Lincoln Pgs 42-43'!J13+'Mason Pgs 44-45'!J13+'Northeast Tri Pgs 46-47'!J13+'Okanogan Pgs 48-49'!J13+'Pacific Pgs 50-51'!J13+'San Juan Pgs 52-53'!J13+'Skagit Pgs 56-57'!J13+'Skamania Pgs 58-59'!J13+'Snohomish Pgs 60-61'!J13+'Spokane Pgs 62-63'!J13+'Tacoma-Pierce Pgs 64-65'!J13+'Thurston Pgs 66-67'!J13+'Wahkiakum Pgs 68-69'!J13+'Walla Walla Pgs 70-71'!J13+'Whatcom Pgs 72-73'!J13+'Whitman Pgs 74-75'!J13+'Yakima Pgs 76-77'!J13+'Seattle-King Pgs 54-55'!J13</f>
        <v>1421804</v>
      </c>
      <c r="K13" s="129">
        <f t="shared" si="0"/>
        <v>28731054</v>
      </c>
      <c r="L13"/>
    </row>
    <row r="14" spans="1:12" x14ac:dyDescent="0.35">
      <c r="A14" s="79">
        <v>562.32000000000005</v>
      </c>
      <c r="B14" s="16" t="s">
        <v>12</v>
      </c>
      <c r="C14" s="103">
        <f>'Adams Pgs 8-9'!C14+'Asotin Pgs 10-11'!C14+'Benton-Franklin Pgs 12-13'!C14+'Chelan-Douglas Pgs 14-15'!C14+'Clallam Pgs 16-17'!C14+'Clark Pgs 18-19'!C14+'Columbia Pgs 20-21'!C14+'Cowlitz Pgs 22-23'!C14+'Garfield Pgs 24-25'!C14+'Grant Pgs 26-27'!C14+'Grays Harbor Pgs 28-29'!C14+'Island Pgs 30-31'!C14+'Jefferson Pgs 32-33'!C14+'Kitsap Pgs 34-35'!C14+'Kittitas Pgs 36-37'!C14+'Klickitat Pgs 38-39'!C14+'Lewis Pgs 40-41'!C14+'Lincoln Pgs 42-43'!C14+'Mason Pgs 44-45'!C14+'Northeast Tri Pgs 46-47'!C14+'Okanogan Pgs 48-49'!C14+'Pacific Pgs 50-51'!C14+'San Juan Pgs 52-53'!C14+'Skagit Pgs 56-57'!C14+'Skamania Pgs 58-59'!C14+'Snohomish Pgs 60-61'!C14+'Spokane Pgs 62-63'!C14+'Tacoma-Pierce Pgs 64-65'!C14+'Thurston Pgs 66-67'!C14+'Wahkiakum Pgs 68-69'!C14+'Walla Walla Pgs 70-71'!C14+'Whatcom Pgs 72-73'!C14+'Whitman Pgs 74-75'!C14+'Yakima Pgs 76-77'!C14+'Seattle-King Pgs 54-55'!C14</f>
        <v>1162693</v>
      </c>
      <c r="D14" s="102">
        <f>'Adams Pgs 8-9'!D14+'Asotin Pgs 10-11'!D14+'Benton-Franklin Pgs 12-13'!D14+'Chelan-Douglas Pgs 14-15'!D14+'Clallam Pgs 16-17'!D14+'Clark Pgs 18-19'!D14+'Columbia Pgs 20-21'!D14+'Cowlitz Pgs 22-23'!D14+'Garfield Pgs 24-25'!D14+'Grant Pgs 26-27'!D14+'Grays Harbor Pgs 28-29'!D14+'Island Pgs 30-31'!D14+'Jefferson Pgs 32-33'!D14+'Kitsap Pgs 34-35'!D14+'Kittitas Pgs 36-37'!D14+'Klickitat Pgs 38-39'!D14+'Lewis Pgs 40-41'!D14+'Lincoln Pgs 42-43'!D14+'Mason Pgs 44-45'!D14+'Northeast Tri Pgs 46-47'!D14+'Okanogan Pgs 48-49'!D14+'Pacific Pgs 50-51'!D14+'San Juan Pgs 52-53'!D14+'Skagit Pgs 56-57'!D14+'Skamania Pgs 58-59'!D14+'Snohomish Pgs 60-61'!D14+'Spokane Pgs 62-63'!D14+'Tacoma-Pierce Pgs 64-65'!D14+'Thurston Pgs 66-67'!D14+'Wahkiakum Pgs 68-69'!D14+'Walla Walla Pgs 70-71'!D14+'Whatcom Pgs 72-73'!D14+'Whitman Pgs 74-75'!D14+'Yakima Pgs 76-77'!D14+'Seattle-King Pgs 54-55'!D14</f>
        <v>1593849</v>
      </c>
      <c r="E14" s="100">
        <f>'Adams Pgs 8-9'!E14+'Asotin Pgs 10-11'!E14+'Benton-Franklin Pgs 12-13'!E14+'Chelan-Douglas Pgs 14-15'!E14+'Clallam Pgs 16-17'!E14+'Clark Pgs 18-19'!E14+'Columbia Pgs 20-21'!E14+'Cowlitz Pgs 22-23'!E14+'Garfield Pgs 24-25'!E14+'Grant Pgs 26-27'!E14+'Grays Harbor Pgs 28-29'!E14+'Island Pgs 30-31'!E14+'Jefferson Pgs 32-33'!E14+'Kitsap Pgs 34-35'!E14+'Kittitas Pgs 36-37'!E14+'Klickitat Pgs 38-39'!E14+'Lewis Pgs 40-41'!E14+'Lincoln Pgs 42-43'!E14+'Mason Pgs 44-45'!E14+'Northeast Tri Pgs 46-47'!E14+'Okanogan Pgs 48-49'!E14+'Pacific Pgs 50-51'!E14+'San Juan Pgs 52-53'!E14+'Skagit Pgs 56-57'!E14+'Skamania Pgs 58-59'!E14+'Snohomish Pgs 60-61'!E14+'Spokane Pgs 62-63'!E14+'Tacoma-Pierce Pgs 64-65'!E14+'Thurston Pgs 66-67'!E14+'Wahkiakum Pgs 68-69'!E14+'Walla Walla Pgs 70-71'!E14+'Whatcom Pgs 72-73'!E14+'Whitman Pgs 74-75'!E14+'Yakima Pgs 76-77'!E14+'Seattle-King Pgs 54-55'!E14</f>
        <v>7250</v>
      </c>
      <c r="F14" s="101">
        <f>'Adams Pgs 8-9'!F14+'Asotin Pgs 10-11'!F14+'Benton-Franklin Pgs 12-13'!F14+'Chelan-Douglas Pgs 14-15'!F14+'Clallam Pgs 16-17'!F14+'Clark Pgs 18-19'!F14+'Columbia Pgs 20-21'!F14+'Cowlitz Pgs 22-23'!F14+'Garfield Pgs 24-25'!F14+'Grant Pgs 26-27'!F14+'Grays Harbor Pgs 28-29'!F14+'Island Pgs 30-31'!F14+'Jefferson Pgs 32-33'!F14+'Kitsap Pgs 34-35'!F14+'Kittitas Pgs 36-37'!F14+'Klickitat Pgs 38-39'!F14+'Lewis Pgs 40-41'!F14+'Lincoln Pgs 42-43'!F14+'Mason Pgs 44-45'!F14+'Northeast Tri Pgs 46-47'!F14+'Okanogan Pgs 48-49'!F14+'Pacific Pgs 50-51'!F14+'San Juan Pgs 52-53'!F14+'Skagit Pgs 56-57'!F14+'Skamania Pgs 58-59'!F14+'Snohomish Pgs 60-61'!F14+'Spokane Pgs 62-63'!F14+'Tacoma-Pierce Pgs 64-65'!F14+'Thurston Pgs 66-67'!F14+'Wahkiakum Pgs 68-69'!F14+'Walla Walla Pgs 70-71'!F14+'Whatcom Pgs 72-73'!F14+'Whitman Pgs 74-75'!F14+'Yakima Pgs 76-77'!F14+'Seattle-King Pgs 54-55'!F14</f>
        <v>1518138</v>
      </c>
      <c r="G14" s="102">
        <f>'Adams Pgs 8-9'!G14+'Asotin Pgs 10-11'!G14+'Benton-Franklin Pgs 12-13'!G14+'Chelan-Douglas Pgs 14-15'!G14+'Clallam Pgs 16-17'!G14+'Clark Pgs 18-19'!G14+'Columbia Pgs 20-21'!G14+'Cowlitz Pgs 22-23'!G14+'Garfield Pgs 24-25'!G14+'Grant Pgs 26-27'!G14+'Grays Harbor Pgs 28-29'!G14+'Island Pgs 30-31'!G14+'Jefferson Pgs 32-33'!G14+'Kitsap Pgs 34-35'!G14+'Kittitas Pgs 36-37'!G14+'Klickitat Pgs 38-39'!G14+'Lewis Pgs 40-41'!G14+'Lincoln Pgs 42-43'!G14+'Mason Pgs 44-45'!G14+'Northeast Tri Pgs 46-47'!G14+'Okanogan Pgs 48-49'!G14+'Pacific Pgs 50-51'!G14+'San Juan Pgs 52-53'!G14+'Skagit Pgs 56-57'!G14+'Skamania Pgs 58-59'!G14+'Snohomish Pgs 60-61'!G14+'Spokane Pgs 62-63'!G14+'Tacoma-Pierce Pgs 64-65'!G14+'Thurston Pgs 66-67'!G14+'Wahkiakum Pgs 68-69'!G14+'Walla Walla Pgs 70-71'!G14+'Whatcom Pgs 72-73'!G14+'Whitman Pgs 74-75'!G14+'Yakima Pgs 76-77'!G14+'Seattle-King Pgs 54-55'!G14</f>
        <v>583</v>
      </c>
      <c r="H14" s="100">
        <f>'Adams Pgs 8-9'!H14+'Asotin Pgs 10-11'!H14+'Benton-Franklin Pgs 12-13'!H14+'Chelan-Douglas Pgs 14-15'!H14+'Clallam Pgs 16-17'!H14+'Clark Pgs 18-19'!H14+'Columbia Pgs 20-21'!H14+'Cowlitz Pgs 22-23'!H14+'Garfield Pgs 24-25'!H14+'Grant Pgs 26-27'!H14+'Grays Harbor Pgs 28-29'!H14+'Island Pgs 30-31'!H14+'Jefferson Pgs 32-33'!H14+'Kitsap Pgs 34-35'!H14+'Kittitas Pgs 36-37'!H14+'Klickitat Pgs 38-39'!H14+'Lewis Pgs 40-41'!H14+'Lincoln Pgs 42-43'!H14+'Mason Pgs 44-45'!H14+'Northeast Tri Pgs 46-47'!H14+'Okanogan Pgs 48-49'!H14+'Pacific Pgs 50-51'!H14+'San Juan Pgs 52-53'!H14+'Skagit Pgs 56-57'!H14+'Skamania Pgs 58-59'!H14+'Snohomish Pgs 60-61'!H14+'Spokane Pgs 62-63'!H14+'Tacoma-Pierce Pgs 64-65'!H14+'Thurston Pgs 66-67'!H14+'Wahkiakum Pgs 68-69'!H14+'Walla Walla Pgs 70-71'!H14+'Whatcom Pgs 72-73'!H14+'Whitman Pgs 74-75'!H14+'Yakima Pgs 76-77'!H14+'Seattle-King Pgs 54-55'!H14</f>
        <v>1430287</v>
      </c>
      <c r="I14" s="102">
        <f>'Adams Pgs 8-9'!I14+'Asotin Pgs 10-11'!I14+'Benton-Franklin Pgs 12-13'!I14+'Chelan-Douglas Pgs 14-15'!I14+'Clallam Pgs 16-17'!I14+'Clark Pgs 18-19'!I14+'Columbia Pgs 20-21'!I14+'Cowlitz Pgs 22-23'!I14+'Garfield Pgs 24-25'!I14+'Grant Pgs 26-27'!I14+'Grays Harbor Pgs 28-29'!I14+'Island Pgs 30-31'!I14+'Jefferson Pgs 32-33'!I14+'Kitsap Pgs 34-35'!I14+'Kittitas Pgs 36-37'!I14+'Klickitat Pgs 38-39'!I14+'Lewis Pgs 40-41'!I14+'Lincoln Pgs 42-43'!I14+'Mason Pgs 44-45'!I14+'Northeast Tri Pgs 46-47'!I14+'Okanogan Pgs 48-49'!I14+'Pacific Pgs 50-51'!I14+'San Juan Pgs 52-53'!I14+'Snohomish Pgs 60-61'!I14+'Spokane Pgs 62-63'!I14+'Tacoma-Pierce Pgs 64-65'!I14+'Thurston Pgs 66-67'!I14+'Wahkiakum Pgs 68-69'!I14+'Walla Walla Pgs 70-71'!I14+'Whatcom Pgs 72-73'!I14+'Whitman Pgs 74-75'!I14+'Yakima Pgs 76-77'!I14+'Seattle-King Pgs 54-55'!I14+'Skagit Pgs 56-57'!I14+'Skamania Pgs 58-59'!I14</f>
        <v>291905</v>
      </c>
      <c r="J14" s="104">
        <f>'Adams Pgs 8-9'!J14+'Asotin Pgs 10-11'!J14+'Benton-Franklin Pgs 12-13'!J14+'Chelan-Douglas Pgs 14-15'!J14+'Clallam Pgs 16-17'!J14+'Clark Pgs 18-19'!J14+'Columbia Pgs 20-21'!J14+'Cowlitz Pgs 22-23'!J14+'Garfield Pgs 24-25'!J14+'Grant Pgs 26-27'!J14+'Grays Harbor Pgs 28-29'!J14+'Island Pgs 30-31'!J14+'Jefferson Pgs 32-33'!J14+'Kitsap Pgs 34-35'!J14+'Kittitas Pgs 36-37'!J14+'Klickitat Pgs 38-39'!J14+'Lewis Pgs 40-41'!J14+'Lincoln Pgs 42-43'!J14+'Mason Pgs 44-45'!J14+'Northeast Tri Pgs 46-47'!J14+'Okanogan Pgs 48-49'!J14+'Pacific Pgs 50-51'!J14+'San Juan Pgs 52-53'!J14+'Skagit Pgs 56-57'!J14+'Skamania Pgs 58-59'!J14+'Snohomish Pgs 60-61'!J14+'Spokane Pgs 62-63'!J14+'Tacoma-Pierce Pgs 64-65'!J14+'Thurston Pgs 66-67'!J14+'Wahkiakum Pgs 68-69'!J14+'Walla Walla Pgs 70-71'!J14+'Whatcom Pgs 72-73'!J14+'Whitman Pgs 74-75'!J14+'Yakima Pgs 76-77'!J14+'Seattle-King Pgs 54-55'!J14</f>
        <v>63520</v>
      </c>
      <c r="K14" s="129">
        <f t="shared" si="0"/>
        <v>6068225</v>
      </c>
      <c r="L14"/>
    </row>
    <row r="15" spans="1:12" x14ac:dyDescent="0.35">
      <c r="A15" s="79">
        <v>562.33000000000004</v>
      </c>
      <c r="B15" s="28" t="s">
        <v>55</v>
      </c>
      <c r="C15" s="103">
        <f>'Adams Pgs 8-9'!C15+'Asotin Pgs 10-11'!C15+'Benton-Franklin Pgs 12-13'!C15+'Chelan-Douglas Pgs 14-15'!C15+'Clallam Pgs 16-17'!C15+'Clark Pgs 18-19'!C15+'Columbia Pgs 20-21'!C15+'Cowlitz Pgs 22-23'!C15+'Garfield Pgs 24-25'!C15+'Grant Pgs 26-27'!C15+'Grays Harbor Pgs 28-29'!C15+'Island Pgs 30-31'!C15+'Jefferson Pgs 32-33'!C15+'Kitsap Pgs 34-35'!C15+'Kittitas Pgs 36-37'!C15+'Klickitat Pgs 38-39'!C15+'Lewis Pgs 40-41'!C15+'Lincoln Pgs 42-43'!C15+'Mason Pgs 44-45'!C15+'Northeast Tri Pgs 46-47'!C15+'Okanogan Pgs 48-49'!C15+'Pacific Pgs 50-51'!C15+'San Juan Pgs 52-53'!C15+'Skagit Pgs 56-57'!C15+'Skamania Pgs 58-59'!C15+'Snohomish Pgs 60-61'!C15+'Spokane Pgs 62-63'!C15+'Tacoma-Pierce Pgs 64-65'!C15+'Thurston Pgs 66-67'!C15+'Wahkiakum Pgs 68-69'!C15+'Walla Walla Pgs 70-71'!C15+'Whatcom Pgs 72-73'!C15+'Whitman Pgs 74-75'!C15+'Yakima Pgs 76-77'!C15+'Seattle-King Pgs 54-55'!C15</f>
        <v>1379030</v>
      </c>
      <c r="D15" s="102">
        <f>'Adams Pgs 8-9'!D15+'Asotin Pgs 10-11'!D15+'Benton-Franklin Pgs 12-13'!D15+'Chelan-Douglas Pgs 14-15'!D15+'Clallam Pgs 16-17'!D15+'Clark Pgs 18-19'!D15+'Columbia Pgs 20-21'!D15+'Cowlitz Pgs 22-23'!D15+'Garfield Pgs 24-25'!D15+'Grant Pgs 26-27'!D15+'Grays Harbor Pgs 28-29'!D15+'Island Pgs 30-31'!D15+'Jefferson Pgs 32-33'!D15+'Kitsap Pgs 34-35'!D15+'Kittitas Pgs 36-37'!D15+'Klickitat Pgs 38-39'!D15+'Lewis Pgs 40-41'!D15+'Lincoln Pgs 42-43'!D15+'Mason Pgs 44-45'!D15+'Northeast Tri Pgs 46-47'!D15+'Okanogan Pgs 48-49'!D15+'Pacific Pgs 50-51'!D15+'San Juan Pgs 52-53'!D15+'Skagit Pgs 56-57'!D15+'Skamania Pgs 58-59'!D15+'Snohomish Pgs 60-61'!D15+'Spokane Pgs 62-63'!D15+'Tacoma-Pierce Pgs 64-65'!D15+'Thurston Pgs 66-67'!D15+'Wahkiakum Pgs 68-69'!D15+'Walla Walla Pgs 70-71'!D15+'Whatcom Pgs 72-73'!D15+'Whitman Pgs 74-75'!D15+'Yakima Pgs 76-77'!D15+'Seattle-King Pgs 54-55'!D15</f>
        <v>1090336</v>
      </c>
      <c r="E15" s="100">
        <f>'Adams Pgs 8-9'!E15+'Asotin Pgs 10-11'!E15+'Benton-Franklin Pgs 12-13'!E15+'Chelan-Douglas Pgs 14-15'!E15+'Clallam Pgs 16-17'!E15+'Clark Pgs 18-19'!E15+'Columbia Pgs 20-21'!E15+'Cowlitz Pgs 22-23'!E15+'Garfield Pgs 24-25'!E15+'Grant Pgs 26-27'!E15+'Grays Harbor Pgs 28-29'!E15+'Island Pgs 30-31'!E15+'Jefferson Pgs 32-33'!E15+'Kitsap Pgs 34-35'!E15+'Kittitas Pgs 36-37'!E15+'Klickitat Pgs 38-39'!E15+'Lewis Pgs 40-41'!E15+'Lincoln Pgs 42-43'!E15+'Mason Pgs 44-45'!E15+'Northeast Tri Pgs 46-47'!E15+'Okanogan Pgs 48-49'!E15+'Pacific Pgs 50-51'!E15+'San Juan Pgs 52-53'!E15+'Skagit Pgs 56-57'!E15+'Skamania Pgs 58-59'!E15+'Snohomish Pgs 60-61'!E15+'Spokane Pgs 62-63'!E15+'Tacoma-Pierce Pgs 64-65'!E15+'Thurston Pgs 66-67'!E15+'Wahkiakum Pgs 68-69'!E15+'Walla Walla Pgs 70-71'!E15+'Whatcom Pgs 72-73'!E15+'Whitman Pgs 74-75'!E15+'Yakima Pgs 76-77'!E15+'Seattle-King Pgs 54-55'!E15</f>
        <v>1264950</v>
      </c>
      <c r="F15" s="101">
        <f>'Adams Pgs 8-9'!F15+'Asotin Pgs 10-11'!F15+'Benton-Franklin Pgs 12-13'!F15+'Chelan-Douglas Pgs 14-15'!F15+'Clallam Pgs 16-17'!F15+'Clark Pgs 18-19'!F15+'Columbia Pgs 20-21'!F15+'Cowlitz Pgs 22-23'!F15+'Garfield Pgs 24-25'!F15+'Grant Pgs 26-27'!F15+'Grays Harbor Pgs 28-29'!F15+'Island Pgs 30-31'!F15+'Jefferson Pgs 32-33'!F15+'Kitsap Pgs 34-35'!F15+'Kittitas Pgs 36-37'!F15+'Klickitat Pgs 38-39'!F15+'Lewis Pgs 40-41'!F15+'Lincoln Pgs 42-43'!F15+'Mason Pgs 44-45'!F15+'Northeast Tri Pgs 46-47'!F15+'Okanogan Pgs 48-49'!F15+'Pacific Pgs 50-51'!F15+'San Juan Pgs 52-53'!F15+'Skagit Pgs 56-57'!F15+'Skamania Pgs 58-59'!F15+'Snohomish Pgs 60-61'!F15+'Spokane Pgs 62-63'!F15+'Tacoma-Pierce Pgs 64-65'!F15+'Thurston Pgs 66-67'!F15+'Wahkiakum Pgs 68-69'!F15+'Walla Walla Pgs 70-71'!F15+'Whatcom Pgs 72-73'!F15+'Whitman Pgs 74-75'!F15+'Yakima Pgs 76-77'!F15+'Seattle-King Pgs 54-55'!F15</f>
        <v>1239240</v>
      </c>
      <c r="G15" s="102">
        <f>'Adams Pgs 8-9'!G15+'Asotin Pgs 10-11'!G15+'Benton-Franklin Pgs 12-13'!G15+'Chelan-Douglas Pgs 14-15'!G15+'Clallam Pgs 16-17'!G15+'Clark Pgs 18-19'!G15+'Columbia Pgs 20-21'!G15+'Cowlitz Pgs 22-23'!G15+'Garfield Pgs 24-25'!G15+'Grant Pgs 26-27'!G15+'Grays Harbor Pgs 28-29'!G15+'Island Pgs 30-31'!G15+'Jefferson Pgs 32-33'!G15+'Kitsap Pgs 34-35'!G15+'Kittitas Pgs 36-37'!G15+'Klickitat Pgs 38-39'!G15+'Lewis Pgs 40-41'!G15+'Lincoln Pgs 42-43'!G15+'Mason Pgs 44-45'!G15+'Northeast Tri Pgs 46-47'!G15+'Okanogan Pgs 48-49'!G15+'Pacific Pgs 50-51'!G15+'San Juan Pgs 52-53'!G15+'Skagit Pgs 56-57'!G15+'Skamania Pgs 58-59'!G15+'Snohomish Pgs 60-61'!G15+'Spokane Pgs 62-63'!G15+'Tacoma-Pierce Pgs 64-65'!G15+'Thurston Pgs 66-67'!G15+'Wahkiakum Pgs 68-69'!G15+'Walla Walla Pgs 70-71'!G15+'Whatcom Pgs 72-73'!G15+'Whitman Pgs 74-75'!G15+'Yakima Pgs 76-77'!G15+'Seattle-King Pgs 54-55'!G15</f>
        <v>0</v>
      </c>
      <c r="H15" s="100">
        <f>'Adams Pgs 8-9'!H15+'Asotin Pgs 10-11'!H15+'Benton-Franklin Pgs 12-13'!H15+'Chelan-Douglas Pgs 14-15'!H15+'Clallam Pgs 16-17'!H15+'Clark Pgs 18-19'!H15+'Columbia Pgs 20-21'!H15+'Cowlitz Pgs 22-23'!H15+'Garfield Pgs 24-25'!H15+'Grant Pgs 26-27'!H15+'Grays Harbor Pgs 28-29'!H15+'Island Pgs 30-31'!H15+'Jefferson Pgs 32-33'!H15+'Kitsap Pgs 34-35'!H15+'Kittitas Pgs 36-37'!H15+'Klickitat Pgs 38-39'!H15+'Lewis Pgs 40-41'!H15+'Lincoln Pgs 42-43'!H15+'Mason Pgs 44-45'!H15+'Northeast Tri Pgs 46-47'!H15+'Okanogan Pgs 48-49'!H15+'Pacific Pgs 50-51'!H15+'San Juan Pgs 52-53'!H15+'Skagit Pgs 56-57'!H15+'Skamania Pgs 58-59'!H15+'Snohomish Pgs 60-61'!H15+'Spokane Pgs 62-63'!H15+'Tacoma-Pierce Pgs 64-65'!H15+'Thurston Pgs 66-67'!H15+'Wahkiakum Pgs 68-69'!H15+'Walla Walla Pgs 70-71'!H15+'Whatcom Pgs 72-73'!H15+'Whitman Pgs 74-75'!H15+'Yakima Pgs 76-77'!H15+'Seattle-King Pgs 54-55'!H15</f>
        <v>2007939</v>
      </c>
      <c r="I15" s="102">
        <f>'Adams Pgs 8-9'!I15+'Asotin Pgs 10-11'!I15+'Benton-Franklin Pgs 12-13'!I15+'Chelan-Douglas Pgs 14-15'!I15+'Clallam Pgs 16-17'!I15+'Clark Pgs 18-19'!I15+'Columbia Pgs 20-21'!I15+'Cowlitz Pgs 22-23'!I15+'Garfield Pgs 24-25'!I15+'Grant Pgs 26-27'!I15+'Grays Harbor Pgs 28-29'!I15+'Island Pgs 30-31'!I15+'Jefferson Pgs 32-33'!I15+'Kitsap Pgs 34-35'!I15+'Kittitas Pgs 36-37'!I15+'Klickitat Pgs 38-39'!I15+'Lewis Pgs 40-41'!I15+'Lincoln Pgs 42-43'!I15+'Mason Pgs 44-45'!I15+'Northeast Tri Pgs 46-47'!I15+'Okanogan Pgs 48-49'!I15+'Pacific Pgs 50-51'!I15+'San Juan Pgs 52-53'!I15+'Snohomish Pgs 60-61'!I15+'Spokane Pgs 62-63'!I15+'Tacoma-Pierce Pgs 64-65'!I15+'Thurston Pgs 66-67'!I15+'Wahkiakum Pgs 68-69'!I15+'Walla Walla Pgs 70-71'!I15+'Whatcom Pgs 72-73'!I15+'Whitman Pgs 74-75'!I15+'Yakima Pgs 76-77'!I15+'Seattle-King Pgs 54-55'!I15+'Skagit Pgs 56-57'!I15+'Skamania Pgs 58-59'!I15</f>
        <v>231645</v>
      </c>
      <c r="J15" s="104">
        <f>'Adams Pgs 8-9'!J15+'Asotin Pgs 10-11'!J15+'Benton-Franklin Pgs 12-13'!J15+'Chelan-Douglas Pgs 14-15'!J15+'Clallam Pgs 16-17'!J15+'Clark Pgs 18-19'!J15+'Columbia Pgs 20-21'!J15+'Cowlitz Pgs 22-23'!J15+'Garfield Pgs 24-25'!J15+'Grant Pgs 26-27'!J15+'Grays Harbor Pgs 28-29'!J15+'Island Pgs 30-31'!J15+'Jefferson Pgs 32-33'!J15+'Kitsap Pgs 34-35'!J15+'Kittitas Pgs 36-37'!J15+'Klickitat Pgs 38-39'!J15+'Lewis Pgs 40-41'!J15+'Lincoln Pgs 42-43'!J15+'Mason Pgs 44-45'!J15+'Northeast Tri Pgs 46-47'!J15+'Okanogan Pgs 48-49'!J15+'Pacific Pgs 50-51'!J15+'San Juan Pgs 52-53'!J15+'Skagit Pgs 56-57'!J15+'Skamania Pgs 58-59'!J15+'Snohomish Pgs 60-61'!J15+'Spokane Pgs 62-63'!J15+'Tacoma-Pierce Pgs 64-65'!J15+'Thurston Pgs 66-67'!J15+'Wahkiakum Pgs 68-69'!J15+'Walla Walla Pgs 70-71'!J15+'Whatcom Pgs 72-73'!J15+'Whitman Pgs 74-75'!J15+'Yakima Pgs 76-77'!J15+'Seattle-King Pgs 54-55'!J15</f>
        <v>28124</v>
      </c>
      <c r="K15" s="129">
        <f t="shared" si="0"/>
        <v>7241264</v>
      </c>
      <c r="L15"/>
    </row>
    <row r="16" spans="1:12" x14ac:dyDescent="0.35">
      <c r="A16" s="79">
        <v>562.34</v>
      </c>
      <c r="B16" s="16" t="s">
        <v>13</v>
      </c>
      <c r="C16" s="103">
        <f>'Adams Pgs 8-9'!C16+'Asotin Pgs 10-11'!C16+'Benton-Franklin Pgs 12-13'!C16+'Chelan-Douglas Pgs 14-15'!C16+'Clallam Pgs 16-17'!C16+'Clark Pgs 18-19'!C16+'Columbia Pgs 20-21'!C16+'Cowlitz Pgs 22-23'!C16+'Garfield Pgs 24-25'!C16+'Grant Pgs 26-27'!C16+'Grays Harbor Pgs 28-29'!C16+'Island Pgs 30-31'!C16+'Jefferson Pgs 32-33'!C16+'Kitsap Pgs 34-35'!C16+'Kittitas Pgs 36-37'!C16+'Klickitat Pgs 38-39'!C16+'Lewis Pgs 40-41'!C16+'Lincoln Pgs 42-43'!C16+'Mason Pgs 44-45'!C16+'Northeast Tri Pgs 46-47'!C16+'Okanogan Pgs 48-49'!C16+'Pacific Pgs 50-51'!C16+'San Juan Pgs 52-53'!C16+'Skagit Pgs 56-57'!C16+'Skamania Pgs 58-59'!C16+'Snohomish Pgs 60-61'!C16+'Spokane Pgs 62-63'!C16+'Tacoma-Pierce Pgs 64-65'!C16+'Thurston Pgs 66-67'!C16+'Wahkiakum Pgs 68-69'!C16+'Walla Walla Pgs 70-71'!C16+'Whatcom Pgs 72-73'!C16+'Whitman Pgs 74-75'!C16+'Yakima Pgs 76-77'!C16+'Seattle-King Pgs 54-55'!C16</f>
        <v>5661786.3499999996</v>
      </c>
      <c r="D16" s="102">
        <f>'Adams Pgs 8-9'!D16+'Asotin Pgs 10-11'!D16+'Benton-Franklin Pgs 12-13'!D16+'Chelan-Douglas Pgs 14-15'!D16+'Clallam Pgs 16-17'!D16+'Clark Pgs 18-19'!D16+'Columbia Pgs 20-21'!D16+'Cowlitz Pgs 22-23'!D16+'Garfield Pgs 24-25'!D16+'Grant Pgs 26-27'!D16+'Grays Harbor Pgs 28-29'!D16+'Island Pgs 30-31'!D16+'Jefferson Pgs 32-33'!D16+'Kitsap Pgs 34-35'!D16+'Kittitas Pgs 36-37'!D16+'Klickitat Pgs 38-39'!D16+'Lewis Pgs 40-41'!D16+'Lincoln Pgs 42-43'!D16+'Mason Pgs 44-45'!D16+'Northeast Tri Pgs 46-47'!D16+'Okanogan Pgs 48-49'!D16+'Pacific Pgs 50-51'!D16+'San Juan Pgs 52-53'!D16+'Skagit Pgs 56-57'!D16+'Skamania Pgs 58-59'!D16+'Snohomish Pgs 60-61'!D16+'Spokane Pgs 62-63'!D16+'Tacoma-Pierce Pgs 64-65'!D16+'Thurston Pgs 66-67'!D16+'Wahkiakum Pgs 68-69'!D16+'Walla Walla Pgs 70-71'!D16+'Whatcom Pgs 72-73'!D16+'Whitman Pgs 74-75'!D16+'Yakima Pgs 76-77'!D16+'Seattle-King Pgs 54-55'!D16</f>
        <v>817949</v>
      </c>
      <c r="E16" s="100">
        <f>'Adams Pgs 8-9'!E16+'Asotin Pgs 10-11'!E16+'Benton-Franklin Pgs 12-13'!E16+'Chelan-Douglas Pgs 14-15'!E16+'Clallam Pgs 16-17'!E16+'Clark Pgs 18-19'!E16+'Columbia Pgs 20-21'!E16+'Cowlitz Pgs 22-23'!E16+'Garfield Pgs 24-25'!E16+'Grant Pgs 26-27'!E16+'Grays Harbor Pgs 28-29'!E16+'Island Pgs 30-31'!E16+'Jefferson Pgs 32-33'!E16+'Kitsap Pgs 34-35'!E16+'Kittitas Pgs 36-37'!E16+'Klickitat Pgs 38-39'!E16+'Lewis Pgs 40-41'!E16+'Lincoln Pgs 42-43'!E16+'Mason Pgs 44-45'!E16+'Northeast Tri Pgs 46-47'!E16+'Okanogan Pgs 48-49'!E16+'Pacific Pgs 50-51'!E16+'San Juan Pgs 52-53'!E16+'Skagit Pgs 56-57'!E16+'Skamania Pgs 58-59'!E16+'Snohomish Pgs 60-61'!E16+'Spokane Pgs 62-63'!E16+'Tacoma-Pierce Pgs 64-65'!E16+'Thurston Pgs 66-67'!E16+'Wahkiakum Pgs 68-69'!E16+'Walla Walla Pgs 70-71'!E16+'Whatcom Pgs 72-73'!E16+'Whitman Pgs 74-75'!E16+'Yakima Pgs 76-77'!E16+'Seattle-King Pgs 54-55'!E16</f>
        <v>90234</v>
      </c>
      <c r="F16" s="101">
        <f>'Adams Pgs 8-9'!F16+'Asotin Pgs 10-11'!F16+'Benton-Franklin Pgs 12-13'!F16+'Chelan-Douglas Pgs 14-15'!F16+'Clallam Pgs 16-17'!F16+'Clark Pgs 18-19'!F16+'Columbia Pgs 20-21'!F16+'Cowlitz Pgs 22-23'!F16+'Garfield Pgs 24-25'!F16+'Grant Pgs 26-27'!F16+'Grays Harbor Pgs 28-29'!F16+'Island Pgs 30-31'!F16+'Jefferson Pgs 32-33'!F16+'Kitsap Pgs 34-35'!F16+'Kittitas Pgs 36-37'!F16+'Klickitat Pgs 38-39'!F16+'Lewis Pgs 40-41'!F16+'Lincoln Pgs 42-43'!F16+'Mason Pgs 44-45'!F16+'Northeast Tri Pgs 46-47'!F16+'Okanogan Pgs 48-49'!F16+'Pacific Pgs 50-51'!F16+'San Juan Pgs 52-53'!F16+'Skagit Pgs 56-57'!F16+'Skamania Pgs 58-59'!F16+'Snohomish Pgs 60-61'!F16+'Spokane Pgs 62-63'!F16+'Tacoma-Pierce Pgs 64-65'!F16+'Thurston Pgs 66-67'!F16+'Wahkiakum Pgs 68-69'!F16+'Walla Walla Pgs 70-71'!F16+'Whatcom Pgs 72-73'!F16+'Whitman Pgs 74-75'!F16+'Yakima Pgs 76-77'!F16+'Seattle-King Pgs 54-55'!F16</f>
        <v>1218298</v>
      </c>
      <c r="G16" s="102">
        <f>'Adams Pgs 8-9'!G16+'Asotin Pgs 10-11'!G16+'Benton-Franklin Pgs 12-13'!G16+'Chelan-Douglas Pgs 14-15'!G16+'Clallam Pgs 16-17'!G16+'Clark Pgs 18-19'!G16+'Columbia Pgs 20-21'!G16+'Cowlitz Pgs 22-23'!G16+'Garfield Pgs 24-25'!G16+'Grant Pgs 26-27'!G16+'Grays Harbor Pgs 28-29'!G16+'Island Pgs 30-31'!G16+'Jefferson Pgs 32-33'!G16+'Kitsap Pgs 34-35'!G16+'Kittitas Pgs 36-37'!G16+'Klickitat Pgs 38-39'!G16+'Lewis Pgs 40-41'!G16+'Lincoln Pgs 42-43'!G16+'Mason Pgs 44-45'!G16+'Northeast Tri Pgs 46-47'!G16+'Okanogan Pgs 48-49'!G16+'Pacific Pgs 50-51'!G16+'San Juan Pgs 52-53'!G16+'Skagit Pgs 56-57'!G16+'Skamania Pgs 58-59'!G16+'Snohomish Pgs 60-61'!G16+'Spokane Pgs 62-63'!G16+'Tacoma-Pierce Pgs 64-65'!G16+'Thurston Pgs 66-67'!G16+'Wahkiakum Pgs 68-69'!G16+'Walla Walla Pgs 70-71'!G16+'Whatcom Pgs 72-73'!G16+'Whitman Pgs 74-75'!G16+'Yakima Pgs 76-77'!G16+'Seattle-King Pgs 54-55'!G16</f>
        <v>51479</v>
      </c>
      <c r="H16" s="100">
        <f>'Adams Pgs 8-9'!H16+'Asotin Pgs 10-11'!H16+'Benton-Franklin Pgs 12-13'!H16+'Chelan-Douglas Pgs 14-15'!H16+'Clallam Pgs 16-17'!H16+'Clark Pgs 18-19'!H16+'Columbia Pgs 20-21'!H16+'Cowlitz Pgs 22-23'!H16+'Garfield Pgs 24-25'!H16+'Grant Pgs 26-27'!H16+'Grays Harbor Pgs 28-29'!H16+'Island Pgs 30-31'!H16+'Jefferson Pgs 32-33'!H16+'Kitsap Pgs 34-35'!H16+'Kittitas Pgs 36-37'!H16+'Klickitat Pgs 38-39'!H16+'Lewis Pgs 40-41'!H16+'Lincoln Pgs 42-43'!H16+'Mason Pgs 44-45'!H16+'Northeast Tri Pgs 46-47'!H16+'Okanogan Pgs 48-49'!H16+'Pacific Pgs 50-51'!H16+'San Juan Pgs 52-53'!H16+'Skagit Pgs 56-57'!H16+'Skamania Pgs 58-59'!H16+'Snohomish Pgs 60-61'!H16+'Spokane Pgs 62-63'!H16+'Tacoma-Pierce Pgs 64-65'!H16+'Thurston Pgs 66-67'!H16+'Wahkiakum Pgs 68-69'!H16+'Walla Walla Pgs 70-71'!H16+'Whatcom Pgs 72-73'!H16+'Whitman Pgs 74-75'!H16+'Yakima Pgs 76-77'!H16+'Seattle-King Pgs 54-55'!H16</f>
        <v>696353</v>
      </c>
      <c r="I16" s="102">
        <f>'Adams Pgs 8-9'!I16+'Asotin Pgs 10-11'!I16+'Benton-Franklin Pgs 12-13'!I16+'Chelan-Douglas Pgs 14-15'!I16+'Clallam Pgs 16-17'!I16+'Clark Pgs 18-19'!I16+'Columbia Pgs 20-21'!I16+'Cowlitz Pgs 22-23'!I16+'Garfield Pgs 24-25'!I16+'Grant Pgs 26-27'!I16+'Grays Harbor Pgs 28-29'!I16+'Island Pgs 30-31'!I16+'Jefferson Pgs 32-33'!I16+'Kitsap Pgs 34-35'!I16+'Kittitas Pgs 36-37'!I16+'Klickitat Pgs 38-39'!I16+'Lewis Pgs 40-41'!I16+'Lincoln Pgs 42-43'!I16+'Mason Pgs 44-45'!I16+'Northeast Tri Pgs 46-47'!I16+'Okanogan Pgs 48-49'!I16+'Pacific Pgs 50-51'!I16+'San Juan Pgs 52-53'!I16+'Snohomish Pgs 60-61'!I16+'Spokane Pgs 62-63'!I16+'Tacoma-Pierce Pgs 64-65'!I16+'Thurston Pgs 66-67'!I16+'Wahkiakum Pgs 68-69'!I16+'Walla Walla Pgs 70-71'!I16+'Whatcom Pgs 72-73'!I16+'Whitman Pgs 74-75'!I16+'Yakima Pgs 76-77'!I16+'Seattle-King Pgs 54-55'!I16+'Skagit Pgs 56-57'!I16+'Skamania Pgs 58-59'!I16</f>
        <v>428040</v>
      </c>
      <c r="J16" s="104">
        <f>'Adams Pgs 8-9'!J16+'Asotin Pgs 10-11'!J16+'Benton-Franklin Pgs 12-13'!J16+'Chelan-Douglas Pgs 14-15'!J16+'Clallam Pgs 16-17'!J16+'Clark Pgs 18-19'!J16+'Columbia Pgs 20-21'!J16+'Cowlitz Pgs 22-23'!J16+'Garfield Pgs 24-25'!J16+'Grant Pgs 26-27'!J16+'Grays Harbor Pgs 28-29'!J16+'Island Pgs 30-31'!J16+'Jefferson Pgs 32-33'!J16+'Kitsap Pgs 34-35'!J16+'Kittitas Pgs 36-37'!J16+'Klickitat Pgs 38-39'!J16+'Lewis Pgs 40-41'!J16+'Lincoln Pgs 42-43'!J16+'Mason Pgs 44-45'!J16+'Northeast Tri Pgs 46-47'!J16+'Okanogan Pgs 48-49'!J16+'Pacific Pgs 50-51'!J16+'San Juan Pgs 52-53'!J16+'Skagit Pgs 56-57'!J16+'Skamania Pgs 58-59'!J16+'Snohomish Pgs 60-61'!J16+'Spokane Pgs 62-63'!J16+'Tacoma-Pierce Pgs 64-65'!J16+'Thurston Pgs 66-67'!J16+'Wahkiakum Pgs 68-69'!J16+'Walla Walla Pgs 70-71'!J16+'Whatcom Pgs 72-73'!J16+'Whitman Pgs 74-75'!J16+'Yakima Pgs 76-77'!J16+'Seattle-King Pgs 54-55'!J16</f>
        <v>37079</v>
      </c>
      <c r="K16" s="129">
        <f t="shared" si="0"/>
        <v>9001218.3499999996</v>
      </c>
      <c r="L16"/>
    </row>
    <row r="17" spans="1:12" x14ac:dyDescent="0.35">
      <c r="A17" s="79">
        <v>562.35</v>
      </c>
      <c r="B17" s="16" t="s">
        <v>14</v>
      </c>
      <c r="C17" s="103">
        <f>'Adams Pgs 8-9'!C17+'Asotin Pgs 10-11'!C17+'Benton-Franklin Pgs 12-13'!C17+'Chelan-Douglas Pgs 14-15'!C17+'Clallam Pgs 16-17'!C17+'Clark Pgs 18-19'!C17+'Columbia Pgs 20-21'!C17+'Cowlitz Pgs 22-23'!C17+'Garfield Pgs 24-25'!C17+'Grant Pgs 26-27'!C17+'Grays Harbor Pgs 28-29'!C17+'Island Pgs 30-31'!C17+'Jefferson Pgs 32-33'!C17+'Kitsap Pgs 34-35'!C17+'Kittitas Pgs 36-37'!C17+'Klickitat Pgs 38-39'!C17+'Lewis Pgs 40-41'!C17+'Lincoln Pgs 42-43'!C17+'Mason Pgs 44-45'!C17+'Northeast Tri Pgs 46-47'!C17+'Okanogan Pgs 48-49'!C17+'Pacific Pgs 50-51'!C17+'San Juan Pgs 52-53'!C17+'Skagit Pgs 56-57'!C17+'Skamania Pgs 58-59'!C17+'Snohomish Pgs 60-61'!C17+'Spokane Pgs 62-63'!C17+'Tacoma-Pierce Pgs 64-65'!C17+'Thurston Pgs 66-67'!C17+'Wahkiakum Pgs 68-69'!C17+'Walla Walla Pgs 70-71'!C17+'Whatcom Pgs 72-73'!C17+'Whitman Pgs 74-75'!C17+'Yakima Pgs 76-77'!C17+'Seattle-King Pgs 54-55'!C17</f>
        <v>3177309</v>
      </c>
      <c r="D17" s="102">
        <f>'Adams Pgs 8-9'!D17+'Asotin Pgs 10-11'!D17+'Benton-Franklin Pgs 12-13'!D17+'Chelan-Douglas Pgs 14-15'!D17+'Clallam Pgs 16-17'!D17+'Clark Pgs 18-19'!D17+'Columbia Pgs 20-21'!D17+'Cowlitz Pgs 22-23'!D17+'Garfield Pgs 24-25'!D17+'Grant Pgs 26-27'!D17+'Grays Harbor Pgs 28-29'!D17+'Island Pgs 30-31'!D17+'Jefferson Pgs 32-33'!D17+'Kitsap Pgs 34-35'!D17+'Kittitas Pgs 36-37'!D17+'Klickitat Pgs 38-39'!D17+'Lewis Pgs 40-41'!D17+'Lincoln Pgs 42-43'!D17+'Mason Pgs 44-45'!D17+'Northeast Tri Pgs 46-47'!D17+'Okanogan Pgs 48-49'!D17+'Pacific Pgs 50-51'!D17+'San Juan Pgs 52-53'!D17+'Skagit Pgs 56-57'!D17+'Skamania Pgs 58-59'!D17+'Snohomish Pgs 60-61'!D17+'Spokane Pgs 62-63'!D17+'Tacoma-Pierce Pgs 64-65'!D17+'Thurston Pgs 66-67'!D17+'Wahkiakum Pgs 68-69'!D17+'Walla Walla Pgs 70-71'!D17+'Whatcom Pgs 72-73'!D17+'Whitman Pgs 74-75'!D17+'Yakima Pgs 76-77'!D17+'Seattle-King Pgs 54-55'!D17</f>
        <v>282932</v>
      </c>
      <c r="E17" s="100">
        <f>'Adams Pgs 8-9'!E17+'Asotin Pgs 10-11'!E17+'Benton-Franklin Pgs 12-13'!E17+'Chelan-Douglas Pgs 14-15'!E17+'Clallam Pgs 16-17'!E17+'Clark Pgs 18-19'!E17+'Columbia Pgs 20-21'!E17+'Cowlitz Pgs 22-23'!E17+'Garfield Pgs 24-25'!E17+'Grant Pgs 26-27'!E17+'Grays Harbor Pgs 28-29'!E17+'Island Pgs 30-31'!E17+'Jefferson Pgs 32-33'!E17+'Kitsap Pgs 34-35'!E17+'Kittitas Pgs 36-37'!E17+'Klickitat Pgs 38-39'!E17+'Lewis Pgs 40-41'!E17+'Lincoln Pgs 42-43'!E17+'Mason Pgs 44-45'!E17+'Northeast Tri Pgs 46-47'!E17+'Okanogan Pgs 48-49'!E17+'Pacific Pgs 50-51'!E17+'San Juan Pgs 52-53'!E17+'Skagit Pgs 56-57'!E17+'Skamania Pgs 58-59'!E17+'Snohomish Pgs 60-61'!E17+'Spokane Pgs 62-63'!E17+'Tacoma-Pierce Pgs 64-65'!E17+'Thurston Pgs 66-67'!E17+'Wahkiakum Pgs 68-69'!E17+'Walla Walla Pgs 70-71'!E17+'Whatcom Pgs 72-73'!E17+'Whitman Pgs 74-75'!E17+'Yakima Pgs 76-77'!E17+'Seattle-King Pgs 54-55'!E17</f>
        <v>5108872</v>
      </c>
      <c r="F17" s="101">
        <f>'Adams Pgs 8-9'!F17+'Asotin Pgs 10-11'!F17+'Benton-Franklin Pgs 12-13'!F17+'Chelan-Douglas Pgs 14-15'!F17+'Clallam Pgs 16-17'!F17+'Clark Pgs 18-19'!F17+'Columbia Pgs 20-21'!F17+'Cowlitz Pgs 22-23'!F17+'Garfield Pgs 24-25'!F17+'Grant Pgs 26-27'!F17+'Grays Harbor Pgs 28-29'!F17+'Island Pgs 30-31'!F17+'Jefferson Pgs 32-33'!F17+'Kitsap Pgs 34-35'!F17+'Kittitas Pgs 36-37'!F17+'Klickitat Pgs 38-39'!F17+'Lewis Pgs 40-41'!F17+'Lincoln Pgs 42-43'!F17+'Mason Pgs 44-45'!F17+'Northeast Tri Pgs 46-47'!F17+'Okanogan Pgs 48-49'!F17+'Pacific Pgs 50-51'!F17+'San Juan Pgs 52-53'!F17+'Skagit Pgs 56-57'!F17+'Skamania Pgs 58-59'!F17+'Snohomish Pgs 60-61'!F17+'Spokane Pgs 62-63'!F17+'Tacoma-Pierce Pgs 64-65'!F17+'Thurston Pgs 66-67'!F17+'Wahkiakum Pgs 68-69'!F17+'Walla Walla Pgs 70-71'!F17+'Whatcom Pgs 72-73'!F17+'Whitman Pgs 74-75'!F17+'Yakima Pgs 76-77'!F17+'Seattle-King Pgs 54-55'!F17</f>
        <v>577615</v>
      </c>
      <c r="G17" s="102">
        <f>'Adams Pgs 8-9'!G17+'Asotin Pgs 10-11'!G17+'Benton-Franklin Pgs 12-13'!G17+'Chelan-Douglas Pgs 14-15'!G17+'Clallam Pgs 16-17'!G17+'Clark Pgs 18-19'!G17+'Columbia Pgs 20-21'!G17+'Cowlitz Pgs 22-23'!G17+'Garfield Pgs 24-25'!G17+'Grant Pgs 26-27'!G17+'Grays Harbor Pgs 28-29'!G17+'Island Pgs 30-31'!G17+'Jefferson Pgs 32-33'!G17+'Kitsap Pgs 34-35'!G17+'Kittitas Pgs 36-37'!G17+'Klickitat Pgs 38-39'!G17+'Lewis Pgs 40-41'!G17+'Lincoln Pgs 42-43'!G17+'Mason Pgs 44-45'!G17+'Northeast Tri Pgs 46-47'!G17+'Okanogan Pgs 48-49'!G17+'Pacific Pgs 50-51'!G17+'San Juan Pgs 52-53'!G17+'Skagit Pgs 56-57'!G17+'Skamania Pgs 58-59'!G17+'Snohomish Pgs 60-61'!G17+'Spokane Pgs 62-63'!G17+'Tacoma-Pierce Pgs 64-65'!G17+'Thurston Pgs 66-67'!G17+'Wahkiakum Pgs 68-69'!G17+'Walla Walla Pgs 70-71'!G17+'Whatcom Pgs 72-73'!G17+'Whitman Pgs 74-75'!G17+'Yakima Pgs 76-77'!G17+'Seattle-King Pgs 54-55'!G17</f>
        <v>8730</v>
      </c>
      <c r="H17" s="100">
        <f>'Adams Pgs 8-9'!H17+'Asotin Pgs 10-11'!H17+'Benton-Franklin Pgs 12-13'!H17+'Chelan-Douglas Pgs 14-15'!H17+'Clallam Pgs 16-17'!H17+'Clark Pgs 18-19'!H17+'Columbia Pgs 20-21'!H17+'Cowlitz Pgs 22-23'!H17+'Garfield Pgs 24-25'!H17+'Grant Pgs 26-27'!H17+'Grays Harbor Pgs 28-29'!H17+'Island Pgs 30-31'!H17+'Jefferson Pgs 32-33'!H17+'Kitsap Pgs 34-35'!H17+'Kittitas Pgs 36-37'!H17+'Klickitat Pgs 38-39'!H17+'Lewis Pgs 40-41'!H17+'Lincoln Pgs 42-43'!H17+'Mason Pgs 44-45'!H17+'Northeast Tri Pgs 46-47'!H17+'Okanogan Pgs 48-49'!H17+'Pacific Pgs 50-51'!H17+'San Juan Pgs 52-53'!H17+'Skagit Pgs 56-57'!H17+'Skamania Pgs 58-59'!H17+'Snohomish Pgs 60-61'!H17+'Spokane Pgs 62-63'!H17+'Tacoma-Pierce Pgs 64-65'!H17+'Thurston Pgs 66-67'!H17+'Wahkiakum Pgs 68-69'!H17+'Walla Walla Pgs 70-71'!H17+'Whatcom Pgs 72-73'!H17+'Whitman Pgs 74-75'!H17+'Yakima Pgs 76-77'!H17+'Seattle-King Pgs 54-55'!H17</f>
        <v>2318130</v>
      </c>
      <c r="I17" s="102">
        <f>'Adams Pgs 8-9'!I17+'Asotin Pgs 10-11'!I17+'Benton-Franklin Pgs 12-13'!I17+'Chelan-Douglas Pgs 14-15'!I17+'Clallam Pgs 16-17'!I17+'Clark Pgs 18-19'!I17+'Columbia Pgs 20-21'!I17+'Cowlitz Pgs 22-23'!I17+'Garfield Pgs 24-25'!I17+'Grant Pgs 26-27'!I17+'Grays Harbor Pgs 28-29'!I17+'Island Pgs 30-31'!I17+'Jefferson Pgs 32-33'!I17+'Kitsap Pgs 34-35'!I17+'Kittitas Pgs 36-37'!I17+'Klickitat Pgs 38-39'!I17+'Lewis Pgs 40-41'!I17+'Lincoln Pgs 42-43'!I17+'Mason Pgs 44-45'!I17+'Northeast Tri Pgs 46-47'!I17+'Okanogan Pgs 48-49'!I17+'Pacific Pgs 50-51'!I17+'San Juan Pgs 52-53'!I17+'Snohomish Pgs 60-61'!I17+'Spokane Pgs 62-63'!I17+'Tacoma-Pierce Pgs 64-65'!I17+'Thurston Pgs 66-67'!I17+'Wahkiakum Pgs 68-69'!I17+'Walla Walla Pgs 70-71'!I17+'Whatcom Pgs 72-73'!I17+'Whitman Pgs 74-75'!I17+'Yakima Pgs 76-77'!I17+'Seattle-King Pgs 54-55'!I17+'Skagit Pgs 56-57'!I17+'Skamania Pgs 58-59'!I17</f>
        <v>7668486</v>
      </c>
      <c r="J17" s="104">
        <f>'Adams Pgs 8-9'!J17+'Asotin Pgs 10-11'!J17+'Benton-Franklin Pgs 12-13'!J17+'Chelan-Douglas Pgs 14-15'!J17+'Clallam Pgs 16-17'!J17+'Clark Pgs 18-19'!J17+'Columbia Pgs 20-21'!J17+'Cowlitz Pgs 22-23'!J17+'Garfield Pgs 24-25'!J17+'Grant Pgs 26-27'!J17+'Grays Harbor Pgs 28-29'!J17+'Island Pgs 30-31'!J17+'Jefferson Pgs 32-33'!J17+'Kitsap Pgs 34-35'!J17+'Kittitas Pgs 36-37'!J17+'Klickitat Pgs 38-39'!J17+'Lewis Pgs 40-41'!J17+'Lincoln Pgs 42-43'!J17+'Mason Pgs 44-45'!J17+'Northeast Tri Pgs 46-47'!J17+'Okanogan Pgs 48-49'!J17+'Pacific Pgs 50-51'!J17+'San Juan Pgs 52-53'!J17+'Skagit Pgs 56-57'!J17+'Skamania Pgs 58-59'!J17+'Snohomish Pgs 60-61'!J17+'Spokane Pgs 62-63'!J17+'Tacoma-Pierce Pgs 64-65'!J17+'Thurston Pgs 66-67'!J17+'Wahkiakum Pgs 68-69'!J17+'Walla Walla Pgs 70-71'!J17+'Whatcom Pgs 72-73'!J17+'Whitman Pgs 74-75'!J17+'Yakima Pgs 76-77'!J17+'Seattle-King Pgs 54-55'!J17</f>
        <v>166964</v>
      </c>
      <c r="K17" s="129">
        <f t="shared" si="0"/>
        <v>19309038</v>
      </c>
      <c r="L17"/>
    </row>
    <row r="18" spans="1:12" x14ac:dyDescent="0.35">
      <c r="A18" s="79">
        <v>562.39</v>
      </c>
      <c r="B18" s="16" t="s">
        <v>15</v>
      </c>
      <c r="C18" s="103">
        <f>'Adams Pgs 8-9'!C18+'Asotin Pgs 10-11'!C18+'Benton-Franklin Pgs 12-13'!C18+'Chelan-Douglas Pgs 14-15'!C18+'Clallam Pgs 16-17'!C18+'Clark Pgs 18-19'!C18+'Columbia Pgs 20-21'!C18+'Cowlitz Pgs 22-23'!C18+'Garfield Pgs 24-25'!C18+'Grant Pgs 26-27'!C18+'Grays Harbor Pgs 28-29'!C18+'Island Pgs 30-31'!C18+'Jefferson Pgs 32-33'!C18+'Kitsap Pgs 34-35'!C18+'Kittitas Pgs 36-37'!C18+'Klickitat Pgs 38-39'!C18+'Lewis Pgs 40-41'!C18+'Lincoln Pgs 42-43'!C18+'Mason Pgs 44-45'!C18+'Northeast Tri Pgs 46-47'!C18+'Okanogan Pgs 48-49'!C18+'Pacific Pgs 50-51'!C18+'San Juan Pgs 52-53'!C18+'Skagit Pgs 56-57'!C18+'Skamania Pgs 58-59'!C18+'Snohomish Pgs 60-61'!C18+'Spokane Pgs 62-63'!C18+'Tacoma-Pierce Pgs 64-65'!C18+'Thurston Pgs 66-67'!C18+'Wahkiakum Pgs 68-69'!C18+'Walla Walla Pgs 70-71'!C18+'Whatcom Pgs 72-73'!C18+'Whitman Pgs 74-75'!C18+'Yakima Pgs 76-77'!C18+'Seattle-King Pgs 54-55'!C18</f>
        <v>1987891</v>
      </c>
      <c r="D18" s="102">
        <f>'Adams Pgs 8-9'!D18+'Asotin Pgs 10-11'!D18+'Benton-Franklin Pgs 12-13'!D18+'Chelan-Douglas Pgs 14-15'!D18+'Clallam Pgs 16-17'!D18+'Clark Pgs 18-19'!D18+'Columbia Pgs 20-21'!D18+'Cowlitz Pgs 22-23'!D18+'Garfield Pgs 24-25'!D18+'Grant Pgs 26-27'!D18+'Grays Harbor Pgs 28-29'!D18+'Island Pgs 30-31'!D18+'Jefferson Pgs 32-33'!D18+'Kitsap Pgs 34-35'!D18+'Kittitas Pgs 36-37'!D18+'Klickitat Pgs 38-39'!D18+'Lewis Pgs 40-41'!D18+'Lincoln Pgs 42-43'!D18+'Mason Pgs 44-45'!D18+'Northeast Tri Pgs 46-47'!D18+'Okanogan Pgs 48-49'!D18+'Pacific Pgs 50-51'!D18+'San Juan Pgs 52-53'!D18+'Skagit Pgs 56-57'!D18+'Skamania Pgs 58-59'!D18+'Snohomish Pgs 60-61'!D18+'Spokane Pgs 62-63'!D18+'Tacoma-Pierce Pgs 64-65'!D18+'Thurston Pgs 66-67'!D18+'Wahkiakum Pgs 68-69'!D18+'Walla Walla Pgs 70-71'!D18+'Whatcom Pgs 72-73'!D18+'Whitman Pgs 74-75'!D18+'Yakima Pgs 76-77'!D18+'Seattle-King Pgs 54-55'!D18</f>
        <v>24752</v>
      </c>
      <c r="E18" s="100">
        <f>'Adams Pgs 8-9'!E18+'Asotin Pgs 10-11'!E18+'Benton-Franklin Pgs 12-13'!E18+'Chelan-Douglas Pgs 14-15'!E18+'Clallam Pgs 16-17'!E18+'Clark Pgs 18-19'!E18+'Columbia Pgs 20-21'!E18+'Cowlitz Pgs 22-23'!E18+'Garfield Pgs 24-25'!E18+'Grant Pgs 26-27'!E18+'Grays Harbor Pgs 28-29'!E18+'Island Pgs 30-31'!E18+'Jefferson Pgs 32-33'!E18+'Kitsap Pgs 34-35'!E18+'Kittitas Pgs 36-37'!E18+'Klickitat Pgs 38-39'!E18+'Lewis Pgs 40-41'!E18+'Lincoln Pgs 42-43'!E18+'Mason Pgs 44-45'!E18+'Northeast Tri Pgs 46-47'!E18+'Okanogan Pgs 48-49'!E18+'Pacific Pgs 50-51'!E18+'San Juan Pgs 52-53'!E18+'Skagit Pgs 56-57'!E18+'Skamania Pgs 58-59'!E18+'Snohomish Pgs 60-61'!E18+'Spokane Pgs 62-63'!E18+'Tacoma-Pierce Pgs 64-65'!E18+'Thurston Pgs 66-67'!E18+'Wahkiakum Pgs 68-69'!E18+'Walla Walla Pgs 70-71'!E18+'Whatcom Pgs 72-73'!E18+'Whitman Pgs 74-75'!E18+'Yakima Pgs 76-77'!E18+'Seattle-King Pgs 54-55'!E18</f>
        <v>0</v>
      </c>
      <c r="F18" s="101">
        <f>'Adams Pgs 8-9'!F18+'Asotin Pgs 10-11'!F18+'Benton-Franklin Pgs 12-13'!F18+'Chelan-Douglas Pgs 14-15'!F18+'Clallam Pgs 16-17'!F18+'Clark Pgs 18-19'!F18+'Columbia Pgs 20-21'!F18+'Cowlitz Pgs 22-23'!F18+'Garfield Pgs 24-25'!F18+'Grant Pgs 26-27'!F18+'Grays Harbor Pgs 28-29'!F18+'Island Pgs 30-31'!F18+'Jefferson Pgs 32-33'!F18+'Kitsap Pgs 34-35'!F18+'Kittitas Pgs 36-37'!F18+'Klickitat Pgs 38-39'!F18+'Lewis Pgs 40-41'!F18+'Lincoln Pgs 42-43'!F18+'Mason Pgs 44-45'!F18+'Northeast Tri Pgs 46-47'!F18+'Okanogan Pgs 48-49'!F18+'Pacific Pgs 50-51'!F18+'San Juan Pgs 52-53'!F18+'Skagit Pgs 56-57'!F18+'Skamania Pgs 58-59'!F18+'Snohomish Pgs 60-61'!F18+'Spokane Pgs 62-63'!F18+'Tacoma-Pierce Pgs 64-65'!F18+'Thurston Pgs 66-67'!F18+'Wahkiakum Pgs 68-69'!F18+'Walla Walla Pgs 70-71'!F18+'Whatcom Pgs 72-73'!F18+'Whitman Pgs 74-75'!F18+'Yakima Pgs 76-77'!F18+'Seattle-King Pgs 54-55'!F18</f>
        <v>2610472</v>
      </c>
      <c r="G18" s="102">
        <f>'Adams Pgs 8-9'!G18+'Asotin Pgs 10-11'!G18+'Benton-Franklin Pgs 12-13'!G18+'Chelan-Douglas Pgs 14-15'!G18+'Clallam Pgs 16-17'!G18+'Clark Pgs 18-19'!G18+'Columbia Pgs 20-21'!G18+'Cowlitz Pgs 22-23'!G18+'Garfield Pgs 24-25'!G18+'Grant Pgs 26-27'!G18+'Grays Harbor Pgs 28-29'!G18+'Island Pgs 30-31'!G18+'Jefferson Pgs 32-33'!G18+'Kitsap Pgs 34-35'!G18+'Kittitas Pgs 36-37'!G18+'Klickitat Pgs 38-39'!G18+'Lewis Pgs 40-41'!G18+'Lincoln Pgs 42-43'!G18+'Mason Pgs 44-45'!G18+'Northeast Tri Pgs 46-47'!G18+'Okanogan Pgs 48-49'!G18+'Pacific Pgs 50-51'!G18+'San Juan Pgs 52-53'!G18+'Skagit Pgs 56-57'!G18+'Skamania Pgs 58-59'!G18+'Snohomish Pgs 60-61'!G18+'Spokane Pgs 62-63'!G18+'Tacoma-Pierce Pgs 64-65'!G18+'Thurston Pgs 66-67'!G18+'Wahkiakum Pgs 68-69'!G18+'Walla Walla Pgs 70-71'!G18+'Whatcom Pgs 72-73'!G18+'Whitman Pgs 74-75'!G18+'Yakima Pgs 76-77'!G18+'Seattle-King Pgs 54-55'!G18</f>
        <v>0</v>
      </c>
      <c r="H18" s="100">
        <f>'Adams Pgs 8-9'!H18+'Asotin Pgs 10-11'!H18+'Benton-Franklin Pgs 12-13'!H18+'Chelan-Douglas Pgs 14-15'!H18+'Clallam Pgs 16-17'!H18+'Clark Pgs 18-19'!H18+'Columbia Pgs 20-21'!H18+'Cowlitz Pgs 22-23'!H18+'Garfield Pgs 24-25'!H18+'Grant Pgs 26-27'!H18+'Grays Harbor Pgs 28-29'!H18+'Island Pgs 30-31'!H18+'Jefferson Pgs 32-33'!H18+'Kitsap Pgs 34-35'!H18+'Kittitas Pgs 36-37'!H18+'Klickitat Pgs 38-39'!H18+'Lewis Pgs 40-41'!H18+'Lincoln Pgs 42-43'!H18+'Mason Pgs 44-45'!H18+'Northeast Tri Pgs 46-47'!H18+'Okanogan Pgs 48-49'!H18+'Pacific Pgs 50-51'!H18+'San Juan Pgs 52-53'!H18+'Skagit Pgs 56-57'!H18+'Skamania Pgs 58-59'!H18+'Snohomish Pgs 60-61'!H18+'Spokane Pgs 62-63'!H18+'Tacoma-Pierce Pgs 64-65'!H18+'Thurston Pgs 66-67'!H18+'Wahkiakum Pgs 68-69'!H18+'Walla Walla Pgs 70-71'!H18+'Whatcom Pgs 72-73'!H18+'Whitman Pgs 74-75'!H18+'Yakima Pgs 76-77'!H18+'Seattle-King Pgs 54-55'!H18</f>
        <v>455718</v>
      </c>
      <c r="I18" s="102">
        <f>'Adams Pgs 8-9'!I18+'Asotin Pgs 10-11'!I18+'Benton-Franklin Pgs 12-13'!I18+'Chelan-Douglas Pgs 14-15'!I18+'Clallam Pgs 16-17'!I18+'Clark Pgs 18-19'!I18+'Columbia Pgs 20-21'!I18+'Cowlitz Pgs 22-23'!I18+'Garfield Pgs 24-25'!I18+'Grant Pgs 26-27'!I18+'Grays Harbor Pgs 28-29'!I18+'Island Pgs 30-31'!I18+'Jefferson Pgs 32-33'!I18+'Kitsap Pgs 34-35'!I18+'Kittitas Pgs 36-37'!I18+'Klickitat Pgs 38-39'!I18+'Lewis Pgs 40-41'!I18+'Lincoln Pgs 42-43'!I18+'Mason Pgs 44-45'!I18+'Northeast Tri Pgs 46-47'!I18+'Okanogan Pgs 48-49'!I18+'Pacific Pgs 50-51'!I18+'San Juan Pgs 52-53'!I18+'Snohomish Pgs 60-61'!I18+'Spokane Pgs 62-63'!I18+'Tacoma-Pierce Pgs 64-65'!I18+'Thurston Pgs 66-67'!I18+'Wahkiakum Pgs 68-69'!I18+'Walla Walla Pgs 70-71'!I18+'Whatcom Pgs 72-73'!I18+'Whitman Pgs 74-75'!I18+'Yakima Pgs 76-77'!I18+'Seattle-King Pgs 54-55'!I18+'Skagit Pgs 56-57'!I18+'Skamania Pgs 58-59'!I18</f>
        <v>1961215</v>
      </c>
      <c r="J18" s="104">
        <f>'Adams Pgs 8-9'!J18+'Asotin Pgs 10-11'!J18+'Benton-Franklin Pgs 12-13'!J18+'Chelan-Douglas Pgs 14-15'!J18+'Clallam Pgs 16-17'!J18+'Clark Pgs 18-19'!J18+'Columbia Pgs 20-21'!J18+'Cowlitz Pgs 22-23'!J18+'Garfield Pgs 24-25'!J18+'Grant Pgs 26-27'!J18+'Grays Harbor Pgs 28-29'!J18+'Island Pgs 30-31'!J18+'Jefferson Pgs 32-33'!J18+'Kitsap Pgs 34-35'!J18+'Kittitas Pgs 36-37'!J18+'Klickitat Pgs 38-39'!J18+'Lewis Pgs 40-41'!J18+'Lincoln Pgs 42-43'!J18+'Mason Pgs 44-45'!J18+'Northeast Tri Pgs 46-47'!J18+'Okanogan Pgs 48-49'!J18+'Pacific Pgs 50-51'!J18+'San Juan Pgs 52-53'!J18+'Skagit Pgs 56-57'!J18+'Skamania Pgs 58-59'!J18+'Snohomish Pgs 60-61'!J18+'Spokane Pgs 62-63'!J18+'Tacoma-Pierce Pgs 64-65'!J18+'Thurston Pgs 66-67'!J18+'Wahkiakum Pgs 68-69'!J18+'Walla Walla Pgs 70-71'!J18+'Whatcom Pgs 72-73'!J18+'Whitman Pgs 74-75'!J18+'Yakima Pgs 76-77'!J18+'Seattle-King Pgs 54-55'!J18</f>
        <v>112965</v>
      </c>
      <c r="K18" s="129">
        <f t="shared" si="0"/>
        <v>7153013</v>
      </c>
      <c r="L18"/>
    </row>
    <row r="19" spans="1:12" x14ac:dyDescent="0.35">
      <c r="A19" s="79">
        <v>562.41</v>
      </c>
      <c r="B19" s="16" t="s">
        <v>16</v>
      </c>
      <c r="C19" s="103">
        <f>'Adams Pgs 8-9'!C19+'Asotin Pgs 10-11'!C19+'Benton-Franklin Pgs 12-13'!C19+'Chelan-Douglas Pgs 14-15'!C19+'Clallam Pgs 16-17'!C19+'Clark Pgs 18-19'!C19+'Columbia Pgs 20-21'!C19+'Cowlitz Pgs 22-23'!C19+'Garfield Pgs 24-25'!C19+'Grant Pgs 26-27'!C19+'Grays Harbor Pgs 28-29'!C19+'Island Pgs 30-31'!C19+'Jefferson Pgs 32-33'!C19+'Kitsap Pgs 34-35'!C19+'Kittitas Pgs 36-37'!C19+'Klickitat Pgs 38-39'!C19+'Lewis Pgs 40-41'!C19+'Lincoln Pgs 42-43'!C19+'Mason Pgs 44-45'!C19+'Northeast Tri Pgs 46-47'!C19+'Okanogan Pgs 48-49'!C19+'Pacific Pgs 50-51'!C19+'San Juan Pgs 52-53'!C19+'Skagit Pgs 56-57'!C19+'Skamania Pgs 58-59'!C19+'Snohomish Pgs 60-61'!C19+'Spokane Pgs 62-63'!C19+'Tacoma-Pierce Pgs 64-65'!C19+'Thurston Pgs 66-67'!C19+'Wahkiakum Pgs 68-69'!C19+'Walla Walla Pgs 70-71'!C19+'Whatcom Pgs 72-73'!C19+'Whitman Pgs 74-75'!C19+'Yakima Pgs 76-77'!C19+'Seattle-King Pgs 54-55'!C19</f>
        <v>4622</v>
      </c>
      <c r="D19" s="102">
        <f>'Adams Pgs 8-9'!D19+'Asotin Pgs 10-11'!D19+'Benton-Franklin Pgs 12-13'!D19+'Chelan-Douglas Pgs 14-15'!D19+'Clallam Pgs 16-17'!D19+'Clark Pgs 18-19'!D19+'Columbia Pgs 20-21'!D19+'Cowlitz Pgs 22-23'!D19+'Garfield Pgs 24-25'!D19+'Grant Pgs 26-27'!D19+'Grays Harbor Pgs 28-29'!D19+'Island Pgs 30-31'!D19+'Jefferson Pgs 32-33'!D19+'Kitsap Pgs 34-35'!D19+'Kittitas Pgs 36-37'!D19+'Klickitat Pgs 38-39'!D19+'Lewis Pgs 40-41'!D19+'Lincoln Pgs 42-43'!D19+'Mason Pgs 44-45'!D19+'Northeast Tri Pgs 46-47'!D19+'Okanogan Pgs 48-49'!D19+'Pacific Pgs 50-51'!D19+'San Juan Pgs 52-53'!D19+'Skagit Pgs 56-57'!D19+'Skamania Pgs 58-59'!D19+'Snohomish Pgs 60-61'!D19+'Spokane Pgs 62-63'!D19+'Tacoma-Pierce Pgs 64-65'!D19+'Thurston Pgs 66-67'!D19+'Wahkiakum Pgs 68-69'!D19+'Walla Walla Pgs 70-71'!D19+'Whatcom Pgs 72-73'!D19+'Whitman Pgs 74-75'!D19+'Yakima Pgs 76-77'!D19+'Seattle-King Pgs 54-55'!D19</f>
        <v>0</v>
      </c>
      <c r="E19" s="100">
        <f>'Adams Pgs 8-9'!E19+'Asotin Pgs 10-11'!E19+'Benton-Franklin Pgs 12-13'!E19+'Chelan-Douglas Pgs 14-15'!E19+'Clallam Pgs 16-17'!E19+'Clark Pgs 18-19'!E19+'Columbia Pgs 20-21'!E19+'Cowlitz Pgs 22-23'!E19+'Garfield Pgs 24-25'!E19+'Grant Pgs 26-27'!E19+'Grays Harbor Pgs 28-29'!E19+'Island Pgs 30-31'!E19+'Jefferson Pgs 32-33'!E19+'Kitsap Pgs 34-35'!E19+'Kittitas Pgs 36-37'!E19+'Klickitat Pgs 38-39'!E19+'Lewis Pgs 40-41'!E19+'Lincoln Pgs 42-43'!E19+'Mason Pgs 44-45'!E19+'Northeast Tri Pgs 46-47'!E19+'Okanogan Pgs 48-49'!E19+'Pacific Pgs 50-51'!E19+'San Juan Pgs 52-53'!E19+'Skagit Pgs 56-57'!E19+'Skamania Pgs 58-59'!E19+'Snohomish Pgs 60-61'!E19+'Spokane Pgs 62-63'!E19+'Tacoma-Pierce Pgs 64-65'!E19+'Thurston Pgs 66-67'!E19+'Wahkiakum Pgs 68-69'!E19+'Walla Walla Pgs 70-71'!E19+'Whatcom Pgs 72-73'!E19+'Whitman Pgs 74-75'!E19+'Yakima Pgs 76-77'!E19+'Seattle-King Pgs 54-55'!E19</f>
        <v>0</v>
      </c>
      <c r="F19" s="101">
        <f>'Adams Pgs 8-9'!F19+'Asotin Pgs 10-11'!F19+'Benton-Franklin Pgs 12-13'!F19+'Chelan-Douglas Pgs 14-15'!F19+'Clallam Pgs 16-17'!F19+'Clark Pgs 18-19'!F19+'Columbia Pgs 20-21'!F19+'Cowlitz Pgs 22-23'!F19+'Garfield Pgs 24-25'!F19+'Grant Pgs 26-27'!F19+'Grays Harbor Pgs 28-29'!F19+'Island Pgs 30-31'!F19+'Jefferson Pgs 32-33'!F19+'Kitsap Pgs 34-35'!F19+'Kittitas Pgs 36-37'!F19+'Klickitat Pgs 38-39'!F19+'Lewis Pgs 40-41'!F19+'Lincoln Pgs 42-43'!F19+'Mason Pgs 44-45'!F19+'Northeast Tri Pgs 46-47'!F19+'Okanogan Pgs 48-49'!F19+'Pacific Pgs 50-51'!F19+'San Juan Pgs 52-53'!F19+'Skagit Pgs 56-57'!F19+'Skamania Pgs 58-59'!F19+'Snohomish Pgs 60-61'!F19+'Spokane Pgs 62-63'!F19+'Tacoma-Pierce Pgs 64-65'!F19+'Thurston Pgs 66-67'!F19+'Wahkiakum Pgs 68-69'!F19+'Walla Walla Pgs 70-71'!F19+'Whatcom Pgs 72-73'!F19+'Whitman Pgs 74-75'!F19+'Yakima Pgs 76-77'!F19+'Seattle-King Pgs 54-55'!F19</f>
        <v>61696</v>
      </c>
      <c r="G19" s="102">
        <f>'Adams Pgs 8-9'!G19+'Asotin Pgs 10-11'!G19+'Benton-Franklin Pgs 12-13'!G19+'Chelan-Douglas Pgs 14-15'!G19+'Clallam Pgs 16-17'!G19+'Clark Pgs 18-19'!G19+'Columbia Pgs 20-21'!G19+'Cowlitz Pgs 22-23'!G19+'Garfield Pgs 24-25'!G19+'Grant Pgs 26-27'!G19+'Grays Harbor Pgs 28-29'!G19+'Island Pgs 30-31'!G19+'Jefferson Pgs 32-33'!G19+'Kitsap Pgs 34-35'!G19+'Kittitas Pgs 36-37'!G19+'Klickitat Pgs 38-39'!G19+'Lewis Pgs 40-41'!G19+'Lincoln Pgs 42-43'!G19+'Mason Pgs 44-45'!G19+'Northeast Tri Pgs 46-47'!G19+'Okanogan Pgs 48-49'!G19+'Pacific Pgs 50-51'!G19+'San Juan Pgs 52-53'!G19+'Skagit Pgs 56-57'!G19+'Skamania Pgs 58-59'!G19+'Snohomish Pgs 60-61'!G19+'Spokane Pgs 62-63'!G19+'Tacoma-Pierce Pgs 64-65'!G19+'Thurston Pgs 66-67'!G19+'Wahkiakum Pgs 68-69'!G19+'Walla Walla Pgs 70-71'!G19+'Whatcom Pgs 72-73'!G19+'Whitman Pgs 74-75'!G19+'Yakima Pgs 76-77'!G19+'Seattle-King Pgs 54-55'!G19</f>
        <v>0</v>
      </c>
      <c r="H19" s="100">
        <f>'Adams Pgs 8-9'!H19+'Asotin Pgs 10-11'!H19+'Benton-Franklin Pgs 12-13'!H19+'Chelan-Douglas Pgs 14-15'!H19+'Clallam Pgs 16-17'!H19+'Clark Pgs 18-19'!H19+'Columbia Pgs 20-21'!H19+'Cowlitz Pgs 22-23'!H19+'Garfield Pgs 24-25'!H19+'Grant Pgs 26-27'!H19+'Grays Harbor Pgs 28-29'!H19+'Island Pgs 30-31'!H19+'Jefferson Pgs 32-33'!H19+'Kitsap Pgs 34-35'!H19+'Kittitas Pgs 36-37'!H19+'Klickitat Pgs 38-39'!H19+'Lewis Pgs 40-41'!H19+'Lincoln Pgs 42-43'!H19+'Mason Pgs 44-45'!H19+'Northeast Tri Pgs 46-47'!H19+'Okanogan Pgs 48-49'!H19+'Pacific Pgs 50-51'!H19+'San Juan Pgs 52-53'!H19+'Skagit Pgs 56-57'!H19+'Skamania Pgs 58-59'!H19+'Snohomish Pgs 60-61'!H19+'Spokane Pgs 62-63'!H19+'Tacoma-Pierce Pgs 64-65'!H19+'Thurston Pgs 66-67'!H19+'Wahkiakum Pgs 68-69'!H19+'Walla Walla Pgs 70-71'!H19+'Whatcom Pgs 72-73'!H19+'Whitman Pgs 74-75'!H19+'Yakima Pgs 76-77'!H19+'Seattle-King Pgs 54-55'!H19</f>
        <v>272513</v>
      </c>
      <c r="I19" s="102">
        <f>'Adams Pgs 8-9'!I19+'Asotin Pgs 10-11'!I19+'Benton-Franklin Pgs 12-13'!I19+'Chelan-Douglas Pgs 14-15'!I19+'Clallam Pgs 16-17'!I19+'Clark Pgs 18-19'!I19+'Columbia Pgs 20-21'!I19+'Cowlitz Pgs 22-23'!I19+'Garfield Pgs 24-25'!I19+'Grant Pgs 26-27'!I19+'Grays Harbor Pgs 28-29'!I19+'Island Pgs 30-31'!I19+'Jefferson Pgs 32-33'!I19+'Kitsap Pgs 34-35'!I19+'Kittitas Pgs 36-37'!I19+'Klickitat Pgs 38-39'!I19+'Lewis Pgs 40-41'!I19+'Lincoln Pgs 42-43'!I19+'Mason Pgs 44-45'!I19+'Northeast Tri Pgs 46-47'!I19+'Okanogan Pgs 48-49'!I19+'Pacific Pgs 50-51'!I19+'San Juan Pgs 52-53'!I19+'Snohomish Pgs 60-61'!I19+'Spokane Pgs 62-63'!I19+'Tacoma-Pierce Pgs 64-65'!I19+'Thurston Pgs 66-67'!I19+'Wahkiakum Pgs 68-69'!I19+'Walla Walla Pgs 70-71'!I19+'Whatcom Pgs 72-73'!I19+'Whitman Pgs 74-75'!I19+'Yakima Pgs 76-77'!I19+'Seattle-King Pgs 54-55'!I19+'Skagit Pgs 56-57'!I19+'Skamania Pgs 58-59'!I19</f>
        <v>374637</v>
      </c>
      <c r="J19" s="104">
        <f>'Adams Pgs 8-9'!J19+'Asotin Pgs 10-11'!J19+'Benton-Franklin Pgs 12-13'!J19+'Chelan-Douglas Pgs 14-15'!J19+'Clallam Pgs 16-17'!J19+'Clark Pgs 18-19'!J19+'Columbia Pgs 20-21'!J19+'Cowlitz Pgs 22-23'!J19+'Garfield Pgs 24-25'!J19+'Grant Pgs 26-27'!J19+'Grays Harbor Pgs 28-29'!J19+'Island Pgs 30-31'!J19+'Jefferson Pgs 32-33'!J19+'Kitsap Pgs 34-35'!J19+'Kittitas Pgs 36-37'!J19+'Klickitat Pgs 38-39'!J19+'Lewis Pgs 40-41'!J19+'Lincoln Pgs 42-43'!J19+'Mason Pgs 44-45'!J19+'Northeast Tri Pgs 46-47'!J19+'Okanogan Pgs 48-49'!J19+'Pacific Pgs 50-51'!J19+'San Juan Pgs 52-53'!J19+'Skagit Pgs 56-57'!J19+'Skamania Pgs 58-59'!J19+'Snohomish Pgs 60-61'!J19+'Spokane Pgs 62-63'!J19+'Tacoma-Pierce Pgs 64-65'!J19+'Thurston Pgs 66-67'!J19+'Wahkiakum Pgs 68-69'!J19+'Walla Walla Pgs 70-71'!J19+'Whatcom Pgs 72-73'!J19+'Whitman Pgs 74-75'!J19+'Yakima Pgs 76-77'!J19+'Seattle-King Pgs 54-55'!J19</f>
        <v>1050</v>
      </c>
      <c r="K19" s="129">
        <f t="shared" si="0"/>
        <v>714518</v>
      </c>
      <c r="L19"/>
    </row>
    <row r="20" spans="1:12" x14ac:dyDescent="0.35">
      <c r="A20" s="79">
        <v>562.41999999999996</v>
      </c>
      <c r="B20" s="16" t="s">
        <v>17</v>
      </c>
      <c r="C20" s="103">
        <f>'Adams Pgs 8-9'!C20+'Asotin Pgs 10-11'!C20+'Benton-Franklin Pgs 12-13'!C20+'Chelan-Douglas Pgs 14-15'!C20+'Clallam Pgs 16-17'!C20+'Clark Pgs 18-19'!C20+'Columbia Pgs 20-21'!C20+'Cowlitz Pgs 22-23'!C20+'Garfield Pgs 24-25'!C20+'Grant Pgs 26-27'!C20+'Grays Harbor Pgs 28-29'!C20+'Island Pgs 30-31'!C20+'Jefferson Pgs 32-33'!C20+'Kitsap Pgs 34-35'!C20+'Kittitas Pgs 36-37'!C20+'Klickitat Pgs 38-39'!C20+'Lewis Pgs 40-41'!C20+'Lincoln Pgs 42-43'!C20+'Mason Pgs 44-45'!C20+'Northeast Tri Pgs 46-47'!C20+'Okanogan Pgs 48-49'!C20+'Pacific Pgs 50-51'!C20+'San Juan Pgs 52-53'!C20+'Skagit Pgs 56-57'!C20+'Skamania Pgs 58-59'!C20+'Snohomish Pgs 60-61'!C20+'Spokane Pgs 62-63'!C20+'Tacoma-Pierce Pgs 64-65'!C20+'Thurston Pgs 66-67'!C20+'Wahkiakum Pgs 68-69'!C20+'Walla Walla Pgs 70-71'!C20+'Whatcom Pgs 72-73'!C20+'Whitman Pgs 74-75'!C20+'Yakima Pgs 76-77'!C20+'Seattle-King Pgs 54-55'!C20</f>
        <v>517892</v>
      </c>
      <c r="D20" s="102">
        <f>'Adams Pgs 8-9'!D20+'Asotin Pgs 10-11'!D20+'Benton-Franklin Pgs 12-13'!D20+'Chelan-Douglas Pgs 14-15'!D20+'Clallam Pgs 16-17'!D20+'Clark Pgs 18-19'!D20+'Columbia Pgs 20-21'!D20+'Cowlitz Pgs 22-23'!D20+'Garfield Pgs 24-25'!D20+'Grant Pgs 26-27'!D20+'Grays Harbor Pgs 28-29'!D20+'Island Pgs 30-31'!D20+'Jefferson Pgs 32-33'!D20+'Kitsap Pgs 34-35'!D20+'Kittitas Pgs 36-37'!D20+'Klickitat Pgs 38-39'!D20+'Lewis Pgs 40-41'!D20+'Lincoln Pgs 42-43'!D20+'Mason Pgs 44-45'!D20+'Northeast Tri Pgs 46-47'!D20+'Okanogan Pgs 48-49'!D20+'Pacific Pgs 50-51'!D20+'San Juan Pgs 52-53'!D20+'Skagit Pgs 56-57'!D20+'Skamania Pgs 58-59'!D20+'Snohomish Pgs 60-61'!D20+'Spokane Pgs 62-63'!D20+'Tacoma-Pierce Pgs 64-65'!D20+'Thurston Pgs 66-67'!D20+'Wahkiakum Pgs 68-69'!D20+'Walla Walla Pgs 70-71'!D20+'Whatcom Pgs 72-73'!D20+'Whitman Pgs 74-75'!D20+'Yakima Pgs 76-77'!D20+'Seattle-King Pgs 54-55'!D20</f>
        <v>78</v>
      </c>
      <c r="E20" s="100">
        <f>'Adams Pgs 8-9'!E20+'Asotin Pgs 10-11'!E20+'Benton-Franklin Pgs 12-13'!E20+'Chelan-Douglas Pgs 14-15'!E20+'Clallam Pgs 16-17'!E20+'Clark Pgs 18-19'!E20+'Columbia Pgs 20-21'!E20+'Cowlitz Pgs 22-23'!E20+'Garfield Pgs 24-25'!E20+'Grant Pgs 26-27'!E20+'Grays Harbor Pgs 28-29'!E20+'Island Pgs 30-31'!E20+'Jefferson Pgs 32-33'!E20+'Kitsap Pgs 34-35'!E20+'Kittitas Pgs 36-37'!E20+'Klickitat Pgs 38-39'!E20+'Lewis Pgs 40-41'!E20+'Lincoln Pgs 42-43'!E20+'Mason Pgs 44-45'!E20+'Northeast Tri Pgs 46-47'!E20+'Okanogan Pgs 48-49'!E20+'Pacific Pgs 50-51'!E20+'San Juan Pgs 52-53'!E20+'Skagit Pgs 56-57'!E20+'Skamania Pgs 58-59'!E20+'Snohomish Pgs 60-61'!E20+'Spokane Pgs 62-63'!E20+'Tacoma-Pierce Pgs 64-65'!E20+'Thurston Pgs 66-67'!E20+'Wahkiakum Pgs 68-69'!E20+'Walla Walla Pgs 70-71'!E20+'Whatcom Pgs 72-73'!E20+'Whitman Pgs 74-75'!E20+'Yakima Pgs 76-77'!E20+'Seattle-King Pgs 54-55'!E20</f>
        <v>0</v>
      </c>
      <c r="F20" s="101">
        <f>'Adams Pgs 8-9'!F20+'Asotin Pgs 10-11'!F20+'Benton-Franklin Pgs 12-13'!F20+'Chelan-Douglas Pgs 14-15'!F20+'Clallam Pgs 16-17'!F20+'Clark Pgs 18-19'!F20+'Columbia Pgs 20-21'!F20+'Cowlitz Pgs 22-23'!F20+'Garfield Pgs 24-25'!F20+'Grant Pgs 26-27'!F20+'Grays Harbor Pgs 28-29'!F20+'Island Pgs 30-31'!F20+'Jefferson Pgs 32-33'!F20+'Kitsap Pgs 34-35'!F20+'Kittitas Pgs 36-37'!F20+'Klickitat Pgs 38-39'!F20+'Lewis Pgs 40-41'!F20+'Lincoln Pgs 42-43'!F20+'Mason Pgs 44-45'!F20+'Northeast Tri Pgs 46-47'!F20+'Okanogan Pgs 48-49'!F20+'Pacific Pgs 50-51'!F20+'San Juan Pgs 52-53'!F20+'Skagit Pgs 56-57'!F20+'Skamania Pgs 58-59'!F20+'Snohomish Pgs 60-61'!F20+'Spokane Pgs 62-63'!F20+'Tacoma-Pierce Pgs 64-65'!F20+'Thurston Pgs 66-67'!F20+'Wahkiakum Pgs 68-69'!F20+'Walla Walla Pgs 70-71'!F20+'Whatcom Pgs 72-73'!F20+'Whitman Pgs 74-75'!F20+'Yakima Pgs 76-77'!F20+'Seattle-King Pgs 54-55'!F20</f>
        <v>984037</v>
      </c>
      <c r="G20" s="102">
        <f>'Adams Pgs 8-9'!G20+'Asotin Pgs 10-11'!G20+'Benton-Franklin Pgs 12-13'!G20+'Chelan-Douglas Pgs 14-15'!G20+'Clallam Pgs 16-17'!G20+'Clark Pgs 18-19'!G20+'Columbia Pgs 20-21'!G20+'Cowlitz Pgs 22-23'!G20+'Garfield Pgs 24-25'!G20+'Grant Pgs 26-27'!G20+'Grays Harbor Pgs 28-29'!G20+'Island Pgs 30-31'!G20+'Jefferson Pgs 32-33'!G20+'Kitsap Pgs 34-35'!G20+'Kittitas Pgs 36-37'!G20+'Klickitat Pgs 38-39'!G20+'Lewis Pgs 40-41'!G20+'Lincoln Pgs 42-43'!G20+'Mason Pgs 44-45'!G20+'Northeast Tri Pgs 46-47'!G20+'Okanogan Pgs 48-49'!G20+'Pacific Pgs 50-51'!G20+'San Juan Pgs 52-53'!G20+'Skagit Pgs 56-57'!G20+'Skamania Pgs 58-59'!G20+'Snohomish Pgs 60-61'!G20+'Spokane Pgs 62-63'!G20+'Tacoma-Pierce Pgs 64-65'!G20+'Thurston Pgs 66-67'!G20+'Wahkiakum Pgs 68-69'!G20+'Walla Walla Pgs 70-71'!G20+'Whatcom Pgs 72-73'!G20+'Whitman Pgs 74-75'!G20+'Yakima Pgs 76-77'!G20+'Seattle-King Pgs 54-55'!G20</f>
        <v>5000</v>
      </c>
      <c r="H20" s="100">
        <f>'Adams Pgs 8-9'!H20+'Asotin Pgs 10-11'!H20+'Benton-Franklin Pgs 12-13'!H20+'Chelan-Douglas Pgs 14-15'!H20+'Clallam Pgs 16-17'!H20+'Clark Pgs 18-19'!H20+'Columbia Pgs 20-21'!H20+'Cowlitz Pgs 22-23'!H20+'Garfield Pgs 24-25'!H20+'Grant Pgs 26-27'!H20+'Grays Harbor Pgs 28-29'!H20+'Island Pgs 30-31'!H20+'Jefferson Pgs 32-33'!H20+'Kitsap Pgs 34-35'!H20+'Kittitas Pgs 36-37'!H20+'Klickitat Pgs 38-39'!H20+'Lewis Pgs 40-41'!H20+'Lincoln Pgs 42-43'!H20+'Mason Pgs 44-45'!H20+'Northeast Tri Pgs 46-47'!H20+'Okanogan Pgs 48-49'!H20+'Pacific Pgs 50-51'!H20+'San Juan Pgs 52-53'!H20+'Skagit Pgs 56-57'!H20+'Skamania Pgs 58-59'!H20+'Snohomish Pgs 60-61'!H20+'Spokane Pgs 62-63'!H20+'Tacoma-Pierce Pgs 64-65'!H20+'Thurston Pgs 66-67'!H20+'Wahkiakum Pgs 68-69'!H20+'Walla Walla Pgs 70-71'!H20+'Whatcom Pgs 72-73'!H20+'Whitman Pgs 74-75'!H20+'Yakima Pgs 76-77'!H20+'Seattle-King Pgs 54-55'!H20</f>
        <v>48338</v>
      </c>
      <c r="I20" s="102">
        <f>'Adams Pgs 8-9'!I20+'Asotin Pgs 10-11'!I20+'Benton-Franklin Pgs 12-13'!I20+'Chelan-Douglas Pgs 14-15'!I20+'Clallam Pgs 16-17'!I20+'Clark Pgs 18-19'!I20+'Columbia Pgs 20-21'!I20+'Cowlitz Pgs 22-23'!I20+'Garfield Pgs 24-25'!I20+'Grant Pgs 26-27'!I20+'Grays Harbor Pgs 28-29'!I20+'Island Pgs 30-31'!I20+'Jefferson Pgs 32-33'!I20+'Kitsap Pgs 34-35'!I20+'Kittitas Pgs 36-37'!I20+'Klickitat Pgs 38-39'!I20+'Lewis Pgs 40-41'!I20+'Lincoln Pgs 42-43'!I20+'Mason Pgs 44-45'!I20+'Northeast Tri Pgs 46-47'!I20+'Okanogan Pgs 48-49'!I20+'Pacific Pgs 50-51'!I20+'San Juan Pgs 52-53'!I20+'Snohomish Pgs 60-61'!I20+'Spokane Pgs 62-63'!I20+'Tacoma-Pierce Pgs 64-65'!I20+'Thurston Pgs 66-67'!I20+'Wahkiakum Pgs 68-69'!I20+'Walla Walla Pgs 70-71'!I20+'Whatcom Pgs 72-73'!I20+'Whitman Pgs 74-75'!I20+'Yakima Pgs 76-77'!I20+'Seattle-King Pgs 54-55'!I20+'Skagit Pgs 56-57'!I20+'Skamania Pgs 58-59'!I20</f>
        <v>149855</v>
      </c>
      <c r="J20" s="104">
        <f>'Adams Pgs 8-9'!J20+'Asotin Pgs 10-11'!J20+'Benton-Franklin Pgs 12-13'!J20+'Chelan-Douglas Pgs 14-15'!J20+'Clallam Pgs 16-17'!J20+'Clark Pgs 18-19'!J20+'Columbia Pgs 20-21'!J20+'Cowlitz Pgs 22-23'!J20+'Garfield Pgs 24-25'!J20+'Grant Pgs 26-27'!J20+'Grays Harbor Pgs 28-29'!J20+'Island Pgs 30-31'!J20+'Jefferson Pgs 32-33'!J20+'Kitsap Pgs 34-35'!J20+'Kittitas Pgs 36-37'!J20+'Klickitat Pgs 38-39'!J20+'Lewis Pgs 40-41'!J20+'Lincoln Pgs 42-43'!J20+'Mason Pgs 44-45'!J20+'Northeast Tri Pgs 46-47'!J20+'Okanogan Pgs 48-49'!J20+'Pacific Pgs 50-51'!J20+'San Juan Pgs 52-53'!J20+'Skagit Pgs 56-57'!J20+'Skamania Pgs 58-59'!J20+'Snohomish Pgs 60-61'!J20+'Spokane Pgs 62-63'!J20+'Tacoma-Pierce Pgs 64-65'!J20+'Thurston Pgs 66-67'!J20+'Wahkiakum Pgs 68-69'!J20+'Walla Walla Pgs 70-71'!J20+'Whatcom Pgs 72-73'!J20+'Whitman Pgs 74-75'!J20+'Yakima Pgs 76-77'!J20+'Seattle-King Pgs 54-55'!J20</f>
        <v>10879</v>
      </c>
      <c r="K20" s="129">
        <f t="shared" si="0"/>
        <v>1716079</v>
      </c>
      <c r="L20"/>
    </row>
    <row r="21" spans="1:12" x14ac:dyDescent="0.35">
      <c r="A21" s="79">
        <v>562.42999999999995</v>
      </c>
      <c r="B21" s="28" t="s">
        <v>56</v>
      </c>
      <c r="C21" s="103">
        <f>'Adams Pgs 8-9'!C21+'Asotin Pgs 10-11'!C21+'Benton-Franklin Pgs 12-13'!C21+'Chelan-Douglas Pgs 14-15'!C21+'Clallam Pgs 16-17'!C21+'Clark Pgs 18-19'!C21+'Columbia Pgs 20-21'!C21+'Cowlitz Pgs 22-23'!C21+'Garfield Pgs 24-25'!C21+'Grant Pgs 26-27'!C21+'Grays Harbor Pgs 28-29'!C21+'Island Pgs 30-31'!C21+'Jefferson Pgs 32-33'!C21+'Kitsap Pgs 34-35'!C21+'Kittitas Pgs 36-37'!C21+'Klickitat Pgs 38-39'!C21+'Lewis Pgs 40-41'!C21+'Lincoln Pgs 42-43'!C21+'Mason Pgs 44-45'!C21+'Northeast Tri Pgs 46-47'!C21+'Okanogan Pgs 48-49'!C21+'Pacific Pgs 50-51'!C21+'San Juan Pgs 52-53'!C21+'Skagit Pgs 56-57'!C21+'Skamania Pgs 58-59'!C21+'Snohomish Pgs 60-61'!C21+'Spokane Pgs 62-63'!C21+'Tacoma-Pierce Pgs 64-65'!C21+'Thurston Pgs 66-67'!C21+'Wahkiakum Pgs 68-69'!C21+'Walla Walla Pgs 70-71'!C21+'Whatcom Pgs 72-73'!C21+'Whitman Pgs 74-75'!C21+'Yakima Pgs 76-77'!C21+'Seattle-King Pgs 54-55'!C21</f>
        <v>2585</v>
      </c>
      <c r="D21" s="102">
        <f>'Adams Pgs 8-9'!D21+'Asotin Pgs 10-11'!D21+'Benton-Franklin Pgs 12-13'!D21+'Chelan-Douglas Pgs 14-15'!D21+'Clallam Pgs 16-17'!D21+'Clark Pgs 18-19'!D21+'Columbia Pgs 20-21'!D21+'Cowlitz Pgs 22-23'!D21+'Garfield Pgs 24-25'!D21+'Grant Pgs 26-27'!D21+'Grays Harbor Pgs 28-29'!D21+'Island Pgs 30-31'!D21+'Jefferson Pgs 32-33'!D21+'Kitsap Pgs 34-35'!D21+'Kittitas Pgs 36-37'!D21+'Klickitat Pgs 38-39'!D21+'Lewis Pgs 40-41'!D21+'Lincoln Pgs 42-43'!D21+'Mason Pgs 44-45'!D21+'Northeast Tri Pgs 46-47'!D21+'Okanogan Pgs 48-49'!D21+'Pacific Pgs 50-51'!D21+'San Juan Pgs 52-53'!D21+'Skagit Pgs 56-57'!D21+'Skamania Pgs 58-59'!D21+'Snohomish Pgs 60-61'!D21+'Spokane Pgs 62-63'!D21+'Tacoma-Pierce Pgs 64-65'!D21+'Thurston Pgs 66-67'!D21+'Wahkiakum Pgs 68-69'!D21+'Walla Walla Pgs 70-71'!D21+'Whatcom Pgs 72-73'!D21+'Whitman Pgs 74-75'!D21+'Yakima Pgs 76-77'!D21+'Seattle-King Pgs 54-55'!D21</f>
        <v>0</v>
      </c>
      <c r="E21" s="100">
        <f>'Adams Pgs 8-9'!E21+'Asotin Pgs 10-11'!E21+'Benton-Franklin Pgs 12-13'!E21+'Chelan-Douglas Pgs 14-15'!E21+'Clallam Pgs 16-17'!E21+'Clark Pgs 18-19'!E21+'Columbia Pgs 20-21'!E21+'Cowlitz Pgs 22-23'!E21+'Garfield Pgs 24-25'!E21+'Grant Pgs 26-27'!E21+'Grays Harbor Pgs 28-29'!E21+'Island Pgs 30-31'!E21+'Jefferson Pgs 32-33'!E21+'Kitsap Pgs 34-35'!E21+'Kittitas Pgs 36-37'!E21+'Klickitat Pgs 38-39'!E21+'Lewis Pgs 40-41'!E21+'Lincoln Pgs 42-43'!E21+'Mason Pgs 44-45'!E21+'Northeast Tri Pgs 46-47'!E21+'Okanogan Pgs 48-49'!E21+'Pacific Pgs 50-51'!E21+'San Juan Pgs 52-53'!E21+'Skagit Pgs 56-57'!E21+'Skamania Pgs 58-59'!E21+'Snohomish Pgs 60-61'!E21+'Spokane Pgs 62-63'!E21+'Tacoma-Pierce Pgs 64-65'!E21+'Thurston Pgs 66-67'!E21+'Wahkiakum Pgs 68-69'!E21+'Walla Walla Pgs 70-71'!E21+'Whatcom Pgs 72-73'!E21+'Whitman Pgs 74-75'!E21+'Yakima Pgs 76-77'!E21+'Seattle-King Pgs 54-55'!E21</f>
        <v>178901</v>
      </c>
      <c r="F21" s="101">
        <f>'Adams Pgs 8-9'!F21+'Asotin Pgs 10-11'!F21+'Benton-Franklin Pgs 12-13'!F21+'Chelan-Douglas Pgs 14-15'!F21+'Clallam Pgs 16-17'!F21+'Clark Pgs 18-19'!F21+'Columbia Pgs 20-21'!F21+'Cowlitz Pgs 22-23'!F21+'Garfield Pgs 24-25'!F21+'Grant Pgs 26-27'!F21+'Grays Harbor Pgs 28-29'!F21+'Island Pgs 30-31'!F21+'Jefferson Pgs 32-33'!F21+'Kitsap Pgs 34-35'!F21+'Kittitas Pgs 36-37'!F21+'Klickitat Pgs 38-39'!F21+'Lewis Pgs 40-41'!F21+'Lincoln Pgs 42-43'!F21+'Mason Pgs 44-45'!F21+'Northeast Tri Pgs 46-47'!F21+'Okanogan Pgs 48-49'!F21+'Pacific Pgs 50-51'!F21+'San Juan Pgs 52-53'!F21+'Skagit Pgs 56-57'!F21+'Skamania Pgs 58-59'!F21+'Snohomish Pgs 60-61'!F21+'Spokane Pgs 62-63'!F21+'Tacoma-Pierce Pgs 64-65'!F21+'Thurston Pgs 66-67'!F21+'Wahkiakum Pgs 68-69'!F21+'Walla Walla Pgs 70-71'!F21+'Whatcom Pgs 72-73'!F21+'Whitman Pgs 74-75'!F21+'Yakima Pgs 76-77'!F21+'Seattle-King Pgs 54-55'!F21</f>
        <v>38964</v>
      </c>
      <c r="G21" s="102">
        <f>'Adams Pgs 8-9'!G21+'Asotin Pgs 10-11'!G21+'Benton-Franklin Pgs 12-13'!G21+'Chelan-Douglas Pgs 14-15'!G21+'Clallam Pgs 16-17'!G21+'Clark Pgs 18-19'!G21+'Columbia Pgs 20-21'!G21+'Cowlitz Pgs 22-23'!G21+'Garfield Pgs 24-25'!G21+'Grant Pgs 26-27'!G21+'Grays Harbor Pgs 28-29'!G21+'Island Pgs 30-31'!G21+'Jefferson Pgs 32-33'!G21+'Kitsap Pgs 34-35'!G21+'Kittitas Pgs 36-37'!G21+'Klickitat Pgs 38-39'!G21+'Lewis Pgs 40-41'!G21+'Lincoln Pgs 42-43'!G21+'Mason Pgs 44-45'!G21+'Northeast Tri Pgs 46-47'!G21+'Okanogan Pgs 48-49'!G21+'Pacific Pgs 50-51'!G21+'San Juan Pgs 52-53'!G21+'Skagit Pgs 56-57'!G21+'Skamania Pgs 58-59'!G21+'Snohomish Pgs 60-61'!G21+'Spokane Pgs 62-63'!G21+'Tacoma-Pierce Pgs 64-65'!G21+'Thurston Pgs 66-67'!G21+'Wahkiakum Pgs 68-69'!G21+'Walla Walla Pgs 70-71'!G21+'Whatcom Pgs 72-73'!G21+'Whitman Pgs 74-75'!G21+'Yakima Pgs 76-77'!G21+'Seattle-King Pgs 54-55'!G21</f>
        <v>0</v>
      </c>
      <c r="H21" s="100">
        <f>'Adams Pgs 8-9'!H21+'Asotin Pgs 10-11'!H21+'Benton-Franklin Pgs 12-13'!H21+'Chelan-Douglas Pgs 14-15'!H21+'Clallam Pgs 16-17'!H21+'Clark Pgs 18-19'!H21+'Columbia Pgs 20-21'!H21+'Cowlitz Pgs 22-23'!H21+'Garfield Pgs 24-25'!H21+'Grant Pgs 26-27'!H21+'Grays Harbor Pgs 28-29'!H21+'Island Pgs 30-31'!H21+'Jefferson Pgs 32-33'!H21+'Kitsap Pgs 34-35'!H21+'Kittitas Pgs 36-37'!H21+'Klickitat Pgs 38-39'!H21+'Lewis Pgs 40-41'!H21+'Lincoln Pgs 42-43'!H21+'Mason Pgs 44-45'!H21+'Northeast Tri Pgs 46-47'!H21+'Okanogan Pgs 48-49'!H21+'Pacific Pgs 50-51'!H21+'San Juan Pgs 52-53'!H21+'Skagit Pgs 56-57'!H21+'Skamania Pgs 58-59'!H21+'Snohomish Pgs 60-61'!H21+'Spokane Pgs 62-63'!H21+'Tacoma-Pierce Pgs 64-65'!H21+'Thurston Pgs 66-67'!H21+'Wahkiakum Pgs 68-69'!H21+'Walla Walla Pgs 70-71'!H21+'Whatcom Pgs 72-73'!H21+'Whitman Pgs 74-75'!H21+'Yakima Pgs 76-77'!H21+'Seattle-King Pgs 54-55'!H21</f>
        <v>611414</v>
      </c>
      <c r="I21" s="102">
        <f>'Adams Pgs 8-9'!I21+'Asotin Pgs 10-11'!I21+'Benton-Franklin Pgs 12-13'!I21+'Chelan-Douglas Pgs 14-15'!I21+'Clallam Pgs 16-17'!I21+'Clark Pgs 18-19'!I21+'Columbia Pgs 20-21'!I21+'Cowlitz Pgs 22-23'!I21+'Garfield Pgs 24-25'!I21+'Grant Pgs 26-27'!I21+'Grays Harbor Pgs 28-29'!I21+'Island Pgs 30-31'!I21+'Jefferson Pgs 32-33'!I21+'Kitsap Pgs 34-35'!I21+'Kittitas Pgs 36-37'!I21+'Klickitat Pgs 38-39'!I21+'Lewis Pgs 40-41'!I21+'Lincoln Pgs 42-43'!I21+'Mason Pgs 44-45'!I21+'Northeast Tri Pgs 46-47'!I21+'Okanogan Pgs 48-49'!I21+'Pacific Pgs 50-51'!I21+'San Juan Pgs 52-53'!I21+'Snohomish Pgs 60-61'!I21+'Spokane Pgs 62-63'!I21+'Tacoma-Pierce Pgs 64-65'!I21+'Thurston Pgs 66-67'!I21+'Wahkiakum Pgs 68-69'!I21+'Walla Walla Pgs 70-71'!I21+'Whatcom Pgs 72-73'!I21+'Whitman Pgs 74-75'!I21+'Yakima Pgs 76-77'!I21+'Seattle-King Pgs 54-55'!I21+'Skagit Pgs 56-57'!I21+'Skamania Pgs 58-59'!I21</f>
        <v>311</v>
      </c>
      <c r="J21" s="104">
        <f>'Adams Pgs 8-9'!J21+'Asotin Pgs 10-11'!J21+'Benton-Franklin Pgs 12-13'!J21+'Chelan-Douglas Pgs 14-15'!J21+'Clallam Pgs 16-17'!J21+'Clark Pgs 18-19'!J21+'Columbia Pgs 20-21'!J21+'Cowlitz Pgs 22-23'!J21+'Garfield Pgs 24-25'!J21+'Grant Pgs 26-27'!J21+'Grays Harbor Pgs 28-29'!J21+'Island Pgs 30-31'!J21+'Jefferson Pgs 32-33'!J21+'Kitsap Pgs 34-35'!J21+'Kittitas Pgs 36-37'!J21+'Klickitat Pgs 38-39'!J21+'Lewis Pgs 40-41'!J21+'Lincoln Pgs 42-43'!J21+'Mason Pgs 44-45'!J21+'Northeast Tri Pgs 46-47'!J21+'Okanogan Pgs 48-49'!J21+'Pacific Pgs 50-51'!J21+'San Juan Pgs 52-53'!J21+'Skagit Pgs 56-57'!J21+'Skamania Pgs 58-59'!J21+'Snohomish Pgs 60-61'!J21+'Spokane Pgs 62-63'!J21+'Tacoma-Pierce Pgs 64-65'!J21+'Thurston Pgs 66-67'!J21+'Wahkiakum Pgs 68-69'!J21+'Walla Walla Pgs 70-71'!J21+'Whatcom Pgs 72-73'!J21+'Whitman Pgs 74-75'!J21+'Yakima Pgs 76-77'!J21+'Seattle-King Pgs 54-55'!J21</f>
        <v>20250</v>
      </c>
      <c r="K21" s="129">
        <f t="shared" si="0"/>
        <v>852425</v>
      </c>
      <c r="L21"/>
    </row>
    <row r="22" spans="1:12" x14ac:dyDescent="0.35">
      <c r="A22" s="79">
        <v>562.44000000000005</v>
      </c>
      <c r="B22" s="28" t="s">
        <v>57</v>
      </c>
      <c r="C22" s="103">
        <f>'Adams Pgs 8-9'!C22+'Asotin Pgs 10-11'!C22+'Benton-Franklin Pgs 12-13'!C22+'Chelan-Douglas Pgs 14-15'!C22+'Clallam Pgs 16-17'!C22+'Clark Pgs 18-19'!C22+'Columbia Pgs 20-21'!C22+'Cowlitz Pgs 22-23'!C22+'Garfield Pgs 24-25'!C22+'Grant Pgs 26-27'!C22+'Grays Harbor Pgs 28-29'!C22+'Island Pgs 30-31'!C22+'Jefferson Pgs 32-33'!C22+'Kitsap Pgs 34-35'!C22+'Kittitas Pgs 36-37'!C22+'Klickitat Pgs 38-39'!C22+'Lewis Pgs 40-41'!C22+'Lincoln Pgs 42-43'!C22+'Mason Pgs 44-45'!C22+'Northeast Tri Pgs 46-47'!C22+'Okanogan Pgs 48-49'!C22+'Pacific Pgs 50-51'!C22+'San Juan Pgs 52-53'!C22+'Skagit Pgs 56-57'!C22+'Skamania Pgs 58-59'!C22+'Snohomish Pgs 60-61'!C22+'Spokane Pgs 62-63'!C22+'Tacoma-Pierce Pgs 64-65'!C22+'Thurston Pgs 66-67'!C22+'Wahkiakum Pgs 68-69'!C22+'Walla Walla Pgs 70-71'!C22+'Whatcom Pgs 72-73'!C22+'Whitman Pgs 74-75'!C22+'Yakima Pgs 76-77'!C22+'Seattle-King Pgs 54-55'!C22</f>
        <v>297681</v>
      </c>
      <c r="D22" s="102">
        <f>'Adams Pgs 8-9'!D22+'Asotin Pgs 10-11'!D22+'Benton-Franklin Pgs 12-13'!D22+'Chelan-Douglas Pgs 14-15'!D22+'Clallam Pgs 16-17'!D22+'Clark Pgs 18-19'!D22+'Columbia Pgs 20-21'!D22+'Cowlitz Pgs 22-23'!D22+'Garfield Pgs 24-25'!D22+'Grant Pgs 26-27'!D22+'Grays Harbor Pgs 28-29'!D22+'Island Pgs 30-31'!D22+'Jefferson Pgs 32-33'!D22+'Kitsap Pgs 34-35'!D22+'Kittitas Pgs 36-37'!D22+'Klickitat Pgs 38-39'!D22+'Lewis Pgs 40-41'!D22+'Lincoln Pgs 42-43'!D22+'Mason Pgs 44-45'!D22+'Northeast Tri Pgs 46-47'!D22+'Okanogan Pgs 48-49'!D22+'Pacific Pgs 50-51'!D22+'San Juan Pgs 52-53'!D22+'Skagit Pgs 56-57'!D22+'Skamania Pgs 58-59'!D22+'Snohomish Pgs 60-61'!D22+'Spokane Pgs 62-63'!D22+'Tacoma-Pierce Pgs 64-65'!D22+'Thurston Pgs 66-67'!D22+'Wahkiakum Pgs 68-69'!D22+'Walla Walla Pgs 70-71'!D22+'Whatcom Pgs 72-73'!D22+'Whitman Pgs 74-75'!D22+'Yakima Pgs 76-77'!D22+'Seattle-King Pgs 54-55'!D22</f>
        <v>14439</v>
      </c>
      <c r="E22" s="100">
        <f>'Adams Pgs 8-9'!E22+'Asotin Pgs 10-11'!E22+'Benton-Franklin Pgs 12-13'!E22+'Chelan-Douglas Pgs 14-15'!E22+'Clallam Pgs 16-17'!E22+'Clark Pgs 18-19'!E22+'Columbia Pgs 20-21'!E22+'Cowlitz Pgs 22-23'!E22+'Garfield Pgs 24-25'!E22+'Grant Pgs 26-27'!E22+'Grays Harbor Pgs 28-29'!E22+'Island Pgs 30-31'!E22+'Jefferson Pgs 32-33'!E22+'Kitsap Pgs 34-35'!E22+'Kittitas Pgs 36-37'!E22+'Klickitat Pgs 38-39'!E22+'Lewis Pgs 40-41'!E22+'Lincoln Pgs 42-43'!E22+'Mason Pgs 44-45'!E22+'Northeast Tri Pgs 46-47'!E22+'Okanogan Pgs 48-49'!E22+'Pacific Pgs 50-51'!E22+'San Juan Pgs 52-53'!E22+'Skagit Pgs 56-57'!E22+'Skamania Pgs 58-59'!E22+'Snohomish Pgs 60-61'!E22+'Spokane Pgs 62-63'!E22+'Tacoma-Pierce Pgs 64-65'!E22+'Thurston Pgs 66-67'!E22+'Wahkiakum Pgs 68-69'!E22+'Walla Walla Pgs 70-71'!E22+'Whatcom Pgs 72-73'!E22+'Whitman Pgs 74-75'!E22+'Yakima Pgs 76-77'!E22+'Seattle-King Pgs 54-55'!E22</f>
        <v>1469606</v>
      </c>
      <c r="F22" s="101">
        <f>'Adams Pgs 8-9'!F22+'Asotin Pgs 10-11'!F22+'Benton-Franklin Pgs 12-13'!F22+'Chelan-Douglas Pgs 14-15'!F22+'Clallam Pgs 16-17'!F22+'Clark Pgs 18-19'!F22+'Columbia Pgs 20-21'!F22+'Cowlitz Pgs 22-23'!F22+'Garfield Pgs 24-25'!F22+'Grant Pgs 26-27'!F22+'Grays Harbor Pgs 28-29'!F22+'Island Pgs 30-31'!F22+'Jefferson Pgs 32-33'!F22+'Kitsap Pgs 34-35'!F22+'Kittitas Pgs 36-37'!F22+'Klickitat Pgs 38-39'!F22+'Lewis Pgs 40-41'!F22+'Lincoln Pgs 42-43'!F22+'Mason Pgs 44-45'!F22+'Northeast Tri Pgs 46-47'!F22+'Okanogan Pgs 48-49'!F22+'Pacific Pgs 50-51'!F22+'San Juan Pgs 52-53'!F22+'Skagit Pgs 56-57'!F22+'Skamania Pgs 58-59'!F22+'Snohomish Pgs 60-61'!F22+'Spokane Pgs 62-63'!F22+'Tacoma-Pierce Pgs 64-65'!F22+'Thurston Pgs 66-67'!F22+'Wahkiakum Pgs 68-69'!F22+'Walla Walla Pgs 70-71'!F22+'Whatcom Pgs 72-73'!F22+'Whitman Pgs 74-75'!F22+'Yakima Pgs 76-77'!F22+'Seattle-King Pgs 54-55'!F22</f>
        <v>1010351</v>
      </c>
      <c r="G22" s="102">
        <f>'Adams Pgs 8-9'!G22+'Asotin Pgs 10-11'!G22+'Benton-Franklin Pgs 12-13'!G22+'Chelan-Douglas Pgs 14-15'!G22+'Clallam Pgs 16-17'!G22+'Clark Pgs 18-19'!G22+'Columbia Pgs 20-21'!G22+'Cowlitz Pgs 22-23'!G22+'Garfield Pgs 24-25'!G22+'Grant Pgs 26-27'!G22+'Grays Harbor Pgs 28-29'!G22+'Island Pgs 30-31'!G22+'Jefferson Pgs 32-33'!G22+'Kitsap Pgs 34-35'!G22+'Kittitas Pgs 36-37'!G22+'Klickitat Pgs 38-39'!G22+'Lewis Pgs 40-41'!G22+'Lincoln Pgs 42-43'!G22+'Mason Pgs 44-45'!G22+'Northeast Tri Pgs 46-47'!G22+'Okanogan Pgs 48-49'!G22+'Pacific Pgs 50-51'!G22+'San Juan Pgs 52-53'!G22+'Skagit Pgs 56-57'!G22+'Skamania Pgs 58-59'!G22+'Snohomish Pgs 60-61'!G22+'Spokane Pgs 62-63'!G22+'Tacoma-Pierce Pgs 64-65'!G22+'Thurston Pgs 66-67'!G22+'Wahkiakum Pgs 68-69'!G22+'Walla Walla Pgs 70-71'!G22+'Whatcom Pgs 72-73'!G22+'Whitman Pgs 74-75'!G22+'Yakima Pgs 76-77'!G22+'Seattle-King Pgs 54-55'!G22</f>
        <v>377096</v>
      </c>
      <c r="H22" s="100">
        <f>'Adams Pgs 8-9'!H22+'Asotin Pgs 10-11'!H22+'Benton-Franklin Pgs 12-13'!H22+'Chelan-Douglas Pgs 14-15'!H22+'Clallam Pgs 16-17'!H22+'Clark Pgs 18-19'!H22+'Columbia Pgs 20-21'!H22+'Cowlitz Pgs 22-23'!H22+'Garfield Pgs 24-25'!H22+'Grant Pgs 26-27'!H22+'Grays Harbor Pgs 28-29'!H22+'Island Pgs 30-31'!H22+'Jefferson Pgs 32-33'!H22+'Kitsap Pgs 34-35'!H22+'Kittitas Pgs 36-37'!H22+'Klickitat Pgs 38-39'!H22+'Lewis Pgs 40-41'!H22+'Lincoln Pgs 42-43'!H22+'Mason Pgs 44-45'!H22+'Northeast Tri Pgs 46-47'!H22+'Okanogan Pgs 48-49'!H22+'Pacific Pgs 50-51'!H22+'San Juan Pgs 52-53'!H22+'Skagit Pgs 56-57'!H22+'Skamania Pgs 58-59'!H22+'Snohomish Pgs 60-61'!H22+'Spokane Pgs 62-63'!H22+'Tacoma-Pierce Pgs 64-65'!H22+'Thurston Pgs 66-67'!H22+'Wahkiakum Pgs 68-69'!H22+'Walla Walla Pgs 70-71'!H22+'Whatcom Pgs 72-73'!H22+'Whitman Pgs 74-75'!H22+'Yakima Pgs 76-77'!H22+'Seattle-King Pgs 54-55'!H22</f>
        <v>342242</v>
      </c>
      <c r="I22" s="102">
        <f>'Adams Pgs 8-9'!I22+'Asotin Pgs 10-11'!I22+'Benton-Franklin Pgs 12-13'!I22+'Chelan-Douglas Pgs 14-15'!I22+'Clallam Pgs 16-17'!I22+'Clark Pgs 18-19'!I22+'Columbia Pgs 20-21'!I22+'Cowlitz Pgs 22-23'!I22+'Garfield Pgs 24-25'!I22+'Grant Pgs 26-27'!I22+'Grays Harbor Pgs 28-29'!I22+'Island Pgs 30-31'!I22+'Jefferson Pgs 32-33'!I22+'Kitsap Pgs 34-35'!I22+'Kittitas Pgs 36-37'!I22+'Klickitat Pgs 38-39'!I22+'Lewis Pgs 40-41'!I22+'Lincoln Pgs 42-43'!I22+'Mason Pgs 44-45'!I22+'Northeast Tri Pgs 46-47'!I22+'Okanogan Pgs 48-49'!I22+'Pacific Pgs 50-51'!I22+'San Juan Pgs 52-53'!I22+'Snohomish Pgs 60-61'!I22+'Spokane Pgs 62-63'!I22+'Tacoma-Pierce Pgs 64-65'!I22+'Thurston Pgs 66-67'!I22+'Wahkiakum Pgs 68-69'!I22+'Walla Walla Pgs 70-71'!I22+'Whatcom Pgs 72-73'!I22+'Whitman Pgs 74-75'!I22+'Yakima Pgs 76-77'!I22+'Seattle-King Pgs 54-55'!I22+'Skagit Pgs 56-57'!I22+'Skamania Pgs 58-59'!I22</f>
        <v>27262</v>
      </c>
      <c r="J22" s="104">
        <f>'Adams Pgs 8-9'!J22+'Asotin Pgs 10-11'!J22+'Benton-Franklin Pgs 12-13'!J22+'Chelan-Douglas Pgs 14-15'!J22+'Clallam Pgs 16-17'!J22+'Clark Pgs 18-19'!J22+'Columbia Pgs 20-21'!J22+'Cowlitz Pgs 22-23'!J22+'Garfield Pgs 24-25'!J22+'Grant Pgs 26-27'!J22+'Grays Harbor Pgs 28-29'!J22+'Island Pgs 30-31'!J22+'Jefferson Pgs 32-33'!J22+'Kitsap Pgs 34-35'!J22+'Kittitas Pgs 36-37'!J22+'Klickitat Pgs 38-39'!J22+'Lewis Pgs 40-41'!J22+'Lincoln Pgs 42-43'!J22+'Mason Pgs 44-45'!J22+'Northeast Tri Pgs 46-47'!J22+'Okanogan Pgs 48-49'!J22+'Pacific Pgs 50-51'!J22+'San Juan Pgs 52-53'!J22+'Skagit Pgs 56-57'!J22+'Skamania Pgs 58-59'!J22+'Snohomish Pgs 60-61'!J22+'Spokane Pgs 62-63'!J22+'Tacoma-Pierce Pgs 64-65'!J22+'Thurston Pgs 66-67'!J22+'Wahkiakum Pgs 68-69'!J22+'Walla Walla Pgs 70-71'!J22+'Whatcom Pgs 72-73'!J22+'Whitman Pgs 74-75'!J22+'Yakima Pgs 76-77'!J22+'Seattle-King Pgs 54-55'!J22</f>
        <v>67207</v>
      </c>
      <c r="K22" s="129">
        <f t="shared" si="0"/>
        <v>3605884</v>
      </c>
      <c r="L22"/>
    </row>
    <row r="23" spans="1:12" x14ac:dyDescent="0.35">
      <c r="A23" s="79">
        <v>562.45000000000005</v>
      </c>
      <c r="B23" s="28" t="s">
        <v>58</v>
      </c>
      <c r="C23" s="103">
        <f>'Adams Pgs 8-9'!C23+'Asotin Pgs 10-11'!C23+'Benton-Franklin Pgs 12-13'!C23+'Chelan-Douglas Pgs 14-15'!C23+'Clallam Pgs 16-17'!C23+'Clark Pgs 18-19'!C23+'Columbia Pgs 20-21'!C23+'Cowlitz Pgs 22-23'!C23+'Garfield Pgs 24-25'!C23+'Grant Pgs 26-27'!C23+'Grays Harbor Pgs 28-29'!C23+'Island Pgs 30-31'!C23+'Jefferson Pgs 32-33'!C23+'Kitsap Pgs 34-35'!C23+'Kittitas Pgs 36-37'!C23+'Klickitat Pgs 38-39'!C23+'Lewis Pgs 40-41'!C23+'Lincoln Pgs 42-43'!C23+'Mason Pgs 44-45'!C23+'Northeast Tri Pgs 46-47'!C23+'Okanogan Pgs 48-49'!C23+'Pacific Pgs 50-51'!C23+'San Juan Pgs 52-53'!C23+'Skagit Pgs 56-57'!C23+'Skamania Pgs 58-59'!C23+'Snohomish Pgs 60-61'!C23+'Spokane Pgs 62-63'!C23+'Tacoma-Pierce Pgs 64-65'!C23+'Thurston Pgs 66-67'!C23+'Wahkiakum Pgs 68-69'!C23+'Walla Walla Pgs 70-71'!C23+'Whatcom Pgs 72-73'!C23+'Whitman Pgs 74-75'!C23+'Yakima Pgs 76-77'!C23+'Seattle-King Pgs 54-55'!C23</f>
        <v>179098</v>
      </c>
      <c r="D23" s="102">
        <f>'Adams Pgs 8-9'!D23+'Asotin Pgs 10-11'!D23+'Benton-Franklin Pgs 12-13'!D23+'Chelan-Douglas Pgs 14-15'!D23+'Clallam Pgs 16-17'!D23+'Clark Pgs 18-19'!D23+'Columbia Pgs 20-21'!D23+'Cowlitz Pgs 22-23'!D23+'Garfield Pgs 24-25'!D23+'Grant Pgs 26-27'!D23+'Grays Harbor Pgs 28-29'!D23+'Island Pgs 30-31'!D23+'Jefferson Pgs 32-33'!D23+'Kitsap Pgs 34-35'!D23+'Kittitas Pgs 36-37'!D23+'Klickitat Pgs 38-39'!D23+'Lewis Pgs 40-41'!D23+'Lincoln Pgs 42-43'!D23+'Mason Pgs 44-45'!D23+'Northeast Tri Pgs 46-47'!D23+'Okanogan Pgs 48-49'!D23+'Pacific Pgs 50-51'!D23+'San Juan Pgs 52-53'!D23+'Skagit Pgs 56-57'!D23+'Skamania Pgs 58-59'!D23+'Snohomish Pgs 60-61'!D23+'Spokane Pgs 62-63'!D23+'Tacoma-Pierce Pgs 64-65'!D23+'Thurston Pgs 66-67'!D23+'Wahkiakum Pgs 68-69'!D23+'Walla Walla Pgs 70-71'!D23+'Whatcom Pgs 72-73'!D23+'Whitman Pgs 74-75'!D23+'Yakima Pgs 76-77'!D23+'Seattle-King Pgs 54-55'!D23</f>
        <v>150</v>
      </c>
      <c r="E23" s="100">
        <f>'Adams Pgs 8-9'!E23+'Asotin Pgs 10-11'!E23+'Benton-Franklin Pgs 12-13'!E23+'Chelan-Douglas Pgs 14-15'!E23+'Clallam Pgs 16-17'!E23+'Clark Pgs 18-19'!E23+'Columbia Pgs 20-21'!E23+'Cowlitz Pgs 22-23'!E23+'Garfield Pgs 24-25'!E23+'Grant Pgs 26-27'!E23+'Grays Harbor Pgs 28-29'!E23+'Island Pgs 30-31'!E23+'Jefferson Pgs 32-33'!E23+'Kitsap Pgs 34-35'!E23+'Kittitas Pgs 36-37'!E23+'Klickitat Pgs 38-39'!E23+'Lewis Pgs 40-41'!E23+'Lincoln Pgs 42-43'!E23+'Mason Pgs 44-45'!E23+'Northeast Tri Pgs 46-47'!E23+'Okanogan Pgs 48-49'!E23+'Pacific Pgs 50-51'!E23+'San Juan Pgs 52-53'!E23+'Skagit Pgs 56-57'!E23+'Skamania Pgs 58-59'!E23+'Snohomish Pgs 60-61'!E23+'Spokane Pgs 62-63'!E23+'Tacoma-Pierce Pgs 64-65'!E23+'Thurston Pgs 66-67'!E23+'Wahkiakum Pgs 68-69'!E23+'Walla Walla Pgs 70-71'!E23+'Whatcom Pgs 72-73'!E23+'Whitman Pgs 74-75'!E23+'Yakima Pgs 76-77'!E23+'Seattle-King Pgs 54-55'!E23</f>
        <v>0</v>
      </c>
      <c r="F23" s="101">
        <f>'Adams Pgs 8-9'!F23+'Asotin Pgs 10-11'!F23+'Benton-Franklin Pgs 12-13'!F23+'Chelan-Douglas Pgs 14-15'!F23+'Clallam Pgs 16-17'!F23+'Clark Pgs 18-19'!F23+'Columbia Pgs 20-21'!F23+'Cowlitz Pgs 22-23'!F23+'Garfield Pgs 24-25'!F23+'Grant Pgs 26-27'!F23+'Grays Harbor Pgs 28-29'!F23+'Island Pgs 30-31'!F23+'Jefferson Pgs 32-33'!F23+'Kitsap Pgs 34-35'!F23+'Kittitas Pgs 36-37'!F23+'Klickitat Pgs 38-39'!F23+'Lewis Pgs 40-41'!F23+'Lincoln Pgs 42-43'!F23+'Mason Pgs 44-45'!F23+'Northeast Tri Pgs 46-47'!F23+'Okanogan Pgs 48-49'!F23+'Pacific Pgs 50-51'!F23+'San Juan Pgs 52-53'!F23+'Skagit Pgs 56-57'!F23+'Skamania Pgs 58-59'!F23+'Snohomish Pgs 60-61'!F23+'Spokane Pgs 62-63'!F23+'Tacoma-Pierce Pgs 64-65'!F23+'Thurston Pgs 66-67'!F23+'Wahkiakum Pgs 68-69'!F23+'Walla Walla Pgs 70-71'!F23+'Whatcom Pgs 72-73'!F23+'Whitman Pgs 74-75'!F23+'Yakima Pgs 76-77'!F23+'Seattle-King Pgs 54-55'!F23</f>
        <v>339685</v>
      </c>
      <c r="G23" s="102">
        <f>'Adams Pgs 8-9'!G23+'Asotin Pgs 10-11'!G23+'Benton-Franklin Pgs 12-13'!G23+'Chelan-Douglas Pgs 14-15'!G23+'Clallam Pgs 16-17'!G23+'Clark Pgs 18-19'!G23+'Columbia Pgs 20-21'!G23+'Cowlitz Pgs 22-23'!G23+'Garfield Pgs 24-25'!G23+'Grant Pgs 26-27'!G23+'Grays Harbor Pgs 28-29'!G23+'Island Pgs 30-31'!G23+'Jefferson Pgs 32-33'!G23+'Kitsap Pgs 34-35'!G23+'Kittitas Pgs 36-37'!G23+'Klickitat Pgs 38-39'!G23+'Lewis Pgs 40-41'!G23+'Lincoln Pgs 42-43'!G23+'Mason Pgs 44-45'!G23+'Northeast Tri Pgs 46-47'!G23+'Okanogan Pgs 48-49'!G23+'Pacific Pgs 50-51'!G23+'San Juan Pgs 52-53'!G23+'Skagit Pgs 56-57'!G23+'Skamania Pgs 58-59'!G23+'Snohomish Pgs 60-61'!G23+'Spokane Pgs 62-63'!G23+'Tacoma-Pierce Pgs 64-65'!G23+'Thurston Pgs 66-67'!G23+'Wahkiakum Pgs 68-69'!G23+'Walla Walla Pgs 70-71'!G23+'Whatcom Pgs 72-73'!G23+'Whitman Pgs 74-75'!G23+'Yakima Pgs 76-77'!G23+'Seattle-King Pgs 54-55'!G23</f>
        <v>115974</v>
      </c>
      <c r="H23" s="100">
        <f>'Adams Pgs 8-9'!H23+'Asotin Pgs 10-11'!H23+'Benton-Franklin Pgs 12-13'!H23+'Chelan-Douglas Pgs 14-15'!H23+'Clallam Pgs 16-17'!H23+'Clark Pgs 18-19'!H23+'Columbia Pgs 20-21'!H23+'Cowlitz Pgs 22-23'!H23+'Garfield Pgs 24-25'!H23+'Grant Pgs 26-27'!H23+'Grays Harbor Pgs 28-29'!H23+'Island Pgs 30-31'!H23+'Jefferson Pgs 32-33'!H23+'Kitsap Pgs 34-35'!H23+'Kittitas Pgs 36-37'!H23+'Klickitat Pgs 38-39'!H23+'Lewis Pgs 40-41'!H23+'Lincoln Pgs 42-43'!H23+'Mason Pgs 44-45'!H23+'Northeast Tri Pgs 46-47'!H23+'Okanogan Pgs 48-49'!H23+'Pacific Pgs 50-51'!H23+'San Juan Pgs 52-53'!H23+'Skagit Pgs 56-57'!H23+'Skamania Pgs 58-59'!H23+'Snohomish Pgs 60-61'!H23+'Spokane Pgs 62-63'!H23+'Tacoma-Pierce Pgs 64-65'!H23+'Thurston Pgs 66-67'!H23+'Wahkiakum Pgs 68-69'!H23+'Walla Walla Pgs 70-71'!H23+'Whatcom Pgs 72-73'!H23+'Whitman Pgs 74-75'!H23+'Yakima Pgs 76-77'!H23+'Seattle-King Pgs 54-55'!H23</f>
        <v>287597</v>
      </c>
      <c r="I23" s="102">
        <f>'Adams Pgs 8-9'!I23+'Asotin Pgs 10-11'!I23+'Benton-Franklin Pgs 12-13'!I23+'Chelan-Douglas Pgs 14-15'!I23+'Clallam Pgs 16-17'!I23+'Clark Pgs 18-19'!I23+'Columbia Pgs 20-21'!I23+'Cowlitz Pgs 22-23'!I23+'Garfield Pgs 24-25'!I23+'Grant Pgs 26-27'!I23+'Grays Harbor Pgs 28-29'!I23+'Island Pgs 30-31'!I23+'Jefferson Pgs 32-33'!I23+'Kitsap Pgs 34-35'!I23+'Kittitas Pgs 36-37'!I23+'Klickitat Pgs 38-39'!I23+'Lewis Pgs 40-41'!I23+'Lincoln Pgs 42-43'!I23+'Mason Pgs 44-45'!I23+'Northeast Tri Pgs 46-47'!I23+'Okanogan Pgs 48-49'!I23+'Pacific Pgs 50-51'!I23+'San Juan Pgs 52-53'!I23+'Snohomish Pgs 60-61'!I23+'Spokane Pgs 62-63'!I23+'Tacoma-Pierce Pgs 64-65'!I23+'Thurston Pgs 66-67'!I23+'Wahkiakum Pgs 68-69'!I23+'Walla Walla Pgs 70-71'!I23+'Whatcom Pgs 72-73'!I23+'Whitman Pgs 74-75'!I23+'Yakima Pgs 76-77'!I23+'Seattle-King Pgs 54-55'!I23+'Skagit Pgs 56-57'!I23+'Skamania Pgs 58-59'!I23</f>
        <v>0</v>
      </c>
      <c r="J23" s="104">
        <f>'Adams Pgs 8-9'!J23+'Asotin Pgs 10-11'!J23+'Benton-Franklin Pgs 12-13'!J23+'Chelan-Douglas Pgs 14-15'!J23+'Clallam Pgs 16-17'!J23+'Clark Pgs 18-19'!J23+'Columbia Pgs 20-21'!J23+'Cowlitz Pgs 22-23'!J23+'Garfield Pgs 24-25'!J23+'Grant Pgs 26-27'!J23+'Grays Harbor Pgs 28-29'!J23+'Island Pgs 30-31'!J23+'Jefferson Pgs 32-33'!J23+'Kitsap Pgs 34-35'!J23+'Kittitas Pgs 36-37'!J23+'Klickitat Pgs 38-39'!J23+'Lewis Pgs 40-41'!J23+'Lincoln Pgs 42-43'!J23+'Mason Pgs 44-45'!J23+'Northeast Tri Pgs 46-47'!J23+'Okanogan Pgs 48-49'!J23+'Pacific Pgs 50-51'!J23+'San Juan Pgs 52-53'!J23+'Skagit Pgs 56-57'!J23+'Skamania Pgs 58-59'!J23+'Snohomish Pgs 60-61'!J23+'Spokane Pgs 62-63'!J23+'Tacoma-Pierce Pgs 64-65'!J23+'Thurston Pgs 66-67'!J23+'Wahkiakum Pgs 68-69'!J23+'Walla Walla Pgs 70-71'!J23+'Whatcom Pgs 72-73'!J23+'Whitman Pgs 74-75'!J23+'Yakima Pgs 76-77'!J23+'Seattle-King Pgs 54-55'!J23</f>
        <v>7197</v>
      </c>
      <c r="K23" s="129">
        <f t="shared" si="0"/>
        <v>929701</v>
      </c>
      <c r="L23"/>
    </row>
    <row r="24" spans="1:12" x14ac:dyDescent="0.35">
      <c r="A24" s="79">
        <v>562.49</v>
      </c>
      <c r="B24" s="28" t="s">
        <v>47</v>
      </c>
      <c r="C24" s="103">
        <f>'Adams Pgs 8-9'!C24+'Asotin Pgs 10-11'!C24+'Benton-Franklin Pgs 12-13'!C24+'Chelan-Douglas Pgs 14-15'!C24+'Clallam Pgs 16-17'!C24+'Clark Pgs 18-19'!C24+'Columbia Pgs 20-21'!C24+'Cowlitz Pgs 22-23'!C24+'Garfield Pgs 24-25'!C24+'Grant Pgs 26-27'!C24+'Grays Harbor Pgs 28-29'!C24+'Island Pgs 30-31'!C24+'Jefferson Pgs 32-33'!C24+'Kitsap Pgs 34-35'!C24+'Kittitas Pgs 36-37'!C24+'Klickitat Pgs 38-39'!C24+'Lewis Pgs 40-41'!C24+'Lincoln Pgs 42-43'!C24+'Mason Pgs 44-45'!C24+'Northeast Tri Pgs 46-47'!C24+'Okanogan Pgs 48-49'!C24+'Pacific Pgs 50-51'!C24+'San Juan Pgs 52-53'!C24+'Skagit Pgs 56-57'!C24+'Skamania Pgs 58-59'!C24+'Snohomish Pgs 60-61'!C24+'Spokane Pgs 62-63'!C24+'Tacoma-Pierce Pgs 64-65'!C24+'Thurston Pgs 66-67'!C24+'Wahkiakum Pgs 68-69'!C24+'Walla Walla Pgs 70-71'!C24+'Whatcom Pgs 72-73'!C24+'Whitman Pgs 74-75'!C24+'Yakima Pgs 76-77'!C24+'Seattle-King Pgs 54-55'!C24</f>
        <v>480309</v>
      </c>
      <c r="D24" s="102">
        <f>'Adams Pgs 8-9'!D24+'Asotin Pgs 10-11'!D24+'Benton-Franklin Pgs 12-13'!D24+'Chelan-Douglas Pgs 14-15'!D24+'Clallam Pgs 16-17'!D24+'Clark Pgs 18-19'!D24+'Columbia Pgs 20-21'!D24+'Cowlitz Pgs 22-23'!D24+'Garfield Pgs 24-25'!D24+'Grant Pgs 26-27'!D24+'Grays Harbor Pgs 28-29'!D24+'Island Pgs 30-31'!D24+'Jefferson Pgs 32-33'!D24+'Kitsap Pgs 34-35'!D24+'Kittitas Pgs 36-37'!D24+'Klickitat Pgs 38-39'!D24+'Lewis Pgs 40-41'!D24+'Lincoln Pgs 42-43'!D24+'Mason Pgs 44-45'!D24+'Northeast Tri Pgs 46-47'!D24+'Okanogan Pgs 48-49'!D24+'Pacific Pgs 50-51'!D24+'San Juan Pgs 52-53'!D24+'Skagit Pgs 56-57'!D24+'Skamania Pgs 58-59'!D24+'Snohomish Pgs 60-61'!D24+'Spokane Pgs 62-63'!D24+'Tacoma-Pierce Pgs 64-65'!D24+'Thurston Pgs 66-67'!D24+'Wahkiakum Pgs 68-69'!D24+'Walla Walla Pgs 70-71'!D24+'Whatcom Pgs 72-73'!D24+'Whitman Pgs 74-75'!D24+'Yakima Pgs 76-77'!D24+'Seattle-King Pgs 54-55'!D24</f>
        <v>41830</v>
      </c>
      <c r="E24" s="100">
        <f>'Adams Pgs 8-9'!E24+'Asotin Pgs 10-11'!E24+'Benton-Franklin Pgs 12-13'!E24+'Chelan-Douglas Pgs 14-15'!E24+'Clallam Pgs 16-17'!E24+'Clark Pgs 18-19'!E24+'Columbia Pgs 20-21'!E24+'Cowlitz Pgs 22-23'!E24+'Garfield Pgs 24-25'!E24+'Grant Pgs 26-27'!E24+'Grays Harbor Pgs 28-29'!E24+'Island Pgs 30-31'!E24+'Jefferson Pgs 32-33'!E24+'Kitsap Pgs 34-35'!E24+'Kittitas Pgs 36-37'!E24+'Klickitat Pgs 38-39'!E24+'Lewis Pgs 40-41'!E24+'Lincoln Pgs 42-43'!E24+'Mason Pgs 44-45'!E24+'Northeast Tri Pgs 46-47'!E24+'Okanogan Pgs 48-49'!E24+'Pacific Pgs 50-51'!E24+'San Juan Pgs 52-53'!E24+'Skagit Pgs 56-57'!E24+'Skamania Pgs 58-59'!E24+'Snohomish Pgs 60-61'!E24+'Spokane Pgs 62-63'!E24+'Tacoma-Pierce Pgs 64-65'!E24+'Thurston Pgs 66-67'!E24+'Wahkiakum Pgs 68-69'!E24+'Walla Walla Pgs 70-71'!E24+'Whatcom Pgs 72-73'!E24+'Whitman Pgs 74-75'!E24+'Yakima Pgs 76-77'!E24+'Seattle-King Pgs 54-55'!E24</f>
        <v>210081</v>
      </c>
      <c r="F24" s="101">
        <f>'Adams Pgs 8-9'!F24+'Asotin Pgs 10-11'!F24+'Benton-Franklin Pgs 12-13'!F24+'Chelan-Douglas Pgs 14-15'!F24+'Clallam Pgs 16-17'!F24+'Clark Pgs 18-19'!F24+'Columbia Pgs 20-21'!F24+'Cowlitz Pgs 22-23'!F24+'Garfield Pgs 24-25'!F24+'Grant Pgs 26-27'!F24+'Grays Harbor Pgs 28-29'!F24+'Island Pgs 30-31'!F24+'Jefferson Pgs 32-33'!F24+'Kitsap Pgs 34-35'!F24+'Kittitas Pgs 36-37'!F24+'Klickitat Pgs 38-39'!F24+'Lewis Pgs 40-41'!F24+'Lincoln Pgs 42-43'!F24+'Mason Pgs 44-45'!F24+'Northeast Tri Pgs 46-47'!F24+'Okanogan Pgs 48-49'!F24+'Pacific Pgs 50-51'!F24+'San Juan Pgs 52-53'!F24+'Skagit Pgs 56-57'!F24+'Skamania Pgs 58-59'!F24+'Snohomish Pgs 60-61'!F24+'Spokane Pgs 62-63'!F24+'Tacoma-Pierce Pgs 64-65'!F24+'Thurston Pgs 66-67'!F24+'Wahkiakum Pgs 68-69'!F24+'Walla Walla Pgs 70-71'!F24+'Whatcom Pgs 72-73'!F24+'Whitman Pgs 74-75'!F24+'Yakima Pgs 76-77'!F24+'Seattle-King Pgs 54-55'!F24</f>
        <v>2076251</v>
      </c>
      <c r="G24" s="102">
        <f>'Adams Pgs 8-9'!G24+'Asotin Pgs 10-11'!G24+'Benton-Franklin Pgs 12-13'!G24+'Chelan-Douglas Pgs 14-15'!G24+'Clallam Pgs 16-17'!G24+'Clark Pgs 18-19'!G24+'Columbia Pgs 20-21'!G24+'Cowlitz Pgs 22-23'!G24+'Garfield Pgs 24-25'!G24+'Grant Pgs 26-27'!G24+'Grays Harbor Pgs 28-29'!G24+'Island Pgs 30-31'!G24+'Jefferson Pgs 32-33'!G24+'Kitsap Pgs 34-35'!G24+'Kittitas Pgs 36-37'!G24+'Klickitat Pgs 38-39'!G24+'Lewis Pgs 40-41'!G24+'Lincoln Pgs 42-43'!G24+'Mason Pgs 44-45'!G24+'Northeast Tri Pgs 46-47'!G24+'Okanogan Pgs 48-49'!G24+'Pacific Pgs 50-51'!G24+'San Juan Pgs 52-53'!G24+'Skagit Pgs 56-57'!G24+'Skamania Pgs 58-59'!G24+'Snohomish Pgs 60-61'!G24+'Spokane Pgs 62-63'!G24+'Tacoma-Pierce Pgs 64-65'!G24+'Thurston Pgs 66-67'!G24+'Wahkiakum Pgs 68-69'!G24+'Walla Walla Pgs 70-71'!G24+'Whatcom Pgs 72-73'!G24+'Whitman Pgs 74-75'!G24+'Yakima Pgs 76-77'!G24+'Seattle-King Pgs 54-55'!G24</f>
        <v>454359</v>
      </c>
      <c r="H24" s="100">
        <f>'Adams Pgs 8-9'!H24+'Asotin Pgs 10-11'!H24+'Benton-Franklin Pgs 12-13'!H24+'Chelan-Douglas Pgs 14-15'!H24+'Clallam Pgs 16-17'!H24+'Clark Pgs 18-19'!H24+'Columbia Pgs 20-21'!H24+'Cowlitz Pgs 22-23'!H24+'Garfield Pgs 24-25'!H24+'Grant Pgs 26-27'!H24+'Grays Harbor Pgs 28-29'!H24+'Island Pgs 30-31'!H24+'Jefferson Pgs 32-33'!H24+'Kitsap Pgs 34-35'!H24+'Kittitas Pgs 36-37'!H24+'Klickitat Pgs 38-39'!H24+'Lewis Pgs 40-41'!H24+'Lincoln Pgs 42-43'!H24+'Mason Pgs 44-45'!H24+'Northeast Tri Pgs 46-47'!H24+'Okanogan Pgs 48-49'!H24+'Pacific Pgs 50-51'!H24+'San Juan Pgs 52-53'!H24+'Skagit Pgs 56-57'!H24+'Skamania Pgs 58-59'!H24+'Snohomish Pgs 60-61'!H24+'Spokane Pgs 62-63'!H24+'Tacoma-Pierce Pgs 64-65'!H24+'Thurston Pgs 66-67'!H24+'Wahkiakum Pgs 68-69'!H24+'Walla Walla Pgs 70-71'!H24+'Whatcom Pgs 72-73'!H24+'Whitman Pgs 74-75'!H24+'Yakima Pgs 76-77'!H24+'Seattle-King Pgs 54-55'!H24</f>
        <v>2295954</v>
      </c>
      <c r="I24" s="102">
        <f>'Adams Pgs 8-9'!I24+'Asotin Pgs 10-11'!I24+'Benton-Franklin Pgs 12-13'!I24+'Chelan-Douglas Pgs 14-15'!I24+'Clallam Pgs 16-17'!I24+'Clark Pgs 18-19'!I24+'Columbia Pgs 20-21'!I24+'Cowlitz Pgs 22-23'!I24+'Garfield Pgs 24-25'!I24+'Grant Pgs 26-27'!I24+'Grays Harbor Pgs 28-29'!I24+'Island Pgs 30-31'!I24+'Jefferson Pgs 32-33'!I24+'Kitsap Pgs 34-35'!I24+'Kittitas Pgs 36-37'!I24+'Klickitat Pgs 38-39'!I24+'Lewis Pgs 40-41'!I24+'Lincoln Pgs 42-43'!I24+'Mason Pgs 44-45'!I24+'Northeast Tri Pgs 46-47'!I24+'Okanogan Pgs 48-49'!I24+'Pacific Pgs 50-51'!I24+'San Juan Pgs 52-53'!I24+'Snohomish Pgs 60-61'!I24+'Spokane Pgs 62-63'!I24+'Tacoma-Pierce Pgs 64-65'!I24+'Thurston Pgs 66-67'!I24+'Wahkiakum Pgs 68-69'!I24+'Walla Walla Pgs 70-71'!I24+'Whatcom Pgs 72-73'!I24+'Whitman Pgs 74-75'!I24+'Yakima Pgs 76-77'!I24+'Seattle-King Pgs 54-55'!I24+'Skagit Pgs 56-57'!I24+'Skamania Pgs 58-59'!I24</f>
        <v>3709893</v>
      </c>
      <c r="J24" s="104">
        <f>'Adams Pgs 8-9'!J24+'Asotin Pgs 10-11'!J24+'Benton-Franklin Pgs 12-13'!J24+'Chelan-Douglas Pgs 14-15'!J24+'Clallam Pgs 16-17'!J24+'Clark Pgs 18-19'!J24+'Columbia Pgs 20-21'!J24+'Cowlitz Pgs 22-23'!J24+'Garfield Pgs 24-25'!J24+'Grant Pgs 26-27'!J24+'Grays Harbor Pgs 28-29'!J24+'Island Pgs 30-31'!J24+'Jefferson Pgs 32-33'!J24+'Kitsap Pgs 34-35'!J24+'Kittitas Pgs 36-37'!J24+'Klickitat Pgs 38-39'!J24+'Lewis Pgs 40-41'!J24+'Lincoln Pgs 42-43'!J24+'Mason Pgs 44-45'!J24+'Northeast Tri Pgs 46-47'!J24+'Okanogan Pgs 48-49'!J24+'Pacific Pgs 50-51'!J24+'San Juan Pgs 52-53'!J24+'Skagit Pgs 56-57'!J24+'Skamania Pgs 58-59'!J24+'Snohomish Pgs 60-61'!J24+'Spokane Pgs 62-63'!J24+'Tacoma-Pierce Pgs 64-65'!J24+'Thurston Pgs 66-67'!J24+'Wahkiakum Pgs 68-69'!J24+'Walla Walla Pgs 70-71'!J24+'Whatcom Pgs 72-73'!J24+'Whitman Pgs 74-75'!J24+'Yakima Pgs 76-77'!J24+'Seattle-King Pgs 54-55'!J24</f>
        <v>1522865</v>
      </c>
      <c r="K24" s="129">
        <f t="shared" si="0"/>
        <v>10791542</v>
      </c>
      <c r="L24"/>
    </row>
    <row r="25" spans="1:12" x14ac:dyDescent="0.35">
      <c r="A25" s="79">
        <v>562.52</v>
      </c>
      <c r="B25" s="16" t="s">
        <v>18</v>
      </c>
      <c r="C25" s="103">
        <f>'Adams Pgs 8-9'!C25+'Asotin Pgs 10-11'!C25+'Benton-Franklin Pgs 12-13'!C25+'Chelan-Douglas Pgs 14-15'!C25+'Clallam Pgs 16-17'!C25+'Clark Pgs 18-19'!C25+'Columbia Pgs 20-21'!C25+'Cowlitz Pgs 22-23'!C25+'Garfield Pgs 24-25'!C25+'Grant Pgs 26-27'!C25+'Grays Harbor Pgs 28-29'!C25+'Island Pgs 30-31'!C25+'Jefferson Pgs 32-33'!C25+'Kitsap Pgs 34-35'!C25+'Kittitas Pgs 36-37'!C25+'Klickitat Pgs 38-39'!C25+'Lewis Pgs 40-41'!C25+'Lincoln Pgs 42-43'!C25+'Mason Pgs 44-45'!C25+'Northeast Tri Pgs 46-47'!C25+'Okanogan Pgs 48-49'!C25+'Pacific Pgs 50-51'!C25+'San Juan Pgs 52-53'!C25+'Skagit Pgs 56-57'!C25+'Skamania Pgs 58-59'!C25+'Snohomish Pgs 60-61'!C25+'Spokane Pgs 62-63'!C25+'Tacoma-Pierce Pgs 64-65'!C25+'Thurston Pgs 66-67'!C25+'Wahkiakum Pgs 68-69'!C25+'Walla Walla Pgs 70-71'!C25+'Whatcom Pgs 72-73'!C25+'Whitman Pgs 74-75'!C25+'Yakima Pgs 76-77'!C25+'Seattle-King Pgs 54-55'!C25</f>
        <v>436707</v>
      </c>
      <c r="D25" s="102">
        <f>'Adams Pgs 8-9'!D25+'Asotin Pgs 10-11'!D25+'Benton-Franklin Pgs 12-13'!D25+'Chelan-Douglas Pgs 14-15'!D25+'Clallam Pgs 16-17'!D25+'Clark Pgs 18-19'!D25+'Columbia Pgs 20-21'!D25+'Cowlitz Pgs 22-23'!D25+'Garfield Pgs 24-25'!D25+'Grant Pgs 26-27'!D25+'Grays Harbor Pgs 28-29'!D25+'Island Pgs 30-31'!D25+'Jefferson Pgs 32-33'!D25+'Kitsap Pgs 34-35'!D25+'Kittitas Pgs 36-37'!D25+'Klickitat Pgs 38-39'!D25+'Lewis Pgs 40-41'!D25+'Lincoln Pgs 42-43'!D25+'Mason Pgs 44-45'!D25+'Northeast Tri Pgs 46-47'!D25+'Okanogan Pgs 48-49'!D25+'Pacific Pgs 50-51'!D25+'San Juan Pgs 52-53'!D25+'Skagit Pgs 56-57'!D25+'Skamania Pgs 58-59'!D25+'Snohomish Pgs 60-61'!D25+'Spokane Pgs 62-63'!D25+'Tacoma-Pierce Pgs 64-65'!D25+'Thurston Pgs 66-67'!D25+'Wahkiakum Pgs 68-69'!D25+'Walla Walla Pgs 70-71'!D25+'Whatcom Pgs 72-73'!D25+'Whitman Pgs 74-75'!D25+'Yakima Pgs 76-77'!D25+'Seattle-King Pgs 54-55'!D25</f>
        <v>2037200</v>
      </c>
      <c r="E25" s="100">
        <f>'Adams Pgs 8-9'!E25+'Asotin Pgs 10-11'!E25+'Benton-Franklin Pgs 12-13'!E25+'Chelan-Douglas Pgs 14-15'!E25+'Clallam Pgs 16-17'!E25+'Clark Pgs 18-19'!E25+'Columbia Pgs 20-21'!E25+'Cowlitz Pgs 22-23'!E25+'Garfield Pgs 24-25'!E25+'Grant Pgs 26-27'!E25+'Grays Harbor Pgs 28-29'!E25+'Island Pgs 30-31'!E25+'Jefferson Pgs 32-33'!E25+'Kitsap Pgs 34-35'!E25+'Kittitas Pgs 36-37'!E25+'Klickitat Pgs 38-39'!E25+'Lewis Pgs 40-41'!E25+'Lincoln Pgs 42-43'!E25+'Mason Pgs 44-45'!E25+'Northeast Tri Pgs 46-47'!E25+'Okanogan Pgs 48-49'!E25+'Pacific Pgs 50-51'!E25+'San Juan Pgs 52-53'!E25+'Skagit Pgs 56-57'!E25+'Skamania Pgs 58-59'!E25+'Snohomish Pgs 60-61'!E25+'Spokane Pgs 62-63'!E25+'Tacoma-Pierce Pgs 64-65'!E25+'Thurston Pgs 66-67'!E25+'Wahkiakum Pgs 68-69'!E25+'Walla Walla Pgs 70-71'!E25+'Whatcom Pgs 72-73'!E25+'Whitman Pgs 74-75'!E25+'Yakima Pgs 76-77'!E25+'Seattle-King Pgs 54-55'!E25</f>
        <v>0</v>
      </c>
      <c r="F25" s="101">
        <f>'Adams Pgs 8-9'!F25+'Asotin Pgs 10-11'!F25+'Benton-Franklin Pgs 12-13'!F25+'Chelan-Douglas Pgs 14-15'!F25+'Clallam Pgs 16-17'!F25+'Clark Pgs 18-19'!F25+'Columbia Pgs 20-21'!F25+'Cowlitz Pgs 22-23'!F25+'Garfield Pgs 24-25'!F25+'Grant Pgs 26-27'!F25+'Grays Harbor Pgs 28-29'!F25+'Island Pgs 30-31'!F25+'Jefferson Pgs 32-33'!F25+'Kitsap Pgs 34-35'!F25+'Kittitas Pgs 36-37'!F25+'Klickitat Pgs 38-39'!F25+'Lewis Pgs 40-41'!F25+'Lincoln Pgs 42-43'!F25+'Mason Pgs 44-45'!F25+'Northeast Tri Pgs 46-47'!F25+'Okanogan Pgs 48-49'!F25+'Pacific Pgs 50-51'!F25+'San Juan Pgs 52-53'!F25+'Skagit Pgs 56-57'!F25+'Skamania Pgs 58-59'!F25+'Snohomish Pgs 60-61'!F25+'Spokane Pgs 62-63'!F25+'Tacoma-Pierce Pgs 64-65'!F25+'Thurston Pgs 66-67'!F25+'Wahkiakum Pgs 68-69'!F25+'Walla Walla Pgs 70-71'!F25+'Whatcom Pgs 72-73'!F25+'Whitman Pgs 74-75'!F25+'Yakima Pgs 76-77'!F25+'Seattle-King Pgs 54-55'!F25</f>
        <v>387370</v>
      </c>
      <c r="G25" s="102">
        <f>'Adams Pgs 8-9'!G25+'Asotin Pgs 10-11'!G25+'Benton-Franklin Pgs 12-13'!G25+'Chelan-Douglas Pgs 14-15'!G25+'Clallam Pgs 16-17'!G25+'Clark Pgs 18-19'!G25+'Columbia Pgs 20-21'!G25+'Cowlitz Pgs 22-23'!G25+'Garfield Pgs 24-25'!G25+'Grant Pgs 26-27'!G25+'Grays Harbor Pgs 28-29'!G25+'Island Pgs 30-31'!G25+'Jefferson Pgs 32-33'!G25+'Kitsap Pgs 34-35'!G25+'Kittitas Pgs 36-37'!G25+'Klickitat Pgs 38-39'!G25+'Lewis Pgs 40-41'!G25+'Lincoln Pgs 42-43'!G25+'Mason Pgs 44-45'!G25+'Northeast Tri Pgs 46-47'!G25+'Okanogan Pgs 48-49'!G25+'Pacific Pgs 50-51'!G25+'San Juan Pgs 52-53'!G25+'Skagit Pgs 56-57'!G25+'Skamania Pgs 58-59'!G25+'Snohomish Pgs 60-61'!G25+'Spokane Pgs 62-63'!G25+'Tacoma-Pierce Pgs 64-65'!G25+'Thurston Pgs 66-67'!G25+'Wahkiakum Pgs 68-69'!G25+'Walla Walla Pgs 70-71'!G25+'Whatcom Pgs 72-73'!G25+'Whitman Pgs 74-75'!G25+'Yakima Pgs 76-77'!G25+'Seattle-King Pgs 54-55'!G25</f>
        <v>112230</v>
      </c>
      <c r="H25" s="100">
        <f>'Adams Pgs 8-9'!H25+'Asotin Pgs 10-11'!H25+'Benton-Franklin Pgs 12-13'!H25+'Chelan-Douglas Pgs 14-15'!H25+'Clallam Pgs 16-17'!H25+'Clark Pgs 18-19'!H25+'Columbia Pgs 20-21'!H25+'Cowlitz Pgs 22-23'!H25+'Garfield Pgs 24-25'!H25+'Grant Pgs 26-27'!H25+'Grays Harbor Pgs 28-29'!H25+'Island Pgs 30-31'!H25+'Jefferson Pgs 32-33'!H25+'Kitsap Pgs 34-35'!H25+'Kittitas Pgs 36-37'!H25+'Klickitat Pgs 38-39'!H25+'Lewis Pgs 40-41'!H25+'Lincoln Pgs 42-43'!H25+'Mason Pgs 44-45'!H25+'Northeast Tri Pgs 46-47'!H25+'Okanogan Pgs 48-49'!H25+'Pacific Pgs 50-51'!H25+'San Juan Pgs 52-53'!H25+'Skagit Pgs 56-57'!H25+'Skamania Pgs 58-59'!H25+'Snohomish Pgs 60-61'!H25+'Spokane Pgs 62-63'!H25+'Tacoma-Pierce Pgs 64-65'!H25+'Thurston Pgs 66-67'!H25+'Wahkiakum Pgs 68-69'!H25+'Walla Walla Pgs 70-71'!H25+'Whatcom Pgs 72-73'!H25+'Whitman Pgs 74-75'!H25+'Yakima Pgs 76-77'!H25+'Seattle-King Pgs 54-55'!H25</f>
        <v>0</v>
      </c>
      <c r="I25" s="102">
        <f>'Adams Pgs 8-9'!I25+'Asotin Pgs 10-11'!I25+'Benton-Franklin Pgs 12-13'!I25+'Chelan-Douglas Pgs 14-15'!I25+'Clallam Pgs 16-17'!I25+'Clark Pgs 18-19'!I25+'Columbia Pgs 20-21'!I25+'Cowlitz Pgs 22-23'!I25+'Garfield Pgs 24-25'!I25+'Grant Pgs 26-27'!I25+'Grays Harbor Pgs 28-29'!I25+'Island Pgs 30-31'!I25+'Jefferson Pgs 32-33'!I25+'Kitsap Pgs 34-35'!I25+'Kittitas Pgs 36-37'!I25+'Klickitat Pgs 38-39'!I25+'Lewis Pgs 40-41'!I25+'Lincoln Pgs 42-43'!I25+'Mason Pgs 44-45'!I25+'Northeast Tri Pgs 46-47'!I25+'Okanogan Pgs 48-49'!I25+'Pacific Pgs 50-51'!I25+'San Juan Pgs 52-53'!I25+'Snohomish Pgs 60-61'!I25+'Spokane Pgs 62-63'!I25+'Tacoma-Pierce Pgs 64-65'!I25+'Thurston Pgs 66-67'!I25+'Wahkiakum Pgs 68-69'!I25+'Walla Walla Pgs 70-71'!I25+'Whatcom Pgs 72-73'!I25+'Whitman Pgs 74-75'!I25+'Yakima Pgs 76-77'!I25+'Seattle-King Pgs 54-55'!I25+'Skagit Pgs 56-57'!I25+'Skamania Pgs 58-59'!I25</f>
        <v>102455</v>
      </c>
      <c r="J25" s="104">
        <f>'Adams Pgs 8-9'!J25+'Asotin Pgs 10-11'!J25+'Benton-Franklin Pgs 12-13'!J25+'Chelan-Douglas Pgs 14-15'!J25+'Clallam Pgs 16-17'!J25+'Clark Pgs 18-19'!J25+'Columbia Pgs 20-21'!J25+'Cowlitz Pgs 22-23'!J25+'Garfield Pgs 24-25'!J25+'Grant Pgs 26-27'!J25+'Grays Harbor Pgs 28-29'!J25+'Island Pgs 30-31'!J25+'Jefferson Pgs 32-33'!J25+'Kitsap Pgs 34-35'!J25+'Kittitas Pgs 36-37'!J25+'Klickitat Pgs 38-39'!J25+'Lewis Pgs 40-41'!J25+'Lincoln Pgs 42-43'!J25+'Mason Pgs 44-45'!J25+'Northeast Tri Pgs 46-47'!J25+'Okanogan Pgs 48-49'!J25+'Pacific Pgs 50-51'!J25+'San Juan Pgs 52-53'!J25+'Skagit Pgs 56-57'!J25+'Skamania Pgs 58-59'!J25+'Snohomish Pgs 60-61'!J25+'Spokane Pgs 62-63'!J25+'Tacoma-Pierce Pgs 64-65'!J25+'Thurston Pgs 66-67'!J25+'Wahkiakum Pgs 68-69'!J25+'Walla Walla Pgs 70-71'!J25+'Whatcom Pgs 72-73'!J25+'Whitman Pgs 74-75'!J25+'Yakima Pgs 76-77'!J25+'Seattle-King Pgs 54-55'!J25</f>
        <v>-26836</v>
      </c>
      <c r="K25" s="129">
        <f t="shared" si="0"/>
        <v>3049126</v>
      </c>
      <c r="L25"/>
    </row>
    <row r="26" spans="1:12" x14ac:dyDescent="0.35">
      <c r="A26" s="79">
        <v>562.53</v>
      </c>
      <c r="B26" s="28" t="s">
        <v>59</v>
      </c>
      <c r="C26" s="103">
        <f>'Adams Pgs 8-9'!C26+'Asotin Pgs 10-11'!C26+'Benton-Franklin Pgs 12-13'!C26+'Chelan-Douglas Pgs 14-15'!C26+'Clallam Pgs 16-17'!C26+'Clark Pgs 18-19'!C26+'Columbia Pgs 20-21'!C26+'Cowlitz Pgs 22-23'!C26+'Garfield Pgs 24-25'!C26+'Grant Pgs 26-27'!C26+'Grays Harbor Pgs 28-29'!C26+'Island Pgs 30-31'!C26+'Jefferson Pgs 32-33'!C26+'Kitsap Pgs 34-35'!C26+'Kittitas Pgs 36-37'!C26+'Klickitat Pgs 38-39'!C26+'Lewis Pgs 40-41'!C26+'Lincoln Pgs 42-43'!C26+'Mason Pgs 44-45'!C26+'Northeast Tri Pgs 46-47'!C26+'Okanogan Pgs 48-49'!C26+'Pacific Pgs 50-51'!C26+'San Juan Pgs 52-53'!C26+'Skagit Pgs 56-57'!C26+'Skamania Pgs 58-59'!C26+'Snohomish Pgs 60-61'!C26+'Spokane Pgs 62-63'!C26+'Tacoma-Pierce Pgs 64-65'!C26+'Thurston Pgs 66-67'!C26+'Wahkiakum Pgs 68-69'!C26+'Walla Walla Pgs 70-71'!C26+'Whatcom Pgs 72-73'!C26+'Whitman Pgs 74-75'!C26+'Yakima Pgs 76-77'!C26+'Seattle-King Pgs 54-55'!C26</f>
        <v>3529082</v>
      </c>
      <c r="D26" s="102">
        <f>'Adams Pgs 8-9'!D26+'Asotin Pgs 10-11'!D26+'Benton-Franklin Pgs 12-13'!D26+'Chelan-Douglas Pgs 14-15'!D26+'Clallam Pgs 16-17'!D26+'Clark Pgs 18-19'!D26+'Columbia Pgs 20-21'!D26+'Cowlitz Pgs 22-23'!D26+'Garfield Pgs 24-25'!D26+'Grant Pgs 26-27'!D26+'Grays Harbor Pgs 28-29'!D26+'Island Pgs 30-31'!D26+'Jefferson Pgs 32-33'!D26+'Kitsap Pgs 34-35'!D26+'Kittitas Pgs 36-37'!D26+'Klickitat Pgs 38-39'!D26+'Lewis Pgs 40-41'!D26+'Lincoln Pgs 42-43'!D26+'Mason Pgs 44-45'!D26+'Northeast Tri Pgs 46-47'!D26+'Okanogan Pgs 48-49'!D26+'Pacific Pgs 50-51'!D26+'San Juan Pgs 52-53'!D26+'Skagit Pgs 56-57'!D26+'Skamania Pgs 58-59'!D26+'Snohomish Pgs 60-61'!D26+'Spokane Pgs 62-63'!D26+'Tacoma-Pierce Pgs 64-65'!D26+'Thurston Pgs 66-67'!D26+'Wahkiakum Pgs 68-69'!D26+'Walla Walla Pgs 70-71'!D26+'Whatcom Pgs 72-73'!D26+'Whitman Pgs 74-75'!D26+'Yakima Pgs 76-77'!D26+'Seattle-King Pgs 54-55'!D26</f>
        <v>5596738</v>
      </c>
      <c r="E26" s="100">
        <f>'Adams Pgs 8-9'!E26+'Asotin Pgs 10-11'!E26+'Benton-Franklin Pgs 12-13'!E26+'Chelan-Douglas Pgs 14-15'!E26+'Clallam Pgs 16-17'!E26+'Clark Pgs 18-19'!E26+'Columbia Pgs 20-21'!E26+'Cowlitz Pgs 22-23'!E26+'Garfield Pgs 24-25'!E26+'Grant Pgs 26-27'!E26+'Grays Harbor Pgs 28-29'!E26+'Island Pgs 30-31'!E26+'Jefferson Pgs 32-33'!E26+'Kitsap Pgs 34-35'!E26+'Kittitas Pgs 36-37'!E26+'Klickitat Pgs 38-39'!E26+'Lewis Pgs 40-41'!E26+'Lincoln Pgs 42-43'!E26+'Mason Pgs 44-45'!E26+'Northeast Tri Pgs 46-47'!E26+'Okanogan Pgs 48-49'!E26+'Pacific Pgs 50-51'!E26+'San Juan Pgs 52-53'!E26+'Skagit Pgs 56-57'!E26+'Skamania Pgs 58-59'!E26+'Snohomish Pgs 60-61'!E26+'Spokane Pgs 62-63'!E26+'Tacoma-Pierce Pgs 64-65'!E26+'Thurston Pgs 66-67'!E26+'Wahkiakum Pgs 68-69'!E26+'Walla Walla Pgs 70-71'!E26+'Whatcom Pgs 72-73'!E26+'Whitman Pgs 74-75'!E26+'Yakima Pgs 76-77'!E26+'Seattle-King Pgs 54-55'!E26</f>
        <v>0</v>
      </c>
      <c r="F26" s="101">
        <f>'Adams Pgs 8-9'!F26+'Asotin Pgs 10-11'!F26+'Benton-Franklin Pgs 12-13'!F26+'Chelan-Douglas Pgs 14-15'!F26+'Clallam Pgs 16-17'!F26+'Clark Pgs 18-19'!F26+'Columbia Pgs 20-21'!F26+'Cowlitz Pgs 22-23'!F26+'Garfield Pgs 24-25'!F26+'Grant Pgs 26-27'!F26+'Grays Harbor Pgs 28-29'!F26+'Island Pgs 30-31'!F26+'Jefferson Pgs 32-33'!F26+'Kitsap Pgs 34-35'!F26+'Kittitas Pgs 36-37'!F26+'Klickitat Pgs 38-39'!F26+'Lewis Pgs 40-41'!F26+'Lincoln Pgs 42-43'!F26+'Mason Pgs 44-45'!F26+'Northeast Tri Pgs 46-47'!F26+'Okanogan Pgs 48-49'!F26+'Pacific Pgs 50-51'!F26+'San Juan Pgs 52-53'!F26+'Skagit Pgs 56-57'!F26+'Skamania Pgs 58-59'!F26+'Snohomish Pgs 60-61'!F26+'Spokane Pgs 62-63'!F26+'Tacoma-Pierce Pgs 64-65'!F26+'Thurston Pgs 66-67'!F26+'Wahkiakum Pgs 68-69'!F26+'Walla Walla Pgs 70-71'!F26+'Whatcom Pgs 72-73'!F26+'Whitman Pgs 74-75'!F26+'Yakima Pgs 76-77'!F26+'Seattle-King Pgs 54-55'!F26</f>
        <v>20173</v>
      </c>
      <c r="G26" s="102">
        <f>'Adams Pgs 8-9'!G26+'Asotin Pgs 10-11'!G26+'Benton-Franklin Pgs 12-13'!G26+'Chelan-Douglas Pgs 14-15'!G26+'Clallam Pgs 16-17'!G26+'Clark Pgs 18-19'!G26+'Columbia Pgs 20-21'!G26+'Cowlitz Pgs 22-23'!G26+'Garfield Pgs 24-25'!G26+'Grant Pgs 26-27'!G26+'Grays Harbor Pgs 28-29'!G26+'Island Pgs 30-31'!G26+'Jefferson Pgs 32-33'!G26+'Kitsap Pgs 34-35'!G26+'Kittitas Pgs 36-37'!G26+'Klickitat Pgs 38-39'!G26+'Lewis Pgs 40-41'!G26+'Lincoln Pgs 42-43'!G26+'Mason Pgs 44-45'!G26+'Northeast Tri Pgs 46-47'!G26+'Okanogan Pgs 48-49'!G26+'Pacific Pgs 50-51'!G26+'San Juan Pgs 52-53'!G26+'Skagit Pgs 56-57'!G26+'Skamania Pgs 58-59'!G26+'Snohomish Pgs 60-61'!G26+'Spokane Pgs 62-63'!G26+'Tacoma-Pierce Pgs 64-65'!G26+'Thurston Pgs 66-67'!G26+'Wahkiakum Pgs 68-69'!G26+'Walla Walla Pgs 70-71'!G26+'Whatcom Pgs 72-73'!G26+'Whitman Pgs 74-75'!G26+'Yakima Pgs 76-77'!G26+'Seattle-King Pgs 54-55'!G26</f>
        <v>4709257</v>
      </c>
      <c r="H26" s="100">
        <f>'Adams Pgs 8-9'!H26+'Asotin Pgs 10-11'!H26+'Benton-Franklin Pgs 12-13'!H26+'Chelan-Douglas Pgs 14-15'!H26+'Clallam Pgs 16-17'!H26+'Clark Pgs 18-19'!H26+'Columbia Pgs 20-21'!H26+'Cowlitz Pgs 22-23'!H26+'Garfield Pgs 24-25'!H26+'Grant Pgs 26-27'!H26+'Grays Harbor Pgs 28-29'!H26+'Island Pgs 30-31'!H26+'Jefferson Pgs 32-33'!H26+'Kitsap Pgs 34-35'!H26+'Kittitas Pgs 36-37'!H26+'Klickitat Pgs 38-39'!H26+'Lewis Pgs 40-41'!H26+'Lincoln Pgs 42-43'!H26+'Mason Pgs 44-45'!H26+'Northeast Tri Pgs 46-47'!H26+'Okanogan Pgs 48-49'!H26+'Pacific Pgs 50-51'!H26+'San Juan Pgs 52-53'!H26+'Skagit Pgs 56-57'!H26+'Skamania Pgs 58-59'!H26+'Snohomish Pgs 60-61'!H26+'Spokane Pgs 62-63'!H26+'Tacoma-Pierce Pgs 64-65'!H26+'Thurston Pgs 66-67'!H26+'Wahkiakum Pgs 68-69'!H26+'Walla Walla Pgs 70-71'!H26+'Whatcom Pgs 72-73'!H26+'Whitman Pgs 74-75'!H26+'Yakima Pgs 76-77'!H26+'Seattle-King Pgs 54-55'!H26</f>
        <v>0</v>
      </c>
      <c r="I26" s="102">
        <f>'Adams Pgs 8-9'!I26+'Asotin Pgs 10-11'!I26+'Benton-Franklin Pgs 12-13'!I26+'Chelan-Douglas Pgs 14-15'!I26+'Clallam Pgs 16-17'!I26+'Clark Pgs 18-19'!I26+'Columbia Pgs 20-21'!I26+'Cowlitz Pgs 22-23'!I26+'Garfield Pgs 24-25'!I26+'Grant Pgs 26-27'!I26+'Grays Harbor Pgs 28-29'!I26+'Island Pgs 30-31'!I26+'Jefferson Pgs 32-33'!I26+'Kitsap Pgs 34-35'!I26+'Kittitas Pgs 36-37'!I26+'Klickitat Pgs 38-39'!I26+'Lewis Pgs 40-41'!I26+'Lincoln Pgs 42-43'!I26+'Mason Pgs 44-45'!I26+'Northeast Tri Pgs 46-47'!I26+'Okanogan Pgs 48-49'!I26+'Pacific Pgs 50-51'!I26+'San Juan Pgs 52-53'!I26+'Snohomish Pgs 60-61'!I26+'Spokane Pgs 62-63'!I26+'Tacoma-Pierce Pgs 64-65'!I26+'Thurston Pgs 66-67'!I26+'Wahkiakum Pgs 68-69'!I26+'Walla Walla Pgs 70-71'!I26+'Whatcom Pgs 72-73'!I26+'Whitman Pgs 74-75'!I26+'Yakima Pgs 76-77'!I26+'Seattle-King Pgs 54-55'!I26+'Skagit Pgs 56-57'!I26+'Skamania Pgs 58-59'!I26</f>
        <v>62601</v>
      </c>
      <c r="J26" s="104">
        <f>'Adams Pgs 8-9'!J26+'Asotin Pgs 10-11'!J26+'Benton-Franklin Pgs 12-13'!J26+'Chelan-Douglas Pgs 14-15'!J26+'Clallam Pgs 16-17'!J26+'Clark Pgs 18-19'!J26+'Columbia Pgs 20-21'!J26+'Cowlitz Pgs 22-23'!J26+'Garfield Pgs 24-25'!J26+'Grant Pgs 26-27'!J26+'Grays Harbor Pgs 28-29'!J26+'Island Pgs 30-31'!J26+'Jefferson Pgs 32-33'!J26+'Kitsap Pgs 34-35'!J26+'Kittitas Pgs 36-37'!J26+'Klickitat Pgs 38-39'!J26+'Lewis Pgs 40-41'!J26+'Lincoln Pgs 42-43'!J26+'Mason Pgs 44-45'!J26+'Northeast Tri Pgs 46-47'!J26+'Okanogan Pgs 48-49'!J26+'Pacific Pgs 50-51'!J26+'San Juan Pgs 52-53'!J26+'Skagit Pgs 56-57'!J26+'Skamania Pgs 58-59'!J26+'Snohomish Pgs 60-61'!J26+'Spokane Pgs 62-63'!J26+'Tacoma-Pierce Pgs 64-65'!J26+'Thurston Pgs 66-67'!J26+'Wahkiakum Pgs 68-69'!J26+'Walla Walla Pgs 70-71'!J26+'Whatcom Pgs 72-73'!J26+'Whitman Pgs 74-75'!J26+'Yakima Pgs 76-77'!J26+'Seattle-King Pgs 54-55'!J26</f>
        <v>316026</v>
      </c>
      <c r="K26" s="129">
        <f t="shared" si="0"/>
        <v>14233877</v>
      </c>
      <c r="L26"/>
    </row>
    <row r="27" spans="1:12" x14ac:dyDescent="0.35">
      <c r="A27" s="79">
        <v>562.54</v>
      </c>
      <c r="B27" s="28" t="s">
        <v>60</v>
      </c>
      <c r="C27" s="103">
        <f>'Adams Pgs 8-9'!C27+'Asotin Pgs 10-11'!C27+'Benton-Franklin Pgs 12-13'!C27+'Chelan-Douglas Pgs 14-15'!C27+'Clallam Pgs 16-17'!C27+'Clark Pgs 18-19'!C27+'Columbia Pgs 20-21'!C27+'Cowlitz Pgs 22-23'!C27+'Garfield Pgs 24-25'!C27+'Grant Pgs 26-27'!C27+'Grays Harbor Pgs 28-29'!C27+'Island Pgs 30-31'!C27+'Jefferson Pgs 32-33'!C27+'Kitsap Pgs 34-35'!C27+'Kittitas Pgs 36-37'!C27+'Klickitat Pgs 38-39'!C27+'Lewis Pgs 40-41'!C27+'Lincoln Pgs 42-43'!C27+'Mason Pgs 44-45'!C27+'Northeast Tri Pgs 46-47'!C27+'Okanogan Pgs 48-49'!C27+'Pacific Pgs 50-51'!C27+'San Juan Pgs 52-53'!C27+'Skagit Pgs 56-57'!C27+'Skamania Pgs 58-59'!C27+'Snohomish Pgs 60-61'!C27+'Spokane Pgs 62-63'!C27+'Tacoma-Pierce Pgs 64-65'!C27+'Thurston Pgs 66-67'!C27+'Wahkiakum Pgs 68-69'!C27+'Walla Walla Pgs 70-71'!C27+'Whatcom Pgs 72-73'!C27+'Whitman Pgs 74-75'!C27+'Yakima Pgs 76-77'!C27+'Seattle-King Pgs 54-55'!C27</f>
        <v>321838</v>
      </c>
      <c r="D27" s="102">
        <f>'Adams Pgs 8-9'!D27+'Asotin Pgs 10-11'!D27+'Benton-Franklin Pgs 12-13'!D27+'Chelan-Douglas Pgs 14-15'!D27+'Clallam Pgs 16-17'!D27+'Clark Pgs 18-19'!D27+'Columbia Pgs 20-21'!D27+'Cowlitz Pgs 22-23'!D27+'Garfield Pgs 24-25'!D27+'Grant Pgs 26-27'!D27+'Grays Harbor Pgs 28-29'!D27+'Island Pgs 30-31'!D27+'Jefferson Pgs 32-33'!D27+'Kitsap Pgs 34-35'!D27+'Kittitas Pgs 36-37'!D27+'Klickitat Pgs 38-39'!D27+'Lewis Pgs 40-41'!D27+'Lincoln Pgs 42-43'!D27+'Mason Pgs 44-45'!D27+'Northeast Tri Pgs 46-47'!D27+'Okanogan Pgs 48-49'!D27+'Pacific Pgs 50-51'!D27+'San Juan Pgs 52-53'!D27+'Skagit Pgs 56-57'!D27+'Skamania Pgs 58-59'!D27+'Snohomish Pgs 60-61'!D27+'Spokane Pgs 62-63'!D27+'Tacoma-Pierce Pgs 64-65'!D27+'Thurston Pgs 66-67'!D27+'Wahkiakum Pgs 68-69'!D27+'Walla Walla Pgs 70-71'!D27+'Whatcom Pgs 72-73'!D27+'Whitman Pgs 74-75'!D27+'Yakima Pgs 76-77'!D27+'Seattle-King Pgs 54-55'!D27</f>
        <v>17869701</v>
      </c>
      <c r="E27" s="100">
        <f>'Adams Pgs 8-9'!E27+'Asotin Pgs 10-11'!E27+'Benton-Franklin Pgs 12-13'!E27+'Chelan-Douglas Pgs 14-15'!E27+'Clallam Pgs 16-17'!E27+'Clark Pgs 18-19'!E27+'Columbia Pgs 20-21'!E27+'Cowlitz Pgs 22-23'!E27+'Garfield Pgs 24-25'!E27+'Grant Pgs 26-27'!E27+'Grays Harbor Pgs 28-29'!E27+'Island Pgs 30-31'!E27+'Jefferson Pgs 32-33'!E27+'Kitsap Pgs 34-35'!E27+'Kittitas Pgs 36-37'!E27+'Klickitat Pgs 38-39'!E27+'Lewis Pgs 40-41'!E27+'Lincoln Pgs 42-43'!E27+'Mason Pgs 44-45'!E27+'Northeast Tri Pgs 46-47'!E27+'Okanogan Pgs 48-49'!E27+'Pacific Pgs 50-51'!E27+'San Juan Pgs 52-53'!E27+'Skagit Pgs 56-57'!E27+'Skamania Pgs 58-59'!E27+'Snohomish Pgs 60-61'!E27+'Spokane Pgs 62-63'!E27+'Tacoma-Pierce Pgs 64-65'!E27+'Thurston Pgs 66-67'!E27+'Wahkiakum Pgs 68-69'!E27+'Walla Walla Pgs 70-71'!E27+'Whatcom Pgs 72-73'!E27+'Whitman Pgs 74-75'!E27+'Yakima Pgs 76-77'!E27+'Seattle-King Pgs 54-55'!E27</f>
        <v>438034</v>
      </c>
      <c r="F27" s="101">
        <f>'Adams Pgs 8-9'!F27+'Asotin Pgs 10-11'!F27+'Benton-Franklin Pgs 12-13'!F27+'Chelan-Douglas Pgs 14-15'!F27+'Clallam Pgs 16-17'!F27+'Clark Pgs 18-19'!F27+'Columbia Pgs 20-21'!F27+'Cowlitz Pgs 22-23'!F27+'Garfield Pgs 24-25'!F27+'Grant Pgs 26-27'!F27+'Grays Harbor Pgs 28-29'!F27+'Island Pgs 30-31'!F27+'Jefferson Pgs 32-33'!F27+'Kitsap Pgs 34-35'!F27+'Kittitas Pgs 36-37'!F27+'Klickitat Pgs 38-39'!F27+'Lewis Pgs 40-41'!F27+'Lincoln Pgs 42-43'!F27+'Mason Pgs 44-45'!F27+'Northeast Tri Pgs 46-47'!F27+'Okanogan Pgs 48-49'!F27+'Pacific Pgs 50-51'!F27+'San Juan Pgs 52-53'!F27+'Skagit Pgs 56-57'!F27+'Skamania Pgs 58-59'!F27+'Snohomish Pgs 60-61'!F27+'Spokane Pgs 62-63'!F27+'Tacoma-Pierce Pgs 64-65'!F27+'Thurston Pgs 66-67'!F27+'Wahkiakum Pgs 68-69'!F27+'Walla Walla Pgs 70-71'!F27+'Whatcom Pgs 72-73'!F27+'Whitman Pgs 74-75'!F27+'Yakima Pgs 76-77'!F27+'Seattle-King Pgs 54-55'!F27</f>
        <v>413807</v>
      </c>
      <c r="G27" s="102">
        <f>'Adams Pgs 8-9'!G27+'Asotin Pgs 10-11'!G27+'Benton-Franklin Pgs 12-13'!G27+'Chelan-Douglas Pgs 14-15'!G27+'Clallam Pgs 16-17'!G27+'Clark Pgs 18-19'!G27+'Columbia Pgs 20-21'!G27+'Cowlitz Pgs 22-23'!G27+'Garfield Pgs 24-25'!G27+'Grant Pgs 26-27'!G27+'Grays Harbor Pgs 28-29'!G27+'Island Pgs 30-31'!G27+'Jefferson Pgs 32-33'!G27+'Kitsap Pgs 34-35'!G27+'Kittitas Pgs 36-37'!G27+'Klickitat Pgs 38-39'!G27+'Lewis Pgs 40-41'!G27+'Lincoln Pgs 42-43'!G27+'Mason Pgs 44-45'!G27+'Northeast Tri Pgs 46-47'!G27+'Okanogan Pgs 48-49'!G27+'Pacific Pgs 50-51'!G27+'San Juan Pgs 52-53'!G27+'Skagit Pgs 56-57'!G27+'Skamania Pgs 58-59'!G27+'Snohomish Pgs 60-61'!G27+'Spokane Pgs 62-63'!G27+'Tacoma-Pierce Pgs 64-65'!G27+'Thurston Pgs 66-67'!G27+'Wahkiakum Pgs 68-69'!G27+'Walla Walla Pgs 70-71'!G27+'Whatcom Pgs 72-73'!G27+'Whitman Pgs 74-75'!G27+'Yakima Pgs 76-77'!G27+'Seattle-King Pgs 54-55'!G27</f>
        <v>67667</v>
      </c>
      <c r="H27" s="100">
        <f>'Adams Pgs 8-9'!H27+'Asotin Pgs 10-11'!H27+'Benton-Franklin Pgs 12-13'!H27+'Chelan-Douglas Pgs 14-15'!H27+'Clallam Pgs 16-17'!H27+'Clark Pgs 18-19'!H27+'Columbia Pgs 20-21'!H27+'Cowlitz Pgs 22-23'!H27+'Garfield Pgs 24-25'!H27+'Grant Pgs 26-27'!H27+'Grays Harbor Pgs 28-29'!H27+'Island Pgs 30-31'!H27+'Jefferson Pgs 32-33'!H27+'Kitsap Pgs 34-35'!H27+'Kittitas Pgs 36-37'!H27+'Klickitat Pgs 38-39'!H27+'Lewis Pgs 40-41'!H27+'Lincoln Pgs 42-43'!H27+'Mason Pgs 44-45'!H27+'Northeast Tri Pgs 46-47'!H27+'Okanogan Pgs 48-49'!H27+'Pacific Pgs 50-51'!H27+'San Juan Pgs 52-53'!H27+'Skagit Pgs 56-57'!H27+'Skamania Pgs 58-59'!H27+'Snohomish Pgs 60-61'!H27+'Spokane Pgs 62-63'!H27+'Tacoma-Pierce Pgs 64-65'!H27+'Thurston Pgs 66-67'!H27+'Wahkiakum Pgs 68-69'!H27+'Walla Walla Pgs 70-71'!H27+'Whatcom Pgs 72-73'!H27+'Whitman Pgs 74-75'!H27+'Yakima Pgs 76-77'!H27+'Seattle-King Pgs 54-55'!H27</f>
        <v>752664</v>
      </c>
      <c r="I27" s="102">
        <f>'Adams Pgs 8-9'!I27+'Asotin Pgs 10-11'!I27+'Benton-Franklin Pgs 12-13'!I27+'Chelan-Douglas Pgs 14-15'!I27+'Clallam Pgs 16-17'!I27+'Clark Pgs 18-19'!I27+'Columbia Pgs 20-21'!I27+'Cowlitz Pgs 22-23'!I27+'Garfield Pgs 24-25'!I27+'Grant Pgs 26-27'!I27+'Grays Harbor Pgs 28-29'!I27+'Island Pgs 30-31'!I27+'Jefferson Pgs 32-33'!I27+'Kitsap Pgs 34-35'!I27+'Kittitas Pgs 36-37'!I27+'Klickitat Pgs 38-39'!I27+'Lewis Pgs 40-41'!I27+'Lincoln Pgs 42-43'!I27+'Mason Pgs 44-45'!I27+'Northeast Tri Pgs 46-47'!I27+'Okanogan Pgs 48-49'!I27+'Pacific Pgs 50-51'!I27+'San Juan Pgs 52-53'!I27+'Snohomish Pgs 60-61'!I27+'Spokane Pgs 62-63'!I27+'Tacoma-Pierce Pgs 64-65'!I27+'Thurston Pgs 66-67'!I27+'Wahkiakum Pgs 68-69'!I27+'Walla Walla Pgs 70-71'!I27+'Whatcom Pgs 72-73'!I27+'Whitman Pgs 74-75'!I27+'Yakima Pgs 76-77'!I27+'Seattle-King Pgs 54-55'!I27+'Skagit Pgs 56-57'!I27+'Skamania Pgs 58-59'!I27</f>
        <v>0</v>
      </c>
      <c r="J27" s="104">
        <f>'Adams Pgs 8-9'!J27+'Asotin Pgs 10-11'!J27+'Benton-Franklin Pgs 12-13'!J27+'Chelan-Douglas Pgs 14-15'!J27+'Clallam Pgs 16-17'!J27+'Clark Pgs 18-19'!J27+'Columbia Pgs 20-21'!J27+'Cowlitz Pgs 22-23'!J27+'Garfield Pgs 24-25'!J27+'Grant Pgs 26-27'!J27+'Grays Harbor Pgs 28-29'!J27+'Island Pgs 30-31'!J27+'Jefferson Pgs 32-33'!J27+'Kitsap Pgs 34-35'!J27+'Kittitas Pgs 36-37'!J27+'Klickitat Pgs 38-39'!J27+'Lewis Pgs 40-41'!J27+'Lincoln Pgs 42-43'!J27+'Mason Pgs 44-45'!J27+'Northeast Tri Pgs 46-47'!J27+'Okanogan Pgs 48-49'!J27+'Pacific Pgs 50-51'!J27+'San Juan Pgs 52-53'!J27+'Skagit Pgs 56-57'!J27+'Skamania Pgs 58-59'!J27+'Snohomish Pgs 60-61'!J27+'Spokane Pgs 62-63'!J27+'Tacoma-Pierce Pgs 64-65'!J27+'Thurston Pgs 66-67'!J27+'Wahkiakum Pgs 68-69'!J27+'Walla Walla Pgs 70-71'!J27+'Whatcom Pgs 72-73'!J27+'Whitman Pgs 74-75'!J27+'Yakima Pgs 76-77'!J27+'Seattle-King Pgs 54-55'!J27</f>
        <v>-125021</v>
      </c>
      <c r="K27" s="129">
        <f t="shared" si="0"/>
        <v>19738690</v>
      </c>
      <c r="L27"/>
    </row>
    <row r="28" spans="1:12" x14ac:dyDescent="0.35">
      <c r="A28" s="79">
        <v>562.54999999999995</v>
      </c>
      <c r="B28" s="16" t="s">
        <v>19</v>
      </c>
      <c r="C28" s="103">
        <f>'Adams Pgs 8-9'!C28+'Asotin Pgs 10-11'!C28+'Benton-Franklin Pgs 12-13'!C28+'Chelan-Douglas Pgs 14-15'!C28+'Clallam Pgs 16-17'!C28+'Clark Pgs 18-19'!C28+'Columbia Pgs 20-21'!C28+'Cowlitz Pgs 22-23'!C28+'Garfield Pgs 24-25'!C28+'Grant Pgs 26-27'!C28+'Grays Harbor Pgs 28-29'!C28+'Island Pgs 30-31'!C28+'Jefferson Pgs 32-33'!C28+'Kitsap Pgs 34-35'!C28+'Kittitas Pgs 36-37'!C28+'Klickitat Pgs 38-39'!C28+'Lewis Pgs 40-41'!C28+'Lincoln Pgs 42-43'!C28+'Mason Pgs 44-45'!C28+'Northeast Tri Pgs 46-47'!C28+'Okanogan Pgs 48-49'!C28+'Pacific Pgs 50-51'!C28+'San Juan Pgs 52-53'!C28+'Skagit Pgs 56-57'!C28+'Skamania Pgs 58-59'!C28+'Snohomish Pgs 60-61'!C28+'Spokane Pgs 62-63'!C28+'Tacoma-Pierce Pgs 64-65'!C28+'Thurston Pgs 66-67'!C28+'Wahkiakum Pgs 68-69'!C28+'Walla Walla Pgs 70-71'!C28+'Whatcom Pgs 72-73'!C28+'Whitman Pgs 74-75'!C28+'Yakima Pgs 76-77'!C28+'Seattle-King Pgs 54-55'!C28</f>
        <v>500693</v>
      </c>
      <c r="D28" s="102">
        <f>'Adams Pgs 8-9'!D28+'Asotin Pgs 10-11'!D28+'Benton-Franklin Pgs 12-13'!D28+'Chelan-Douglas Pgs 14-15'!D28+'Clallam Pgs 16-17'!D28+'Clark Pgs 18-19'!D28+'Columbia Pgs 20-21'!D28+'Cowlitz Pgs 22-23'!D28+'Garfield Pgs 24-25'!D28+'Grant Pgs 26-27'!D28+'Grays Harbor Pgs 28-29'!D28+'Island Pgs 30-31'!D28+'Jefferson Pgs 32-33'!D28+'Kitsap Pgs 34-35'!D28+'Kittitas Pgs 36-37'!D28+'Klickitat Pgs 38-39'!D28+'Lewis Pgs 40-41'!D28+'Lincoln Pgs 42-43'!D28+'Mason Pgs 44-45'!D28+'Northeast Tri Pgs 46-47'!D28+'Okanogan Pgs 48-49'!D28+'Pacific Pgs 50-51'!D28+'San Juan Pgs 52-53'!D28+'Skagit Pgs 56-57'!D28+'Skamania Pgs 58-59'!D28+'Snohomish Pgs 60-61'!D28+'Spokane Pgs 62-63'!D28+'Tacoma-Pierce Pgs 64-65'!D28+'Thurston Pgs 66-67'!D28+'Wahkiakum Pgs 68-69'!D28+'Walla Walla Pgs 70-71'!D28+'Whatcom Pgs 72-73'!D28+'Whitman Pgs 74-75'!D28+'Yakima Pgs 76-77'!D28+'Seattle-King Pgs 54-55'!D28</f>
        <v>161136</v>
      </c>
      <c r="E28" s="100">
        <f>'Adams Pgs 8-9'!E28+'Asotin Pgs 10-11'!E28+'Benton-Franklin Pgs 12-13'!E28+'Chelan-Douglas Pgs 14-15'!E28+'Clallam Pgs 16-17'!E28+'Clark Pgs 18-19'!E28+'Columbia Pgs 20-21'!E28+'Cowlitz Pgs 22-23'!E28+'Garfield Pgs 24-25'!E28+'Grant Pgs 26-27'!E28+'Grays Harbor Pgs 28-29'!E28+'Island Pgs 30-31'!E28+'Jefferson Pgs 32-33'!E28+'Kitsap Pgs 34-35'!E28+'Kittitas Pgs 36-37'!E28+'Klickitat Pgs 38-39'!E28+'Lewis Pgs 40-41'!E28+'Lincoln Pgs 42-43'!E28+'Mason Pgs 44-45'!E28+'Northeast Tri Pgs 46-47'!E28+'Okanogan Pgs 48-49'!E28+'Pacific Pgs 50-51'!E28+'San Juan Pgs 52-53'!E28+'Skagit Pgs 56-57'!E28+'Skamania Pgs 58-59'!E28+'Snohomish Pgs 60-61'!E28+'Spokane Pgs 62-63'!E28+'Tacoma-Pierce Pgs 64-65'!E28+'Thurston Pgs 66-67'!E28+'Wahkiakum Pgs 68-69'!E28+'Walla Walla Pgs 70-71'!E28+'Whatcom Pgs 72-73'!E28+'Whitman Pgs 74-75'!E28+'Yakima Pgs 76-77'!E28+'Seattle-King Pgs 54-55'!E28</f>
        <v>0</v>
      </c>
      <c r="F28" s="101">
        <f>'Adams Pgs 8-9'!F28+'Asotin Pgs 10-11'!F28+'Benton-Franklin Pgs 12-13'!F28+'Chelan-Douglas Pgs 14-15'!F28+'Clallam Pgs 16-17'!F28+'Clark Pgs 18-19'!F28+'Columbia Pgs 20-21'!F28+'Cowlitz Pgs 22-23'!F28+'Garfield Pgs 24-25'!F28+'Grant Pgs 26-27'!F28+'Grays Harbor Pgs 28-29'!F28+'Island Pgs 30-31'!F28+'Jefferson Pgs 32-33'!F28+'Kitsap Pgs 34-35'!F28+'Kittitas Pgs 36-37'!F28+'Klickitat Pgs 38-39'!F28+'Lewis Pgs 40-41'!F28+'Lincoln Pgs 42-43'!F28+'Mason Pgs 44-45'!F28+'Northeast Tri Pgs 46-47'!F28+'Okanogan Pgs 48-49'!F28+'Pacific Pgs 50-51'!F28+'San Juan Pgs 52-53'!F28+'Skagit Pgs 56-57'!F28+'Skamania Pgs 58-59'!F28+'Snohomish Pgs 60-61'!F28+'Spokane Pgs 62-63'!F28+'Tacoma-Pierce Pgs 64-65'!F28+'Thurston Pgs 66-67'!F28+'Wahkiakum Pgs 68-69'!F28+'Walla Walla Pgs 70-71'!F28+'Whatcom Pgs 72-73'!F28+'Whitman Pgs 74-75'!F28+'Yakima Pgs 76-77'!F28+'Seattle-King Pgs 54-55'!F28</f>
        <v>59734</v>
      </c>
      <c r="G28" s="102">
        <f>'Adams Pgs 8-9'!G28+'Asotin Pgs 10-11'!G28+'Benton-Franklin Pgs 12-13'!G28+'Chelan-Douglas Pgs 14-15'!G28+'Clallam Pgs 16-17'!G28+'Clark Pgs 18-19'!G28+'Columbia Pgs 20-21'!G28+'Cowlitz Pgs 22-23'!G28+'Garfield Pgs 24-25'!G28+'Grant Pgs 26-27'!G28+'Grays Harbor Pgs 28-29'!G28+'Island Pgs 30-31'!G28+'Jefferson Pgs 32-33'!G28+'Kitsap Pgs 34-35'!G28+'Kittitas Pgs 36-37'!G28+'Klickitat Pgs 38-39'!G28+'Lewis Pgs 40-41'!G28+'Lincoln Pgs 42-43'!G28+'Mason Pgs 44-45'!G28+'Northeast Tri Pgs 46-47'!G28+'Okanogan Pgs 48-49'!G28+'Pacific Pgs 50-51'!G28+'San Juan Pgs 52-53'!G28+'Skagit Pgs 56-57'!G28+'Skamania Pgs 58-59'!G28+'Snohomish Pgs 60-61'!G28+'Spokane Pgs 62-63'!G28+'Tacoma-Pierce Pgs 64-65'!G28+'Thurston Pgs 66-67'!G28+'Wahkiakum Pgs 68-69'!G28+'Walla Walla Pgs 70-71'!G28+'Whatcom Pgs 72-73'!G28+'Whitman Pgs 74-75'!G28+'Yakima Pgs 76-77'!G28+'Seattle-King Pgs 54-55'!G28</f>
        <v>0</v>
      </c>
      <c r="H28" s="100">
        <f>'Adams Pgs 8-9'!H28+'Asotin Pgs 10-11'!H28+'Benton-Franklin Pgs 12-13'!H28+'Chelan-Douglas Pgs 14-15'!H28+'Clallam Pgs 16-17'!H28+'Clark Pgs 18-19'!H28+'Columbia Pgs 20-21'!H28+'Cowlitz Pgs 22-23'!H28+'Garfield Pgs 24-25'!H28+'Grant Pgs 26-27'!H28+'Grays Harbor Pgs 28-29'!H28+'Island Pgs 30-31'!H28+'Jefferson Pgs 32-33'!H28+'Kitsap Pgs 34-35'!H28+'Kittitas Pgs 36-37'!H28+'Klickitat Pgs 38-39'!H28+'Lewis Pgs 40-41'!H28+'Lincoln Pgs 42-43'!H28+'Mason Pgs 44-45'!H28+'Northeast Tri Pgs 46-47'!H28+'Okanogan Pgs 48-49'!H28+'Pacific Pgs 50-51'!H28+'San Juan Pgs 52-53'!H28+'Skagit Pgs 56-57'!H28+'Skamania Pgs 58-59'!H28+'Snohomish Pgs 60-61'!H28+'Spokane Pgs 62-63'!H28+'Tacoma-Pierce Pgs 64-65'!H28+'Thurston Pgs 66-67'!H28+'Wahkiakum Pgs 68-69'!H28+'Walla Walla Pgs 70-71'!H28+'Whatcom Pgs 72-73'!H28+'Whitman Pgs 74-75'!H28+'Yakima Pgs 76-77'!H28+'Seattle-King Pgs 54-55'!H28</f>
        <v>0</v>
      </c>
      <c r="I28" s="102">
        <f>'Adams Pgs 8-9'!I28+'Asotin Pgs 10-11'!I28+'Benton-Franklin Pgs 12-13'!I28+'Chelan-Douglas Pgs 14-15'!I28+'Clallam Pgs 16-17'!I28+'Clark Pgs 18-19'!I28+'Columbia Pgs 20-21'!I28+'Cowlitz Pgs 22-23'!I28+'Garfield Pgs 24-25'!I28+'Grant Pgs 26-27'!I28+'Grays Harbor Pgs 28-29'!I28+'Island Pgs 30-31'!I28+'Jefferson Pgs 32-33'!I28+'Kitsap Pgs 34-35'!I28+'Kittitas Pgs 36-37'!I28+'Klickitat Pgs 38-39'!I28+'Lewis Pgs 40-41'!I28+'Lincoln Pgs 42-43'!I28+'Mason Pgs 44-45'!I28+'Northeast Tri Pgs 46-47'!I28+'Okanogan Pgs 48-49'!I28+'Pacific Pgs 50-51'!I28+'San Juan Pgs 52-53'!I28+'Snohomish Pgs 60-61'!I28+'Spokane Pgs 62-63'!I28+'Tacoma-Pierce Pgs 64-65'!I28+'Thurston Pgs 66-67'!I28+'Wahkiakum Pgs 68-69'!I28+'Walla Walla Pgs 70-71'!I28+'Whatcom Pgs 72-73'!I28+'Whitman Pgs 74-75'!I28+'Yakima Pgs 76-77'!I28+'Seattle-King Pgs 54-55'!I28+'Skagit Pgs 56-57'!I28+'Skamania Pgs 58-59'!I28</f>
        <v>0</v>
      </c>
      <c r="J28" s="104">
        <f>'Adams Pgs 8-9'!J28+'Asotin Pgs 10-11'!J28+'Benton-Franklin Pgs 12-13'!J28+'Chelan-Douglas Pgs 14-15'!J28+'Clallam Pgs 16-17'!J28+'Clark Pgs 18-19'!J28+'Columbia Pgs 20-21'!J28+'Cowlitz Pgs 22-23'!J28+'Garfield Pgs 24-25'!J28+'Grant Pgs 26-27'!J28+'Grays Harbor Pgs 28-29'!J28+'Island Pgs 30-31'!J28+'Jefferson Pgs 32-33'!J28+'Kitsap Pgs 34-35'!J28+'Kittitas Pgs 36-37'!J28+'Klickitat Pgs 38-39'!J28+'Lewis Pgs 40-41'!J28+'Lincoln Pgs 42-43'!J28+'Mason Pgs 44-45'!J28+'Northeast Tri Pgs 46-47'!J28+'Okanogan Pgs 48-49'!J28+'Pacific Pgs 50-51'!J28+'San Juan Pgs 52-53'!J28+'Skagit Pgs 56-57'!J28+'Skamania Pgs 58-59'!J28+'Snohomish Pgs 60-61'!J28+'Spokane Pgs 62-63'!J28+'Tacoma-Pierce Pgs 64-65'!J28+'Thurston Pgs 66-67'!J28+'Wahkiakum Pgs 68-69'!J28+'Walla Walla Pgs 70-71'!J28+'Whatcom Pgs 72-73'!J28+'Whitman Pgs 74-75'!J28+'Yakima Pgs 76-77'!J28+'Seattle-King Pgs 54-55'!J28</f>
        <v>0</v>
      </c>
      <c r="K28" s="129">
        <f t="shared" si="0"/>
        <v>721563</v>
      </c>
      <c r="L28"/>
    </row>
    <row r="29" spans="1:12" x14ac:dyDescent="0.35">
      <c r="A29" s="79">
        <v>562.55999999999995</v>
      </c>
      <c r="B29" s="16" t="s">
        <v>20</v>
      </c>
      <c r="C29" s="103">
        <f>'Adams Pgs 8-9'!C29+'Asotin Pgs 10-11'!C29+'Benton-Franklin Pgs 12-13'!C29+'Chelan-Douglas Pgs 14-15'!C29+'Clallam Pgs 16-17'!C29+'Clark Pgs 18-19'!C29+'Columbia Pgs 20-21'!C29+'Cowlitz Pgs 22-23'!C29+'Garfield Pgs 24-25'!C29+'Grant Pgs 26-27'!C29+'Grays Harbor Pgs 28-29'!C29+'Island Pgs 30-31'!C29+'Jefferson Pgs 32-33'!C29+'Kitsap Pgs 34-35'!C29+'Kittitas Pgs 36-37'!C29+'Klickitat Pgs 38-39'!C29+'Lewis Pgs 40-41'!C29+'Lincoln Pgs 42-43'!C29+'Mason Pgs 44-45'!C29+'Northeast Tri Pgs 46-47'!C29+'Okanogan Pgs 48-49'!C29+'Pacific Pgs 50-51'!C29+'San Juan Pgs 52-53'!C29+'Skagit Pgs 56-57'!C29+'Skamania Pgs 58-59'!C29+'Snohomish Pgs 60-61'!C29+'Spokane Pgs 62-63'!C29+'Tacoma-Pierce Pgs 64-65'!C29+'Thurston Pgs 66-67'!C29+'Wahkiakum Pgs 68-69'!C29+'Walla Walla Pgs 70-71'!C29+'Whatcom Pgs 72-73'!C29+'Whitman Pgs 74-75'!C29+'Yakima Pgs 76-77'!C29+'Seattle-King Pgs 54-55'!C29</f>
        <v>799889</v>
      </c>
      <c r="D29" s="102">
        <f>'Adams Pgs 8-9'!D29+'Asotin Pgs 10-11'!D29+'Benton-Franklin Pgs 12-13'!D29+'Chelan-Douglas Pgs 14-15'!D29+'Clallam Pgs 16-17'!D29+'Clark Pgs 18-19'!D29+'Columbia Pgs 20-21'!D29+'Cowlitz Pgs 22-23'!D29+'Garfield Pgs 24-25'!D29+'Grant Pgs 26-27'!D29+'Grays Harbor Pgs 28-29'!D29+'Island Pgs 30-31'!D29+'Jefferson Pgs 32-33'!D29+'Kitsap Pgs 34-35'!D29+'Kittitas Pgs 36-37'!D29+'Klickitat Pgs 38-39'!D29+'Lewis Pgs 40-41'!D29+'Lincoln Pgs 42-43'!D29+'Mason Pgs 44-45'!D29+'Northeast Tri Pgs 46-47'!D29+'Okanogan Pgs 48-49'!D29+'Pacific Pgs 50-51'!D29+'San Juan Pgs 52-53'!D29+'Skagit Pgs 56-57'!D29+'Skamania Pgs 58-59'!D29+'Snohomish Pgs 60-61'!D29+'Spokane Pgs 62-63'!D29+'Tacoma-Pierce Pgs 64-65'!D29+'Thurston Pgs 66-67'!D29+'Wahkiakum Pgs 68-69'!D29+'Walla Walla Pgs 70-71'!D29+'Whatcom Pgs 72-73'!D29+'Whitman Pgs 74-75'!D29+'Yakima Pgs 76-77'!D29+'Seattle-King Pgs 54-55'!D29</f>
        <v>25251763</v>
      </c>
      <c r="E29" s="100">
        <f>'Adams Pgs 8-9'!E29+'Asotin Pgs 10-11'!E29+'Benton-Franklin Pgs 12-13'!E29+'Chelan-Douglas Pgs 14-15'!E29+'Clallam Pgs 16-17'!E29+'Clark Pgs 18-19'!E29+'Columbia Pgs 20-21'!E29+'Cowlitz Pgs 22-23'!E29+'Garfield Pgs 24-25'!E29+'Grant Pgs 26-27'!E29+'Grays Harbor Pgs 28-29'!E29+'Island Pgs 30-31'!E29+'Jefferson Pgs 32-33'!E29+'Kitsap Pgs 34-35'!E29+'Kittitas Pgs 36-37'!E29+'Klickitat Pgs 38-39'!E29+'Lewis Pgs 40-41'!E29+'Lincoln Pgs 42-43'!E29+'Mason Pgs 44-45'!E29+'Northeast Tri Pgs 46-47'!E29+'Okanogan Pgs 48-49'!E29+'Pacific Pgs 50-51'!E29+'San Juan Pgs 52-53'!E29+'Skagit Pgs 56-57'!E29+'Skamania Pgs 58-59'!E29+'Snohomish Pgs 60-61'!E29+'Spokane Pgs 62-63'!E29+'Tacoma-Pierce Pgs 64-65'!E29+'Thurston Pgs 66-67'!E29+'Wahkiakum Pgs 68-69'!E29+'Walla Walla Pgs 70-71'!E29+'Whatcom Pgs 72-73'!E29+'Whitman Pgs 74-75'!E29+'Yakima Pgs 76-77'!E29+'Seattle-King Pgs 54-55'!E29</f>
        <v>19970</v>
      </c>
      <c r="F29" s="101">
        <f>'Adams Pgs 8-9'!F29+'Asotin Pgs 10-11'!F29+'Benton-Franklin Pgs 12-13'!F29+'Chelan-Douglas Pgs 14-15'!F29+'Clallam Pgs 16-17'!F29+'Clark Pgs 18-19'!F29+'Columbia Pgs 20-21'!F29+'Cowlitz Pgs 22-23'!F29+'Garfield Pgs 24-25'!F29+'Grant Pgs 26-27'!F29+'Grays Harbor Pgs 28-29'!F29+'Island Pgs 30-31'!F29+'Jefferson Pgs 32-33'!F29+'Kitsap Pgs 34-35'!F29+'Kittitas Pgs 36-37'!F29+'Klickitat Pgs 38-39'!F29+'Lewis Pgs 40-41'!F29+'Lincoln Pgs 42-43'!F29+'Mason Pgs 44-45'!F29+'Northeast Tri Pgs 46-47'!F29+'Okanogan Pgs 48-49'!F29+'Pacific Pgs 50-51'!F29+'San Juan Pgs 52-53'!F29+'Skagit Pgs 56-57'!F29+'Skamania Pgs 58-59'!F29+'Snohomish Pgs 60-61'!F29+'Spokane Pgs 62-63'!F29+'Tacoma-Pierce Pgs 64-65'!F29+'Thurston Pgs 66-67'!F29+'Wahkiakum Pgs 68-69'!F29+'Walla Walla Pgs 70-71'!F29+'Whatcom Pgs 72-73'!F29+'Whitman Pgs 74-75'!F29+'Yakima Pgs 76-77'!F29+'Seattle-King Pgs 54-55'!F29</f>
        <v>551023</v>
      </c>
      <c r="G29" s="102">
        <f>'Adams Pgs 8-9'!G29+'Asotin Pgs 10-11'!G29+'Benton-Franklin Pgs 12-13'!G29+'Chelan-Douglas Pgs 14-15'!G29+'Clallam Pgs 16-17'!G29+'Clark Pgs 18-19'!G29+'Columbia Pgs 20-21'!G29+'Cowlitz Pgs 22-23'!G29+'Garfield Pgs 24-25'!G29+'Grant Pgs 26-27'!G29+'Grays Harbor Pgs 28-29'!G29+'Island Pgs 30-31'!G29+'Jefferson Pgs 32-33'!G29+'Kitsap Pgs 34-35'!G29+'Kittitas Pgs 36-37'!G29+'Klickitat Pgs 38-39'!G29+'Lewis Pgs 40-41'!G29+'Lincoln Pgs 42-43'!G29+'Mason Pgs 44-45'!G29+'Northeast Tri Pgs 46-47'!G29+'Okanogan Pgs 48-49'!G29+'Pacific Pgs 50-51'!G29+'San Juan Pgs 52-53'!G29+'Skagit Pgs 56-57'!G29+'Skamania Pgs 58-59'!G29+'Snohomish Pgs 60-61'!G29+'Spokane Pgs 62-63'!G29+'Tacoma-Pierce Pgs 64-65'!G29+'Thurston Pgs 66-67'!G29+'Wahkiakum Pgs 68-69'!G29+'Walla Walla Pgs 70-71'!G29+'Whatcom Pgs 72-73'!G29+'Whitman Pgs 74-75'!G29+'Yakima Pgs 76-77'!G29+'Seattle-King Pgs 54-55'!G29</f>
        <v>0</v>
      </c>
      <c r="H29" s="100">
        <f>'Adams Pgs 8-9'!H29+'Asotin Pgs 10-11'!H29+'Benton-Franklin Pgs 12-13'!H29+'Chelan-Douglas Pgs 14-15'!H29+'Clallam Pgs 16-17'!H29+'Clark Pgs 18-19'!H29+'Columbia Pgs 20-21'!H29+'Cowlitz Pgs 22-23'!H29+'Garfield Pgs 24-25'!H29+'Grant Pgs 26-27'!H29+'Grays Harbor Pgs 28-29'!H29+'Island Pgs 30-31'!H29+'Jefferson Pgs 32-33'!H29+'Kitsap Pgs 34-35'!H29+'Kittitas Pgs 36-37'!H29+'Klickitat Pgs 38-39'!H29+'Lewis Pgs 40-41'!H29+'Lincoln Pgs 42-43'!H29+'Mason Pgs 44-45'!H29+'Northeast Tri Pgs 46-47'!H29+'Okanogan Pgs 48-49'!H29+'Pacific Pgs 50-51'!H29+'San Juan Pgs 52-53'!H29+'Skagit Pgs 56-57'!H29+'Skamania Pgs 58-59'!H29+'Snohomish Pgs 60-61'!H29+'Spokane Pgs 62-63'!H29+'Tacoma-Pierce Pgs 64-65'!H29+'Thurston Pgs 66-67'!H29+'Wahkiakum Pgs 68-69'!H29+'Walla Walla Pgs 70-71'!H29+'Whatcom Pgs 72-73'!H29+'Whitman Pgs 74-75'!H29+'Yakima Pgs 76-77'!H29+'Seattle-King Pgs 54-55'!H29</f>
        <v>12871</v>
      </c>
      <c r="I29" s="102">
        <f>'Adams Pgs 8-9'!I29+'Asotin Pgs 10-11'!I29+'Benton-Franklin Pgs 12-13'!I29+'Chelan-Douglas Pgs 14-15'!I29+'Clallam Pgs 16-17'!I29+'Clark Pgs 18-19'!I29+'Columbia Pgs 20-21'!I29+'Cowlitz Pgs 22-23'!I29+'Garfield Pgs 24-25'!I29+'Grant Pgs 26-27'!I29+'Grays Harbor Pgs 28-29'!I29+'Island Pgs 30-31'!I29+'Jefferson Pgs 32-33'!I29+'Kitsap Pgs 34-35'!I29+'Kittitas Pgs 36-37'!I29+'Klickitat Pgs 38-39'!I29+'Lewis Pgs 40-41'!I29+'Lincoln Pgs 42-43'!I29+'Mason Pgs 44-45'!I29+'Northeast Tri Pgs 46-47'!I29+'Okanogan Pgs 48-49'!I29+'Pacific Pgs 50-51'!I29+'San Juan Pgs 52-53'!I29+'Snohomish Pgs 60-61'!I29+'Spokane Pgs 62-63'!I29+'Tacoma-Pierce Pgs 64-65'!I29+'Thurston Pgs 66-67'!I29+'Wahkiakum Pgs 68-69'!I29+'Walla Walla Pgs 70-71'!I29+'Whatcom Pgs 72-73'!I29+'Whitman Pgs 74-75'!I29+'Yakima Pgs 76-77'!I29+'Seattle-King Pgs 54-55'!I29+'Skagit Pgs 56-57'!I29+'Skamania Pgs 58-59'!I29</f>
        <v>124753</v>
      </c>
      <c r="J29" s="104">
        <f>'Adams Pgs 8-9'!J29+'Asotin Pgs 10-11'!J29+'Benton-Franklin Pgs 12-13'!J29+'Chelan-Douglas Pgs 14-15'!J29+'Clallam Pgs 16-17'!J29+'Clark Pgs 18-19'!J29+'Columbia Pgs 20-21'!J29+'Cowlitz Pgs 22-23'!J29+'Garfield Pgs 24-25'!J29+'Grant Pgs 26-27'!J29+'Grays Harbor Pgs 28-29'!J29+'Island Pgs 30-31'!J29+'Jefferson Pgs 32-33'!J29+'Kitsap Pgs 34-35'!J29+'Kittitas Pgs 36-37'!J29+'Klickitat Pgs 38-39'!J29+'Lewis Pgs 40-41'!J29+'Lincoln Pgs 42-43'!J29+'Mason Pgs 44-45'!J29+'Northeast Tri Pgs 46-47'!J29+'Okanogan Pgs 48-49'!J29+'Pacific Pgs 50-51'!J29+'San Juan Pgs 52-53'!J29+'Skagit Pgs 56-57'!J29+'Skamania Pgs 58-59'!J29+'Snohomish Pgs 60-61'!J29+'Spokane Pgs 62-63'!J29+'Tacoma-Pierce Pgs 64-65'!J29+'Thurston Pgs 66-67'!J29+'Wahkiakum Pgs 68-69'!J29+'Walla Walla Pgs 70-71'!J29+'Whatcom Pgs 72-73'!J29+'Whitman Pgs 74-75'!J29+'Yakima Pgs 76-77'!J29+'Seattle-King Pgs 54-55'!J29</f>
        <v>112850</v>
      </c>
      <c r="K29" s="129">
        <f t="shared" si="0"/>
        <v>26873119</v>
      </c>
      <c r="L29"/>
    </row>
    <row r="30" spans="1:12" x14ac:dyDescent="0.35">
      <c r="A30" s="79">
        <v>562.57000000000005</v>
      </c>
      <c r="B30" s="28" t="s">
        <v>61</v>
      </c>
      <c r="C30" s="103">
        <f>'Adams Pgs 8-9'!C30+'Asotin Pgs 10-11'!C30+'Benton-Franklin Pgs 12-13'!C30+'Chelan-Douglas Pgs 14-15'!C30+'Clallam Pgs 16-17'!C30+'Clark Pgs 18-19'!C30+'Columbia Pgs 20-21'!C30+'Cowlitz Pgs 22-23'!C30+'Garfield Pgs 24-25'!C30+'Grant Pgs 26-27'!C30+'Grays Harbor Pgs 28-29'!C30+'Island Pgs 30-31'!C30+'Jefferson Pgs 32-33'!C30+'Kitsap Pgs 34-35'!C30+'Kittitas Pgs 36-37'!C30+'Klickitat Pgs 38-39'!C30+'Lewis Pgs 40-41'!C30+'Lincoln Pgs 42-43'!C30+'Mason Pgs 44-45'!C30+'Northeast Tri Pgs 46-47'!C30+'Okanogan Pgs 48-49'!C30+'Pacific Pgs 50-51'!C30+'San Juan Pgs 52-53'!C30+'Skagit Pgs 56-57'!C30+'Skamania Pgs 58-59'!C30+'Snohomish Pgs 60-61'!C30+'Spokane Pgs 62-63'!C30+'Tacoma-Pierce Pgs 64-65'!C30+'Thurston Pgs 66-67'!C30+'Wahkiakum Pgs 68-69'!C30+'Walla Walla Pgs 70-71'!C30+'Whatcom Pgs 72-73'!C30+'Whitman Pgs 74-75'!C30+'Yakima Pgs 76-77'!C30+'Seattle-King Pgs 54-55'!C30</f>
        <v>21940</v>
      </c>
      <c r="D30" s="102">
        <f>'Adams Pgs 8-9'!D30+'Asotin Pgs 10-11'!D30+'Benton-Franklin Pgs 12-13'!D30+'Chelan-Douglas Pgs 14-15'!D30+'Clallam Pgs 16-17'!D30+'Clark Pgs 18-19'!D30+'Columbia Pgs 20-21'!D30+'Cowlitz Pgs 22-23'!D30+'Garfield Pgs 24-25'!D30+'Grant Pgs 26-27'!D30+'Grays Harbor Pgs 28-29'!D30+'Island Pgs 30-31'!D30+'Jefferson Pgs 32-33'!D30+'Kitsap Pgs 34-35'!D30+'Kittitas Pgs 36-37'!D30+'Klickitat Pgs 38-39'!D30+'Lewis Pgs 40-41'!D30+'Lincoln Pgs 42-43'!D30+'Mason Pgs 44-45'!D30+'Northeast Tri Pgs 46-47'!D30+'Okanogan Pgs 48-49'!D30+'Pacific Pgs 50-51'!D30+'San Juan Pgs 52-53'!D30+'Skagit Pgs 56-57'!D30+'Skamania Pgs 58-59'!D30+'Snohomish Pgs 60-61'!D30+'Spokane Pgs 62-63'!D30+'Tacoma-Pierce Pgs 64-65'!D30+'Thurston Pgs 66-67'!D30+'Wahkiakum Pgs 68-69'!D30+'Walla Walla Pgs 70-71'!D30+'Whatcom Pgs 72-73'!D30+'Whitman Pgs 74-75'!D30+'Yakima Pgs 76-77'!D30+'Seattle-King Pgs 54-55'!D30</f>
        <v>553054</v>
      </c>
      <c r="E30" s="100">
        <f>'Adams Pgs 8-9'!E30+'Asotin Pgs 10-11'!E30+'Benton-Franklin Pgs 12-13'!E30+'Chelan-Douglas Pgs 14-15'!E30+'Clallam Pgs 16-17'!E30+'Clark Pgs 18-19'!E30+'Columbia Pgs 20-21'!E30+'Cowlitz Pgs 22-23'!E30+'Garfield Pgs 24-25'!E30+'Grant Pgs 26-27'!E30+'Grays Harbor Pgs 28-29'!E30+'Island Pgs 30-31'!E30+'Jefferson Pgs 32-33'!E30+'Kitsap Pgs 34-35'!E30+'Kittitas Pgs 36-37'!E30+'Klickitat Pgs 38-39'!E30+'Lewis Pgs 40-41'!E30+'Lincoln Pgs 42-43'!E30+'Mason Pgs 44-45'!E30+'Northeast Tri Pgs 46-47'!E30+'Okanogan Pgs 48-49'!E30+'Pacific Pgs 50-51'!E30+'San Juan Pgs 52-53'!E30+'Skagit Pgs 56-57'!E30+'Skamania Pgs 58-59'!E30+'Snohomish Pgs 60-61'!E30+'Spokane Pgs 62-63'!E30+'Tacoma-Pierce Pgs 64-65'!E30+'Thurston Pgs 66-67'!E30+'Wahkiakum Pgs 68-69'!E30+'Walla Walla Pgs 70-71'!E30+'Whatcom Pgs 72-73'!E30+'Whitman Pgs 74-75'!E30+'Yakima Pgs 76-77'!E30+'Seattle-King Pgs 54-55'!E30</f>
        <v>0</v>
      </c>
      <c r="F30" s="101">
        <f>'Adams Pgs 8-9'!F30+'Asotin Pgs 10-11'!F30+'Benton-Franklin Pgs 12-13'!F30+'Chelan-Douglas Pgs 14-15'!F30+'Clallam Pgs 16-17'!F30+'Clark Pgs 18-19'!F30+'Columbia Pgs 20-21'!F30+'Cowlitz Pgs 22-23'!F30+'Garfield Pgs 24-25'!F30+'Grant Pgs 26-27'!F30+'Grays Harbor Pgs 28-29'!F30+'Island Pgs 30-31'!F30+'Jefferson Pgs 32-33'!F30+'Kitsap Pgs 34-35'!F30+'Kittitas Pgs 36-37'!F30+'Klickitat Pgs 38-39'!F30+'Lewis Pgs 40-41'!F30+'Lincoln Pgs 42-43'!F30+'Mason Pgs 44-45'!F30+'Northeast Tri Pgs 46-47'!F30+'Okanogan Pgs 48-49'!F30+'Pacific Pgs 50-51'!F30+'San Juan Pgs 52-53'!F30+'Skagit Pgs 56-57'!F30+'Skamania Pgs 58-59'!F30+'Snohomish Pgs 60-61'!F30+'Spokane Pgs 62-63'!F30+'Tacoma-Pierce Pgs 64-65'!F30+'Thurston Pgs 66-67'!F30+'Wahkiakum Pgs 68-69'!F30+'Walla Walla Pgs 70-71'!F30+'Whatcom Pgs 72-73'!F30+'Whitman Pgs 74-75'!F30+'Yakima Pgs 76-77'!F30+'Seattle-King Pgs 54-55'!F30</f>
        <v>866</v>
      </c>
      <c r="G30" s="102">
        <f>'Adams Pgs 8-9'!G30+'Asotin Pgs 10-11'!G30+'Benton-Franklin Pgs 12-13'!G30+'Chelan-Douglas Pgs 14-15'!G30+'Clallam Pgs 16-17'!G30+'Clark Pgs 18-19'!G30+'Columbia Pgs 20-21'!G30+'Cowlitz Pgs 22-23'!G30+'Garfield Pgs 24-25'!G30+'Grant Pgs 26-27'!G30+'Grays Harbor Pgs 28-29'!G30+'Island Pgs 30-31'!G30+'Jefferson Pgs 32-33'!G30+'Kitsap Pgs 34-35'!G30+'Kittitas Pgs 36-37'!G30+'Klickitat Pgs 38-39'!G30+'Lewis Pgs 40-41'!G30+'Lincoln Pgs 42-43'!G30+'Mason Pgs 44-45'!G30+'Northeast Tri Pgs 46-47'!G30+'Okanogan Pgs 48-49'!G30+'Pacific Pgs 50-51'!G30+'San Juan Pgs 52-53'!G30+'Skagit Pgs 56-57'!G30+'Skamania Pgs 58-59'!G30+'Snohomish Pgs 60-61'!G30+'Spokane Pgs 62-63'!G30+'Tacoma-Pierce Pgs 64-65'!G30+'Thurston Pgs 66-67'!G30+'Wahkiakum Pgs 68-69'!G30+'Walla Walla Pgs 70-71'!G30+'Whatcom Pgs 72-73'!G30+'Whitman Pgs 74-75'!G30+'Yakima Pgs 76-77'!G30+'Seattle-King Pgs 54-55'!G30</f>
        <v>123627</v>
      </c>
      <c r="H30" s="100">
        <f>'Adams Pgs 8-9'!H30+'Asotin Pgs 10-11'!H30+'Benton-Franklin Pgs 12-13'!H30+'Chelan-Douglas Pgs 14-15'!H30+'Clallam Pgs 16-17'!H30+'Clark Pgs 18-19'!H30+'Columbia Pgs 20-21'!H30+'Cowlitz Pgs 22-23'!H30+'Garfield Pgs 24-25'!H30+'Grant Pgs 26-27'!H30+'Grays Harbor Pgs 28-29'!H30+'Island Pgs 30-31'!H30+'Jefferson Pgs 32-33'!H30+'Kitsap Pgs 34-35'!H30+'Kittitas Pgs 36-37'!H30+'Klickitat Pgs 38-39'!H30+'Lewis Pgs 40-41'!H30+'Lincoln Pgs 42-43'!H30+'Mason Pgs 44-45'!H30+'Northeast Tri Pgs 46-47'!H30+'Okanogan Pgs 48-49'!H30+'Pacific Pgs 50-51'!H30+'San Juan Pgs 52-53'!H30+'Skagit Pgs 56-57'!H30+'Skamania Pgs 58-59'!H30+'Snohomish Pgs 60-61'!H30+'Spokane Pgs 62-63'!H30+'Tacoma-Pierce Pgs 64-65'!H30+'Thurston Pgs 66-67'!H30+'Wahkiakum Pgs 68-69'!H30+'Walla Walla Pgs 70-71'!H30+'Whatcom Pgs 72-73'!H30+'Whitman Pgs 74-75'!H30+'Yakima Pgs 76-77'!H30+'Seattle-King Pgs 54-55'!H30</f>
        <v>0</v>
      </c>
      <c r="I30" s="102">
        <f>'Adams Pgs 8-9'!I30+'Asotin Pgs 10-11'!I30+'Benton-Franklin Pgs 12-13'!I30+'Chelan-Douglas Pgs 14-15'!I30+'Clallam Pgs 16-17'!I30+'Clark Pgs 18-19'!I30+'Columbia Pgs 20-21'!I30+'Cowlitz Pgs 22-23'!I30+'Garfield Pgs 24-25'!I30+'Grant Pgs 26-27'!I30+'Grays Harbor Pgs 28-29'!I30+'Island Pgs 30-31'!I30+'Jefferson Pgs 32-33'!I30+'Kitsap Pgs 34-35'!I30+'Kittitas Pgs 36-37'!I30+'Klickitat Pgs 38-39'!I30+'Lewis Pgs 40-41'!I30+'Lincoln Pgs 42-43'!I30+'Mason Pgs 44-45'!I30+'Northeast Tri Pgs 46-47'!I30+'Okanogan Pgs 48-49'!I30+'Pacific Pgs 50-51'!I30+'San Juan Pgs 52-53'!I30+'Snohomish Pgs 60-61'!I30+'Spokane Pgs 62-63'!I30+'Tacoma-Pierce Pgs 64-65'!I30+'Thurston Pgs 66-67'!I30+'Wahkiakum Pgs 68-69'!I30+'Walla Walla Pgs 70-71'!I30+'Whatcom Pgs 72-73'!I30+'Whitman Pgs 74-75'!I30+'Yakima Pgs 76-77'!I30+'Seattle-King Pgs 54-55'!I30+'Skagit Pgs 56-57'!I30+'Skamania Pgs 58-59'!I30</f>
        <v>0</v>
      </c>
      <c r="J30" s="104">
        <f>'Adams Pgs 8-9'!J30+'Asotin Pgs 10-11'!J30+'Benton-Franklin Pgs 12-13'!J30+'Chelan-Douglas Pgs 14-15'!J30+'Clallam Pgs 16-17'!J30+'Clark Pgs 18-19'!J30+'Columbia Pgs 20-21'!J30+'Cowlitz Pgs 22-23'!J30+'Garfield Pgs 24-25'!J30+'Grant Pgs 26-27'!J30+'Grays Harbor Pgs 28-29'!J30+'Island Pgs 30-31'!J30+'Jefferson Pgs 32-33'!J30+'Kitsap Pgs 34-35'!J30+'Kittitas Pgs 36-37'!J30+'Klickitat Pgs 38-39'!J30+'Lewis Pgs 40-41'!J30+'Lincoln Pgs 42-43'!J30+'Mason Pgs 44-45'!J30+'Northeast Tri Pgs 46-47'!J30+'Okanogan Pgs 48-49'!J30+'Pacific Pgs 50-51'!J30+'San Juan Pgs 52-53'!J30+'Skagit Pgs 56-57'!J30+'Skamania Pgs 58-59'!J30+'Snohomish Pgs 60-61'!J30+'Spokane Pgs 62-63'!J30+'Tacoma-Pierce Pgs 64-65'!J30+'Thurston Pgs 66-67'!J30+'Wahkiakum Pgs 68-69'!J30+'Walla Walla Pgs 70-71'!J30+'Whatcom Pgs 72-73'!J30+'Whitman Pgs 74-75'!J30+'Yakima Pgs 76-77'!J30+'Seattle-King Pgs 54-55'!J30</f>
        <v>0</v>
      </c>
      <c r="K30" s="129">
        <f t="shared" si="0"/>
        <v>699487</v>
      </c>
      <c r="L30"/>
    </row>
    <row r="31" spans="1:12" x14ac:dyDescent="0.35">
      <c r="A31" s="79">
        <v>562.58000000000004</v>
      </c>
      <c r="B31" s="28" t="s">
        <v>48</v>
      </c>
      <c r="C31" s="103">
        <f>'Adams Pgs 8-9'!C31+'Asotin Pgs 10-11'!C31+'Benton-Franklin Pgs 12-13'!C31+'Chelan-Douglas Pgs 14-15'!C31+'Clallam Pgs 16-17'!C31+'Clark Pgs 18-19'!C31+'Columbia Pgs 20-21'!C31+'Cowlitz Pgs 22-23'!C31+'Garfield Pgs 24-25'!C31+'Grant Pgs 26-27'!C31+'Grays Harbor Pgs 28-29'!C31+'Island Pgs 30-31'!C31+'Jefferson Pgs 32-33'!C31+'Kitsap Pgs 34-35'!C31+'Kittitas Pgs 36-37'!C31+'Klickitat Pgs 38-39'!C31+'Lewis Pgs 40-41'!C31+'Lincoln Pgs 42-43'!C31+'Mason Pgs 44-45'!C31+'Northeast Tri Pgs 46-47'!C31+'Okanogan Pgs 48-49'!C31+'Pacific Pgs 50-51'!C31+'San Juan Pgs 52-53'!C31+'Skagit Pgs 56-57'!C31+'Skamania Pgs 58-59'!C31+'Snohomish Pgs 60-61'!C31+'Spokane Pgs 62-63'!C31+'Tacoma-Pierce Pgs 64-65'!C31+'Thurston Pgs 66-67'!C31+'Wahkiakum Pgs 68-69'!C31+'Walla Walla Pgs 70-71'!C31+'Whatcom Pgs 72-73'!C31+'Whitman Pgs 74-75'!C31+'Yakima Pgs 76-77'!C31+'Seattle-King Pgs 54-55'!C31</f>
        <v>365838</v>
      </c>
      <c r="D31" s="102">
        <f>'Adams Pgs 8-9'!D31+'Asotin Pgs 10-11'!D31+'Benton-Franklin Pgs 12-13'!D31+'Chelan-Douglas Pgs 14-15'!D31+'Clallam Pgs 16-17'!D31+'Clark Pgs 18-19'!D31+'Columbia Pgs 20-21'!D31+'Cowlitz Pgs 22-23'!D31+'Garfield Pgs 24-25'!D31+'Grant Pgs 26-27'!D31+'Grays Harbor Pgs 28-29'!D31+'Island Pgs 30-31'!D31+'Jefferson Pgs 32-33'!D31+'Kitsap Pgs 34-35'!D31+'Kittitas Pgs 36-37'!D31+'Klickitat Pgs 38-39'!D31+'Lewis Pgs 40-41'!D31+'Lincoln Pgs 42-43'!D31+'Mason Pgs 44-45'!D31+'Northeast Tri Pgs 46-47'!D31+'Okanogan Pgs 48-49'!D31+'Pacific Pgs 50-51'!D31+'San Juan Pgs 52-53'!D31+'Skagit Pgs 56-57'!D31+'Skamania Pgs 58-59'!D31+'Snohomish Pgs 60-61'!D31+'Spokane Pgs 62-63'!D31+'Tacoma-Pierce Pgs 64-65'!D31+'Thurston Pgs 66-67'!D31+'Wahkiakum Pgs 68-69'!D31+'Walla Walla Pgs 70-71'!D31+'Whatcom Pgs 72-73'!D31+'Whitman Pgs 74-75'!D31+'Yakima Pgs 76-77'!D31+'Seattle-King Pgs 54-55'!D31</f>
        <v>3041833</v>
      </c>
      <c r="E31" s="100">
        <f>'Adams Pgs 8-9'!E31+'Asotin Pgs 10-11'!E31+'Benton-Franklin Pgs 12-13'!E31+'Chelan-Douglas Pgs 14-15'!E31+'Clallam Pgs 16-17'!E31+'Clark Pgs 18-19'!E31+'Columbia Pgs 20-21'!E31+'Cowlitz Pgs 22-23'!E31+'Garfield Pgs 24-25'!E31+'Grant Pgs 26-27'!E31+'Grays Harbor Pgs 28-29'!E31+'Island Pgs 30-31'!E31+'Jefferson Pgs 32-33'!E31+'Kitsap Pgs 34-35'!E31+'Kittitas Pgs 36-37'!E31+'Klickitat Pgs 38-39'!E31+'Lewis Pgs 40-41'!E31+'Lincoln Pgs 42-43'!E31+'Mason Pgs 44-45'!E31+'Northeast Tri Pgs 46-47'!E31+'Okanogan Pgs 48-49'!E31+'Pacific Pgs 50-51'!E31+'San Juan Pgs 52-53'!E31+'Skagit Pgs 56-57'!E31+'Skamania Pgs 58-59'!E31+'Snohomish Pgs 60-61'!E31+'Spokane Pgs 62-63'!E31+'Tacoma-Pierce Pgs 64-65'!E31+'Thurston Pgs 66-67'!E31+'Wahkiakum Pgs 68-69'!E31+'Walla Walla Pgs 70-71'!E31+'Whatcom Pgs 72-73'!E31+'Whitman Pgs 74-75'!E31+'Yakima Pgs 76-77'!E31+'Seattle-King Pgs 54-55'!E31</f>
        <v>0</v>
      </c>
      <c r="F31" s="101">
        <f>'Adams Pgs 8-9'!F31+'Asotin Pgs 10-11'!F31+'Benton-Franklin Pgs 12-13'!F31+'Chelan-Douglas Pgs 14-15'!F31+'Clallam Pgs 16-17'!F31+'Clark Pgs 18-19'!F31+'Columbia Pgs 20-21'!F31+'Cowlitz Pgs 22-23'!F31+'Garfield Pgs 24-25'!F31+'Grant Pgs 26-27'!F31+'Grays Harbor Pgs 28-29'!F31+'Island Pgs 30-31'!F31+'Jefferson Pgs 32-33'!F31+'Kitsap Pgs 34-35'!F31+'Kittitas Pgs 36-37'!F31+'Klickitat Pgs 38-39'!F31+'Lewis Pgs 40-41'!F31+'Lincoln Pgs 42-43'!F31+'Mason Pgs 44-45'!F31+'Northeast Tri Pgs 46-47'!F31+'Okanogan Pgs 48-49'!F31+'Pacific Pgs 50-51'!F31+'San Juan Pgs 52-53'!F31+'Skagit Pgs 56-57'!F31+'Skamania Pgs 58-59'!F31+'Snohomish Pgs 60-61'!F31+'Spokane Pgs 62-63'!F31+'Tacoma-Pierce Pgs 64-65'!F31+'Thurston Pgs 66-67'!F31+'Wahkiakum Pgs 68-69'!F31+'Walla Walla Pgs 70-71'!F31+'Whatcom Pgs 72-73'!F31+'Whitman Pgs 74-75'!F31+'Yakima Pgs 76-77'!F31+'Seattle-King Pgs 54-55'!F31</f>
        <v>121922</v>
      </c>
      <c r="G31" s="102">
        <f>'Adams Pgs 8-9'!G31+'Asotin Pgs 10-11'!G31+'Benton-Franklin Pgs 12-13'!G31+'Chelan-Douglas Pgs 14-15'!G31+'Clallam Pgs 16-17'!G31+'Clark Pgs 18-19'!G31+'Columbia Pgs 20-21'!G31+'Cowlitz Pgs 22-23'!G31+'Garfield Pgs 24-25'!G31+'Grant Pgs 26-27'!G31+'Grays Harbor Pgs 28-29'!G31+'Island Pgs 30-31'!G31+'Jefferson Pgs 32-33'!G31+'Kitsap Pgs 34-35'!G31+'Kittitas Pgs 36-37'!G31+'Klickitat Pgs 38-39'!G31+'Lewis Pgs 40-41'!G31+'Lincoln Pgs 42-43'!G31+'Mason Pgs 44-45'!G31+'Northeast Tri Pgs 46-47'!G31+'Okanogan Pgs 48-49'!G31+'Pacific Pgs 50-51'!G31+'San Juan Pgs 52-53'!G31+'Skagit Pgs 56-57'!G31+'Skamania Pgs 58-59'!G31+'Snohomish Pgs 60-61'!G31+'Spokane Pgs 62-63'!G31+'Tacoma-Pierce Pgs 64-65'!G31+'Thurston Pgs 66-67'!G31+'Wahkiakum Pgs 68-69'!G31+'Walla Walla Pgs 70-71'!G31+'Whatcom Pgs 72-73'!G31+'Whitman Pgs 74-75'!G31+'Yakima Pgs 76-77'!G31+'Seattle-King Pgs 54-55'!G31</f>
        <v>22390</v>
      </c>
      <c r="H31" s="100">
        <f>'Adams Pgs 8-9'!H31+'Asotin Pgs 10-11'!H31+'Benton-Franklin Pgs 12-13'!H31+'Chelan-Douglas Pgs 14-15'!H31+'Clallam Pgs 16-17'!H31+'Clark Pgs 18-19'!H31+'Columbia Pgs 20-21'!H31+'Cowlitz Pgs 22-23'!H31+'Garfield Pgs 24-25'!H31+'Grant Pgs 26-27'!H31+'Grays Harbor Pgs 28-29'!H31+'Island Pgs 30-31'!H31+'Jefferson Pgs 32-33'!H31+'Kitsap Pgs 34-35'!H31+'Kittitas Pgs 36-37'!H31+'Klickitat Pgs 38-39'!H31+'Lewis Pgs 40-41'!H31+'Lincoln Pgs 42-43'!H31+'Mason Pgs 44-45'!H31+'Northeast Tri Pgs 46-47'!H31+'Okanogan Pgs 48-49'!H31+'Pacific Pgs 50-51'!H31+'San Juan Pgs 52-53'!H31+'Skagit Pgs 56-57'!H31+'Skamania Pgs 58-59'!H31+'Snohomish Pgs 60-61'!H31+'Spokane Pgs 62-63'!H31+'Tacoma-Pierce Pgs 64-65'!H31+'Thurston Pgs 66-67'!H31+'Wahkiakum Pgs 68-69'!H31+'Walla Walla Pgs 70-71'!H31+'Whatcom Pgs 72-73'!H31+'Whitman Pgs 74-75'!H31+'Yakima Pgs 76-77'!H31+'Seattle-King Pgs 54-55'!H31</f>
        <v>0</v>
      </c>
      <c r="I31" s="102">
        <f>'Adams Pgs 8-9'!I31+'Asotin Pgs 10-11'!I31+'Benton-Franklin Pgs 12-13'!I31+'Chelan-Douglas Pgs 14-15'!I31+'Clallam Pgs 16-17'!I31+'Clark Pgs 18-19'!I31+'Columbia Pgs 20-21'!I31+'Cowlitz Pgs 22-23'!I31+'Garfield Pgs 24-25'!I31+'Grant Pgs 26-27'!I31+'Grays Harbor Pgs 28-29'!I31+'Island Pgs 30-31'!I31+'Jefferson Pgs 32-33'!I31+'Kitsap Pgs 34-35'!I31+'Kittitas Pgs 36-37'!I31+'Klickitat Pgs 38-39'!I31+'Lewis Pgs 40-41'!I31+'Lincoln Pgs 42-43'!I31+'Mason Pgs 44-45'!I31+'Northeast Tri Pgs 46-47'!I31+'Okanogan Pgs 48-49'!I31+'Pacific Pgs 50-51'!I31+'San Juan Pgs 52-53'!I31+'Snohomish Pgs 60-61'!I31+'Spokane Pgs 62-63'!I31+'Tacoma-Pierce Pgs 64-65'!I31+'Thurston Pgs 66-67'!I31+'Wahkiakum Pgs 68-69'!I31+'Walla Walla Pgs 70-71'!I31+'Whatcom Pgs 72-73'!I31+'Whitman Pgs 74-75'!I31+'Yakima Pgs 76-77'!I31+'Seattle-King Pgs 54-55'!I31+'Skagit Pgs 56-57'!I31+'Skamania Pgs 58-59'!I31</f>
        <v>0</v>
      </c>
      <c r="J31" s="104">
        <f>'Adams Pgs 8-9'!J31+'Asotin Pgs 10-11'!J31+'Benton-Franklin Pgs 12-13'!J31+'Chelan-Douglas Pgs 14-15'!J31+'Clallam Pgs 16-17'!J31+'Clark Pgs 18-19'!J31+'Columbia Pgs 20-21'!J31+'Cowlitz Pgs 22-23'!J31+'Garfield Pgs 24-25'!J31+'Grant Pgs 26-27'!J31+'Grays Harbor Pgs 28-29'!J31+'Island Pgs 30-31'!J31+'Jefferson Pgs 32-33'!J31+'Kitsap Pgs 34-35'!J31+'Kittitas Pgs 36-37'!J31+'Klickitat Pgs 38-39'!J31+'Lewis Pgs 40-41'!J31+'Lincoln Pgs 42-43'!J31+'Mason Pgs 44-45'!J31+'Northeast Tri Pgs 46-47'!J31+'Okanogan Pgs 48-49'!J31+'Pacific Pgs 50-51'!J31+'San Juan Pgs 52-53'!J31+'Skagit Pgs 56-57'!J31+'Skamania Pgs 58-59'!J31+'Snohomish Pgs 60-61'!J31+'Spokane Pgs 62-63'!J31+'Tacoma-Pierce Pgs 64-65'!J31+'Thurston Pgs 66-67'!J31+'Wahkiakum Pgs 68-69'!J31+'Walla Walla Pgs 70-71'!J31+'Whatcom Pgs 72-73'!J31+'Whitman Pgs 74-75'!J31+'Yakima Pgs 76-77'!J31+'Seattle-King Pgs 54-55'!J31</f>
        <v>59504</v>
      </c>
      <c r="K31" s="129">
        <f t="shared" si="0"/>
        <v>3611487</v>
      </c>
      <c r="L31"/>
    </row>
    <row r="32" spans="1:12" x14ac:dyDescent="0.35">
      <c r="A32" s="79">
        <v>562.59</v>
      </c>
      <c r="B32" s="28" t="s">
        <v>49</v>
      </c>
      <c r="C32" s="103">
        <f>'Adams Pgs 8-9'!C32+'Asotin Pgs 10-11'!C32+'Benton-Franklin Pgs 12-13'!C32+'Chelan-Douglas Pgs 14-15'!C32+'Clallam Pgs 16-17'!C32+'Clark Pgs 18-19'!C32+'Columbia Pgs 20-21'!C32+'Cowlitz Pgs 22-23'!C32+'Garfield Pgs 24-25'!C32+'Grant Pgs 26-27'!C32+'Grays Harbor Pgs 28-29'!C32+'Island Pgs 30-31'!C32+'Jefferson Pgs 32-33'!C32+'Kitsap Pgs 34-35'!C32+'Kittitas Pgs 36-37'!C32+'Klickitat Pgs 38-39'!C32+'Lewis Pgs 40-41'!C32+'Lincoln Pgs 42-43'!C32+'Mason Pgs 44-45'!C32+'Northeast Tri Pgs 46-47'!C32+'Okanogan Pgs 48-49'!C32+'Pacific Pgs 50-51'!C32+'San Juan Pgs 52-53'!C32+'Skagit Pgs 56-57'!C32+'Skamania Pgs 58-59'!C32+'Snohomish Pgs 60-61'!C32+'Spokane Pgs 62-63'!C32+'Tacoma-Pierce Pgs 64-65'!C32+'Thurston Pgs 66-67'!C32+'Wahkiakum Pgs 68-69'!C32+'Walla Walla Pgs 70-71'!C32+'Whatcom Pgs 72-73'!C32+'Whitman Pgs 74-75'!C32+'Yakima Pgs 76-77'!C32+'Seattle-King Pgs 54-55'!C32</f>
        <v>418803</v>
      </c>
      <c r="D32" s="102">
        <f>'Adams Pgs 8-9'!D32+'Asotin Pgs 10-11'!D32+'Benton-Franklin Pgs 12-13'!D32+'Chelan-Douglas Pgs 14-15'!D32+'Clallam Pgs 16-17'!D32+'Clark Pgs 18-19'!D32+'Columbia Pgs 20-21'!D32+'Cowlitz Pgs 22-23'!D32+'Garfield Pgs 24-25'!D32+'Grant Pgs 26-27'!D32+'Grays Harbor Pgs 28-29'!D32+'Island Pgs 30-31'!D32+'Jefferson Pgs 32-33'!D32+'Kitsap Pgs 34-35'!D32+'Kittitas Pgs 36-37'!D32+'Klickitat Pgs 38-39'!D32+'Lewis Pgs 40-41'!D32+'Lincoln Pgs 42-43'!D32+'Mason Pgs 44-45'!D32+'Northeast Tri Pgs 46-47'!D32+'Okanogan Pgs 48-49'!D32+'Pacific Pgs 50-51'!D32+'San Juan Pgs 52-53'!D32+'Skagit Pgs 56-57'!D32+'Skamania Pgs 58-59'!D32+'Snohomish Pgs 60-61'!D32+'Spokane Pgs 62-63'!D32+'Tacoma-Pierce Pgs 64-65'!D32+'Thurston Pgs 66-67'!D32+'Wahkiakum Pgs 68-69'!D32+'Walla Walla Pgs 70-71'!D32+'Whatcom Pgs 72-73'!D32+'Whitman Pgs 74-75'!D32+'Yakima Pgs 76-77'!D32+'Seattle-King Pgs 54-55'!D32</f>
        <v>3292689</v>
      </c>
      <c r="E32" s="100">
        <f>'Adams Pgs 8-9'!E32+'Asotin Pgs 10-11'!E32+'Benton-Franklin Pgs 12-13'!E32+'Chelan-Douglas Pgs 14-15'!E32+'Clallam Pgs 16-17'!E32+'Clark Pgs 18-19'!E32+'Columbia Pgs 20-21'!E32+'Cowlitz Pgs 22-23'!E32+'Garfield Pgs 24-25'!E32+'Grant Pgs 26-27'!E32+'Grays Harbor Pgs 28-29'!E32+'Island Pgs 30-31'!E32+'Jefferson Pgs 32-33'!E32+'Kitsap Pgs 34-35'!E32+'Kittitas Pgs 36-37'!E32+'Klickitat Pgs 38-39'!E32+'Lewis Pgs 40-41'!E32+'Lincoln Pgs 42-43'!E32+'Mason Pgs 44-45'!E32+'Northeast Tri Pgs 46-47'!E32+'Okanogan Pgs 48-49'!E32+'Pacific Pgs 50-51'!E32+'San Juan Pgs 52-53'!E32+'Skagit Pgs 56-57'!E32+'Skamania Pgs 58-59'!E32+'Snohomish Pgs 60-61'!E32+'Spokane Pgs 62-63'!E32+'Tacoma-Pierce Pgs 64-65'!E32+'Thurston Pgs 66-67'!E32+'Wahkiakum Pgs 68-69'!E32+'Walla Walla Pgs 70-71'!E32+'Whatcom Pgs 72-73'!E32+'Whitman Pgs 74-75'!E32+'Yakima Pgs 76-77'!E32+'Seattle-King Pgs 54-55'!E32</f>
        <v>0</v>
      </c>
      <c r="F32" s="101">
        <f>'Adams Pgs 8-9'!F32+'Asotin Pgs 10-11'!F32+'Benton-Franklin Pgs 12-13'!F32+'Chelan-Douglas Pgs 14-15'!F32+'Clallam Pgs 16-17'!F32+'Clark Pgs 18-19'!F32+'Columbia Pgs 20-21'!F32+'Cowlitz Pgs 22-23'!F32+'Garfield Pgs 24-25'!F32+'Grant Pgs 26-27'!F32+'Grays Harbor Pgs 28-29'!F32+'Island Pgs 30-31'!F32+'Jefferson Pgs 32-33'!F32+'Kitsap Pgs 34-35'!F32+'Kittitas Pgs 36-37'!F32+'Klickitat Pgs 38-39'!F32+'Lewis Pgs 40-41'!F32+'Lincoln Pgs 42-43'!F32+'Mason Pgs 44-45'!F32+'Northeast Tri Pgs 46-47'!F32+'Okanogan Pgs 48-49'!F32+'Pacific Pgs 50-51'!F32+'San Juan Pgs 52-53'!F32+'Skagit Pgs 56-57'!F32+'Skamania Pgs 58-59'!F32+'Snohomish Pgs 60-61'!F32+'Spokane Pgs 62-63'!F32+'Tacoma-Pierce Pgs 64-65'!F32+'Thurston Pgs 66-67'!F32+'Wahkiakum Pgs 68-69'!F32+'Walla Walla Pgs 70-71'!F32+'Whatcom Pgs 72-73'!F32+'Whitman Pgs 74-75'!F32+'Yakima Pgs 76-77'!F32+'Seattle-King Pgs 54-55'!F32</f>
        <v>604394</v>
      </c>
      <c r="G32" s="102">
        <f>'Adams Pgs 8-9'!G32+'Asotin Pgs 10-11'!G32+'Benton-Franklin Pgs 12-13'!G32+'Chelan-Douglas Pgs 14-15'!G32+'Clallam Pgs 16-17'!G32+'Clark Pgs 18-19'!G32+'Columbia Pgs 20-21'!G32+'Cowlitz Pgs 22-23'!G32+'Garfield Pgs 24-25'!G32+'Grant Pgs 26-27'!G32+'Grays Harbor Pgs 28-29'!G32+'Island Pgs 30-31'!G32+'Jefferson Pgs 32-33'!G32+'Kitsap Pgs 34-35'!G32+'Kittitas Pgs 36-37'!G32+'Klickitat Pgs 38-39'!G32+'Lewis Pgs 40-41'!G32+'Lincoln Pgs 42-43'!G32+'Mason Pgs 44-45'!G32+'Northeast Tri Pgs 46-47'!G32+'Okanogan Pgs 48-49'!G32+'Pacific Pgs 50-51'!G32+'San Juan Pgs 52-53'!G32+'Skagit Pgs 56-57'!G32+'Skamania Pgs 58-59'!G32+'Snohomish Pgs 60-61'!G32+'Spokane Pgs 62-63'!G32+'Tacoma-Pierce Pgs 64-65'!G32+'Thurston Pgs 66-67'!G32+'Wahkiakum Pgs 68-69'!G32+'Walla Walla Pgs 70-71'!G32+'Whatcom Pgs 72-73'!G32+'Whitman Pgs 74-75'!G32+'Yakima Pgs 76-77'!G32+'Seattle-King Pgs 54-55'!G32</f>
        <v>0</v>
      </c>
      <c r="H32" s="100">
        <f>'Adams Pgs 8-9'!H32+'Asotin Pgs 10-11'!H32+'Benton-Franklin Pgs 12-13'!H32+'Chelan-Douglas Pgs 14-15'!H32+'Clallam Pgs 16-17'!H32+'Clark Pgs 18-19'!H32+'Columbia Pgs 20-21'!H32+'Cowlitz Pgs 22-23'!H32+'Garfield Pgs 24-25'!H32+'Grant Pgs 26-27'!H32+'Grays Harbor Pgs 28-29'!H32+'Island Pgs 30-31'!H32+'Jefferson Pgs 32-33'!H32+'Kitsap Pgs 34-35'!H32+'Kittitas Pgs 36-37'!H32+'Klickitat Pgs 38-39'!H32+'Lewis Pgs 40-41'!H32+'Lincoln Pgs 42-43'!H32+'Mason Pgs 44-45'!H32+'Northeast Tri Pgs 46-47'!H32+'Okanogan Pgs 48-49'!H32+'Pacific Pgs 50-51'!H32+'San Juan Pgs 52-53'!H32+'Skagit Pgs 56-57'!H32+'Skamania Pgs 58-59'!H32+'Snohomish Pgs 60-61'!H32+'Spokane Pgs 62-63'!H32+'Tacoma-Pierce Pgs 64-65'!H32+'Thurston Pgs 66-67'!H32+'Wahkiakum Pgs 68-69'!H32+'Walla Walla Pgs 70-71'!H32+'Whatcom Pgs 72-73'!H32+'Whitman Pgs 74-75'!H32+'Yakima Pgs 76-77'!H32+'Seattle-King Pgs 54-55'!H32</f>
        <v>5863</v>
      </c>
      <c r="I32" s="102">
        <f>'Adams Pgs 8-9'!I32+'Asotin Pgs 10-11'!I32+'Benton-Franklin Pgs 12-13'!I32+'Chelan-Douglas Pgs 14-15'!I32+'Clallam Pgs 16-17'!I32+'Clark Pgs 18-19'!I32+'Columbia Pgs 20-21'!I32+'Cowlitz Pgs 22-23'!I32+'Garfield Pgs 24-25'!I32+'Grant Pgs 26-27'!I32+'Grays Harbor Pgs 28-29'!I32+'Island Pgs 30-31'!I32+'Jefferson Pgs 32-33'!I32+'Kitsap Pgs 34-35'!I32+'Kittitas Pgs 36-37'!I32+'Klickitat Pgs 38-39'!I32+'Lewis Pgs 40-41'!I32+'Lincoln Pgs 42-43'!I32+'Mason Pgs 44-45'!I32+'Northeast Tri Pgs 46-47'!I32+'Okanogan Pgs 48-49'!I32+'Pacific Pgs 50-51'!I32+'San Juan Pgs 52-53'!I32+'Snohomish Pgs 60-61'!I32+'Spokane Pgs 62-63'!I32+'Tacoma-Pierce Pgs 64-65'!I32+'Thurston Pgs 66-67'!I32+'Wahkiakum Pgs 68-69'!I32+'Walla Walla Pgs 70-71'!I32+'Whatcom Pgs 72-73'!I32+'Whitman Pgs 74-75'!I32+'Yakima Pgs 76-77'!I32+'Seattle-King Pgs 54-55'!I32+'Skagit Pgs 56-57'!I32+'Skamania Pgs 58-59'!I32</f>
        <v>226743</v>
      </c>
      <c r="J32" s="104">
        <f>'Adams Pgs 8-9'!J32+'Asotin Pgs 10-11'!J32+'Benton-Franklin Pgs 12-13'!J32+'Chelan-Douglas Pgs 14-15'!J32+'Clallam Pgs 16-17'!J32+'Clark Pgs 18-19'!J32+'Columbia Pgs 20-21'!J32+'Cowlitz Pgs 22-23'!J32+'Garfield Pgs 24-25'!J32+'Grant Pgs 26-27'!J32+'Grays Harbor Pgs 28-29'!J32+'Island Pgs 30-31'!J32+'Jefferson Pgs 32-33'!J32+'Kitsap Pgs 34-35'!J32+'Kittitas Pgs 36-37'!J32+'Klickitat Pgs 38-39'!J32+'Lewis Pgs 40-41'!J32+'Lincoln Pgs 42-43'!J32+'Mason Pgs 44-45'!J32+'Northeast Tri Pgs 46-47'!J32+'Okanogan Pgs 48-49'!J32+'Pacific Pgs 50-51'!J32+'San Juan Pgs 52-53'!J32+'Skagit Pgs 56-57'!J32+'Skamania Pgs 58-59'!J32+'Snohomish Pgs 60-61'!J32+'Spokane Pgs 62-63'!J32+'Tacoma-Pierce Pgs 64-65'!J32+'Thurston Pgs 66-67'!J32+'Wahkiakum Pgs 68-69'!J32+'Walla Walla Pgs 70-71'!J32+'Whatcom Pgs 72-73'!J32+'Whitman Pgs 74-75'!J32+'Yakima Pgs 76-77'!J32+'Seattle-King Pgs 54-55'!J32</f>
        <v>-198383</v>
      </c>
      <c r="K32" s="129">
        <f t="shared" si="0"/>
        <v>4350109</v>
      </c>
      <c r="L32"/>
    </row>
    <row r="33" spans="1:12" x14ac:dyDescent="0.35">
      <c r="A33" s="79">
        <v>562.6</v>
      </c>
      <c r="B33" s="16" t="s">
        <v>21</v>
      </c>
      <c r="C33" s="103">
        <f>'Adams Pgs 8-9'!C33+'Asotin Pgs 10-11'!C33+'Benton-Franklin Pgs 12-13'!C33+'Chelan-Douglas Pgs 14-15'!C33+'Clallam Pgs 16-17'!C33+'Clark Pgs 18-19'!C33+'Columbia Pgs 20-21'!C33+'Cowlitz Pgs 22-23'!C33+'Garfield Pgs 24-25'!C33+'Grant Pgs 26-27'!C33+'Grays Harbor Pgs 28-29'!C33+'Island Pgs 30-31'!C33+'Jefferson Pgs 32-33'!C33+'Kitsap Pgs 34-35'!C33+'Kittitas Pgs 36-37'!C33+'Klickitat Pgs 38-39'!C33+'Lewis Pgs 40-41'!C33+'Lincoln Pgs 42-43'!C33+'Mason Pgs 44-45'!C33+'Northeast Tri Pgs 46-47'!C33+'Okanogan Pgs 48-49'!C33+'Pacific Pgs 50-51'!C33+'San Juan Pgs 52-53'!C33+'Skagit Pgs 56-57'!C33+'Skamania Pgs 58-59'!C33+'Snohomish Pgs 60-61'!C33+'Spokane Pgs 62-63'!C33+'Tacoma-Pierce Pgs 64-65'!C33+'Thurston Pgs 66-67'!C33+'Wahkiakum Pgs 68-69'!C33+'Walla Walla Pgs 70-71'!C33+'Whatcom Pgs 72-73'!C33+'Whitman Pgs 74-75'!C33+'Yakima Pgs 76-77'!C33+'Seattle-King Pgs 54-55'!C33</f>
        <v>1997642</v>
      </c>
      <c r="D33" s="102">
        <f>'Adams Pgs 8-9'!D33+'Asotin Pgs 10-11'!D33+'Benton-Franklin Pgs 12-13'!D33+'Chelan-Douglas Pgs 14-15'!D33+'Clallam Pgs 16-17'!D33+'Clark Pgs 18-19'!D33+'Columbia Pgs 20-21'!D33+'Cowlitz Pgs 22-23'!D33+'Garfield Pgs 24-25'!D33+'Grant Pgs 26-27'!D33+'Grays Harbor Pgs 28-29'!D33+'Island Pgs 30-31'!D33+'Jefferson Pgs 32-33'!D33+'Kitsap Pgs 34-35'!D33+'Kittitas Pgs 36-37'!D33+'Klickitat Pgs 38-39'!D33+'Lewis Pgs 40-41'!D33+'Lincoln Pgs 42-43'!D33+'Mason Pgs 44-45'!D33+'Northeast Tri Pgs 46-47'!D33+'Okanogan Pgs 48-49'!D33+'Pacific Pgs 50-51'!D33+'San Juan Pgs 52-53'!D33+'Skagit Pgs 56-57'!D33+'Skamania Pgs 58-59'!D33+'Snohomish Pgs 60-61'!D33+'Spokane Pgs 62-63'!D33+'Tacoma-Pierce Pgs 64-65'!D33+'Thurston Pgs 66-67'!D33+'Wahkiakum Pgs 68-69'!D33+'Walla Walla Pgs 70-71'!D33+'Whatcom Pgs 72-73'!D33+'Whitman Pgs 74-75'!D33+'Yakima Pgs 76-77'!D33+'Seattle-King Pgs 54-55'!D33</f>
        <v>617050</v>
      </c>
      <c r="E33" s="100">
        <f>'Adams Pgs 8-9'!E33+'Asotin Pgs 10-11'!E33+'Benton-Franklin Pgs 12-13'!E33+'Chelan-Douglas Pgs 14-15'!E33+'Clallam Pgs 16-17'!E33+'Clark Pgs 18-19'!E33+'Columbia Pgs 20-21'!E33+'Cowlitz Pgs 22-23'!E33+'Garfield Pgs 24-25'!E33+'Grant Pgs 26-27'!E33+'Grays Harbor Pgs 28-29'!E33+'Island Pgs 30-31'!E33+'Jefferson Pgs 32-33'!E33+'Kitsap Pgs 34-35'!E33+'Kittitas Pgs 36-37'!E33+'Klickitat Pgs 38-39'!E33+'Lewis Pgs 40-41'!E33+'Lincoln Pgs 42-43'!E33+'Mason Pgs 44-45'!E33+'Northeast Tri Pgs 46-47'!E33+'Okanogan Pgs 48-49'!E33+'Pacific Pgs 50-51'!E33+'San Juan Pgs 52-53'!E33+'Skagit Pgs 56-57'!E33+'Skamania Pgs 58-59'!E33+'Snohomish Pgs 60-61'!E33+'Spokane Pgs 62-63'!E33+'Tacoma-Pierce Pgs 64-65'!E33+'Thurston Pgs 66-67'!E33+'Wahkiakum Pgs 68-69'!E33+'Walla Walla Pgs 70-71'!E33+'Whatcom Pgs 72-73'!E33+'Whitman Pgs 74-75'!E33+'Yakima Pgs 76-77'!E33+'Seattle-King Pgs 54-55'!E33</f>
        <v>57864</v>
      </c>
      <c r="F33" s="101">
        <f>'Adams Pgs 8-9'!F33+'Asotin Pgs 10-11'!F33+'Benton-Franklin Pgs 12-13'!F33+'Chelan-Douglas Pgs 14-15'!F33+'Clallam Pgs 16-17'!F33+'Clark Pgs 18-19'!F33+'Columbia Pgs 20-21'!F33+'Cowlitz Pgs 22-23'!F33+'Garfield Pgs 24-25'!F33+'Grant Pgs 26-27'!F33+'Grays Harbor Pgs 28-29'!F33+'Island Pgs 30-31'!F33+'Jefferson Pgs 32-33'!F33+'Kitsap Pgs 34-35'!F33+'Kittitas Pgs 36-37'!F33+'Klickitat Pgs 38-39'!F33+'Lewis Pgs 40-41'!F33+'Lincoln Pgs 42-43'!F33+'Mason Pgs 44-45'!F33+'Northeast Tri Pgs 46-47'!F33+'Okanogan Pgs 48-49'!F33+'Pacific Pgs 50-51'!F33+'San Juan Pgs 52-53'!F33+'Skagit Pgs 56-57'!F33+'Skamania Pgs 58-59'!F33+'Snohomish Pgs 60-61'!F33+'Spokane Pgs 62-63'!F33+'Tacoma-Pierce Pgs 64-65'!F33+'Thurston Pgs 66-67'!F33+'Wahkiakum Pgs 68-69'!F33+'Walla Walla Pgs 70-71'!F33+'Whatcom Pgs 72-73'!F33+'Whitman Pgs 74-75'!F33+'Yakima Pgs 76-77'!F33+'Seattle-King Pgs 54-55'!F33</f>
        <v>111324</v>
      </c>
      <c r="G33" s="102">
        <f>'Adams Pgs 8-9'!G33+'Asotin Pgs 10-11'!G33+'Benton-Franklin Pgs 12-13'!G33+'Chelan-Douglas Pgs 14-15'!G33+'Clallam Pgs 16-17'!G33+'Clark Pgs 18-19'!G33+'Columbia Pgs 20-21'!G33+'Cowlitz Pgs 22-23'!G33+'Garfield Pgs 24-25'!G33+'Grant Pgs 26-27'!G33+'Grays Harbor Pgs 28-29'!G33+'Island Pgs 30-31'!G33+'Jefferson Pgs 32-33'!G33+'Kitsap Pgs 34-35'!G33+'Kittitas Pgs 36-37'!G33+'Klickitat Pgs 38-39'!G33+'Lewis Pgs 40-41'!G33+'Lincoln Pgs 42-43'!G33+'Mason Pgs 44-45'!G33+'Northeast Tri Pgs 46-47'!G33+'Okanogan Pgs 48-49'!G33+'Pacific Pgs 50-51'!G33+'San Juan Pgs 52-53'!G33+'Skagit Pgs 56-57'!G33+'Skamania Pgs 58-59'!G33+'Snohomish Pgs 60-61'!G33+'Spokane Pgs 62-63'!G33+'Tacoma-Pierce Pgs 64-65'!G33+'Thurston Pgs 66-67'!G33+'Wahkiakum Pgs 68-69'!G33+'Walla Walla Pgs 70-71'!G33+'Whatcom Pgs 72-73'!G33+'Whitman Pgs 74-75'!G33+'Yakima Pgs 76-77'!G33+'Seattle-King Pgs 54-55'!G33</f>
        <v>1515639</v>
      </c>
      <c r="H33" s="100">
        <f>'Adams Pgs 8-9'!H33+'Asotin Pgs 10-11'!H33+'Benton-Franklin Pgs 12-13'!H33+'Chelan-Douglas Pgs 14-15'!H33+'Clallam Pgs 16-17'!H33+'Clark Pgs 18-19'!H33+'Columbia Pgs 20-21'!H33+'Cowlitz Pgs 22-23'!H33+'Garfield Pgs 24-25'!H33+'Grant Pgs 26-27'!H33+'Grays Harbor Pgs 28-29'!H33+'Island Pgs 30-31'!H33+'Jefferson Pgs 32-33'!H33+'Kitsap Pgs 34-35'!H33+'Kittitas Pgs 36-37'!H33+'Klickitat Pgs 38-39'!H33+'Lewis Pgs 40-41'!H33+'Lincoln Pgs 42-43'!H33+'Mason Pgs 44-45'!H33+'Northeast Tri Pgs 46-47'!H33+'Okanogan Pgs 48-49'!H33+'Pacific Pgs 50-51'!H33+'San Juan Pgs 52-53'!H33+'Skagit Pgs 56-57'!H33+'Skamania Pgs 58-59'!H33+'Snohomish Pgs 60-61'!H33+'Spokane Pgs 62-63'!H33+'Tacoma-Pierce Pgs 64-65'!H33+'Thurston Pgs 66-67'!H33+'Wahkiakum Pgs 68-69'!H33+'Walla Walla Pgs 70-71'!H33+'Whatcom Pgs 72-73'!H33+'Whitman Pgs 74-75'!H33+'Yakima Pgs 76-77'!H33+'Seattle-King Pgs 54-55'!H33</f>
        <v>782091</v>
      </c>
      <c r="I33" s="102">
        <f>'Adams Pgs 8-9'!I33+'Asotin Pgs 10-11'!I33+'Benton-Franklin Pgs 12-13'!I33+'Chelan-Douglas Pgs 14-15'!I33+'Clallam Pgs 16-17'!I33+'Clark Pgs 18-19'!I33+'Columbia Pgs 20-21'!I33+'Cowlitz Pgs 22-23'!I33+'Garfield Pgs 24-25'!I33+'Grant Pgs 26-27'!I33+'Grays Harbor Pgs 28-29'!I33+'Island Pgs 30-31'!I33+'Jefferson Pgs 32-33'!I33+'Kitsap Pgs 34-35'!I33+'Kittitas Pgs 36-37'!I33+'Klickitat Pgs 38-39'!I33+'Lewis Pgs 40-41'!I33+'Lincoln Pgs 42-43'!I33+'Mason Pgs 44-45'!I33+'Northeast Tri Pgs 46-47'!I33+'Okanogan Pgs 48-49'!I33+'Pacific Pgs 50-51'!I33+'San Juan Pgs 52-53'!I33+'Snohomish Pgs 60-61'!I33+'Spokane Pgs 62-63'!I33+'Tacoma-Pierce Pgs 64-65'!I33+'Thurston Pgs 66-67'!I33+'Wahkiakum Pgs 68-69'!I33+'Walla Walla Pgs 70-71'!I33+'Whatcom Pgs 72-73'!I33+'Whitman Pgs 74-75'!I33+'Yakima Pgs 76-77'!I33+'Seattle-King Pgs 54-55'!I33+'Skagit Pgs 56-57'!I33+'Skamania Pgs 58-59'!I33</f>
        <v>1103744</v>
      </c>
      <c r="J33" s="104">
        <f>'Adams Pgs 8-9'!J33+'Asotin Pgs 10-11'!J33+'Benton-Franklin Pgs 12-13'!J33+'Chelan-Douglas Pgs 14-15'!J33+'Clallam Pgs 16-17'!J33+'Clark Pgs 18-19'!J33+'Columbia Pgs 20-21'!J33+'Cowlitz Pgs 22-23'!J33+'Garfield Pgs 24-25'!J33+'Grant Pgs 26-27'!J33+'Grays Harbor Pgs 28-29'!J33+'Island Pgs 30-31'!J33+'Jefferson Pgs 32-33'!J33+'Kitsap Pgs 34-35'!J33+'Kittitas Pgs 36-37'!J33+'Klickitat Pgs 38-39'!J33+'Lewis Pgs 40-41'!J33+'Lincoln Pgs 42-43'!J33+'Mason Pgs 44-45'!J33+'Northeast Tri Pgs 46-47'!J33+'Okanogan Pgs 48-49'!J33+'Pacific Pgs 50-51'!J33+'San Juan Pgs 52-53'!J33+'Skagit Pgs 56-57'!J33+'Skamania Pgs 58-59'!J33+'Snohomish Pgs 60-61'!J33+'Spokane Pgs 62-63'!J33+'Tacoma-Pierce Pgs 64-65'!J33+'Thurston Pgs 66-67'!J33+'Wahkiakum Pgs 68-69'!J33+'Walla Walla Pgs 70-71'!J33+'Whatcom Pgs 72-73'!J33+'Whitman Pgs 74-75'!J33+'Yakima Pgs 76-77'!J33+'Seattle-King Pgs 54-55'!J33</f>
        <v>66864</v>
      </c>
      <c r="K33" s="129">
        <f t="shared" si="0"/>
        <v>6252218</v>
      </c>
      <c r="L33"/>
    </row>
    <row r="34" spans="1:12" x14ac:dyDescent="0.35">
      <c r="A34" s="79">
        <v>562.71</v>
      </c>
      <c r="B34" s="16" t="s">
        <v>22</v>
      </c>
      <c r="C34" s="103">
        <f>'Adams Pgs 8-9'!C34+'Asotin Pgs 10-11'!C34+'Benton-Franklin Pgs 12-13'!C34+'Chelan-Douglas Pgs 14-15'!C34+'Clallam Pgs 16-17'!C34+'Clark Pgs 18-19'!C34+'Columbia Pgs 20-21'!C34+'Cowlitz Pgs 22-23'!C34+'Garfield Pgs 24-25'!C34+'Grant Pgs 26-27'!C34+'Grays Harbor Pgs 28-29'!C34+'Island Pgs 30-31'!C34+'Jefferson Pgs 32-33'!C34+'Kitsap Pgs 34-35'!C34+'Kittitas Pgs 36-37'!C34+'Klickitat Pgs 38-39'!C34+'Lewis Pgs 40-41'!C34+'Lincoln Pgs 42-43'!C34+'Mason Pgs 44-45'!C34+'Northeast Tri Pgs 46-47'!C34+'Okanogan Pgs 48-49'!C34+'Pacific Pgs 50-51'!C34+'San Juan Pgs 52-53'!C34+'Skagit Pgs 56-57'!C34+'Skamania Pgs 58-59'!C34+'Snohomish Pgs 60-61'!C34+'Spokane Pgs 62-63'!C34+'Tacoma-Pierce Pgs 64-65'!C34+'Thurston Pgs 66-67'!C34+'Wahkiakum Pgs 68-69'!C34+'Walla Walla Pgs 70-71'!C34+'Whatcom Pgs 72-73'!C34+'Whitman Pgs 74-75'!C34+'Yakima Pgs 76-77'!C34+'Seattle-King Pgs 54-55'!C34</f>
        <v>165705</v>
      </c>
      <c r="D34" s="102">
        <f>'Adams Pgs 8-9'!D34+'Asotin Pgs 10-11'!D34+'Benton-Franklin Pgs 12-13'!D34+'Chelan-Douglas Pgs 14-15'!D34+'Clallam Pgs 16-17'!D34+'Clark Pgs 18-19'!D34+'Columbia Pgs 20-21'!D34+'Cowlitz Pgs 22-23'!D34+'Garfield Pgs 24-25'!D34+'Grant Pgs 26-27'!D34+'Grays Harbor Pgs 28-29'!D34+'Island Pgs 30-31'!D34+'Jefferson Pgs 32-33'!D34+'Kitsap Pgs 34-35'!D34+'Kittitas Pgs 36-37'!D34+'Klickitat Pgs 38-39'!D34+'Lewis Pgs 40-41'!D34+'Lincoln Pgs 42-43'!D34+'Mason Pgs 44-45'!D34+'Northeast Tri Pgs 46-47'!D34+'Okanogan Pgs 48-49'!D34+'Pacific Pgs 50-51'!D34+'San Juan Pgs 52-53'!D34+'Skagit Pgs 56-57'!D34+'Skamania Pgs 58-59'!D34+'Snohomish Pgs 60-61'!D34+'Spokane Pgs 62-63'!D34+'Tacoma-Pierce Pgs 64-65'!D34+'Thurston Pgs 66-67'!D34+'Wahkiakum Pgs 68-69'!D34+'Walla Walla Pgs 70-71'!D34+'Whatcom Pgs 72-73'!D34+'Whitman Pgs 74-75'!D34+'Yakima Pgs 76-77'!D34+'Seattle-King Pgs 54-55'!D34</f>
        <v>3673670</v>
      </c>
      <c r="E34" s="100">
        <f>'Adams Pgs 8-9'!E34+'Asotin Pgs 10-11'!E34+'Benton-Franklin Pgs 12-13'!E34+'Chelan-Douglas Pgs 14-15'!E34+'Clallam Pgs 16-17'!E34+'Clark Pgs 18-19'!E34+'Columbia Pgs 20-21'!E34+'Cowlitz Pgs 22-23'!E34+'Garfield Pgs 24-25'!E34+'Grant Pgs 26-27'!E34+'Grays Harbor Pgs 28-29'!E34+'Island Pgs 30-31'!E34+'Jefferson Pgs 32-33'!E34+'Kitsap Pgs 34-35'!E34+'Kittitas Pgs 36-37'!E34+'Klickitat Pgs 38-39'!E34+'Lewis Pgs 40-41'!E34+'Lincoln Pgs 42-43'!E34+'Mason Pgs 44-45'!E34+'Northeast Tri Pgs 46-47'!E34+'Okanogan Pgs 48-49'!E34+'Pacific Pgs 50-51'!E34+'San Juan Pgs 52-53'!E34+'Skagit Pgs 56-57'!E34+'Skamania Pgs 58-59'!E34+'Snohomish Pgs 60-61'!E34+'Spokane Pgs 62-63'!E34+'Tacoma-Pierce Pgs 64-65'!E34+'Thurston Pgs 66-67'!E34+'Wahkiakum Pgs 68-69'!E34+'Walla Walla Pgs 70-71'!E34+'Whatcom Pgs 72-73'!E34+'Whitman Pgs 74-75'!E34+'Yakima Pgs 76-77'!E34+'Seattle-King Pgs 54-55'!E34</f>
        <v>0</v>
      </c>
      <c r="F34" s="101">
        <f>'Adams Pgs 8-9'!F34+'Asotin Pgs 10-11'!F34+'Benton-Franklin Pgs 12-13'!F34+'Chelan-Douglas Pgs 14-15'!F34+'Clallam Pgs 16-17'!F34+'Clark Pgs 18-19'!F34+'Columbia Pgs 20-21'!F34+'Cowlitz Pgs 22-23'!F34+'Garfield Pgs 24-25'!F34+'Grant Pgs 26-27'!F34+'Grays Harbor Pgs 28-29'!F34+'Island Pgs 30-31'!F34+'Jefferson Pgs 32-33'!F34+'Kitsap Pgs 34-35'!F34+'Kittitas Pgs 36-37'!F34+'Klickitat Pgs 38-39'!F34+'Lewis Pgs 40-41'!F34+'Lincoln Pgs 42-43'!F34+'Mason Pgs 44-45'!F34+'Northeast Tri Pgs 46-47'!F34+'Okanogan Pgs 48-49'!F34+'Pacific Pgs 50-51'!F34+'San Juan Pgs 52-53'!F34+'Skagit Pgs 56-57'!F34+'Skamania Pgs 58-59'!F34+'Snohomish Pgs 60-61'!F34+'Spokane Pgs 62-63'!F34+'Tacoma-Pierce Pgs 64-65'!F34+'Thurston Pgs 66-67'!F34+'Wahkiakum Pgs 68-69'!F34+'Walla Walla Pgs 70-71'!F34+'Whatcom Pgs 72-73'!F34+'Whitman Pgs 74-75'!F34+'Yakima Pgs 76-77'!F34+'Seattle-King Pgs 54-55'!F34</f>
        <v>39751</v>
      </c>
      <c r="G34" s="102">
        <f>'Adams Pgs 8-9'!G34+'Asotin Pgs 10-11'!G34+'Benton-Franklin Pgs 12-13'!G34+'Chelan-Douglas Pgs 14-15'!G34+'Clallam Pgs 16-17'!G34+'Clark Pgs 18-19'!G34+'Columbia Pgs 20-21'!G34+'Cowlitz Pgs 22-23'!G34+'Garfield Pgs 24-25'!G34+'Grant Pgs 26-27'!G34+'Grays Harbor Pgs 28-29'!G34+'Island Pgs 30-31'!G34+'Jefferson Pgs 32-33'!G34+'Kitsap Pgs 34-35'!G34+'Kittitas Pgs 36-37'!G34+'Klickitat Pgs 38-39'!G34+'Lewis Pgs 40-41'!G34+'Lincoln Pgs 42-43'!G34+'Mason Pgs 44-45'!G34+'Northeast Tri Pgs 46-47'!G34+'Okanogan Pgs 48-49'!G34+'Pacific Pgs 50-51'!G34+'San Juan Pgs 52-53'!G34+'Skagit Pgs 56-57'!G34+'Skamania Pgs 58-59'!G34+'Snohomish Pgs 60-61'!G34+'Spokane Pgs 62-63'!G34+'Tacoma-Pierce Pgs 64-65'!G34+'Thurston Pgs 66-67'!G34+'Wahkiakum Pgs 68-69'!G34+'Walla Walla Pgs 70-71'!G34+'Whatcom Pgs 72-73'!G34+'Whitman Pgs 74-75'!G34+'Yakima Pgs 76-77'!G34+'Seattle-King Pgs 54-55'!G34</f>
        <v>0</v>
      </c>
      <c r="H34" s="100">
        <f>'Adams Pgs 8-9'!H34+'Asotin Pgs 10-11'!H34+'Benton-Franklin Pgs 12-13'!H34+'Chelan-Douglas Pgs 14-15'!H34+'Clallam Pgs 16-17'!H34+'Clark Pgs 18-19'!H34+'Columbia Pgs 20-21'!H34+'Cowlitz Pgs 22-23'!H34+'Garfield Pgs 24-25'!H34+'Grant Pgs 26-27'!H34+'Grays Harbor Pgs 28-29'!H34+'Island Pgs 30-31'!H34+'Jefferson Pgs 32-33'!H34+'Kitsap Pgs 34-35'!H34+'Kittitas Pgs 36-37'!H34+'Klickitat Pgs 38-39'!H34+'Lewis Pgs 40-41'!H34+'Lincoln Pgs 42-43'!H34+'Mason Pgs 44-45'!H34+'Northeast Tri Pgs 46-47'!H34+'Okanogan Pgs 48-49'!H34+'Pacific Pgs 50-51'!H34+'San Juan Pgs 52-53'!H34+'Skagit Pgs 56-57'!H34+'Skamania Pgs 58-59'!H34+'Snohomish Pgs 60-61'!H34+'Spokane Pgs 62-63'!H34+'Tacoma-Pierce Pgs 64-65'!H34+'Thurston Pgs 66-67'!H34+'Wahkiakum Pgs 68-69'!H34+'Walla Walla Pgs 70-71'!H34+'Whatcom Pgs 72-73'!H34+'Whitman Pgs 74-75'!H34+'Yakima Pgs 76-77'!H34+'Seattle-King Pgs 54-55'!H34</f>
        <v>0</v>
      </c>
      <c r="I34" s="102">
        <f>'Adams Pgs 8-9'!I34+'Asotin Pgs 10-11'!I34+'Benton-Franklin Pgs 12-13'!I34+'Chelan-Douglas Pgs 14-15'!I34+'Clallam Pgs 16-17'!I34+'Clark Pgs 18-19'!I34+'Columbia Pgs 20-21'!I34+'Cowlitz Pgs 22-23'!I34+'Garfield Pgs 24-25'!I34+'Grant Pgs 26-27'!I34+'Grays Harbor Pgs 28-29'!I34+'Island Pgs 30-31'!I34+'Jefferson Pgs 32-33'!I34+'Kitsap Pgs 34-35'!I34+'Kittitas Pgs 36-37'!I34+'Klickitat Pgs 38-39'!I34+'Lewis Pgs 40-41'!I34+'Lincoln Pgs 42-43'!I34+'Mason Pgs 44-45'!I34+'Northeast Tri Pgs 46-47'!I34+'Okanogan Pgs 48-49'!I34+'Pacific Pgs 50-51'!I34+'San Juan Pgs 52-53'!I34+'Snohomish Pgs 60-61'!I34+'Spokane Pgs 62-63'!I34+'Tacoma-Pierce Pgs 64-65'!I34+'Thurston Pgs 66-67'!I34+'Wahkiakum Pgs 68-69'!I34+'Walla Walla Pgs 70-71'!I34+'Whatcom Pgs 72-73'!I34+'Whitman Pgs 74-75'!I34+'Yakima Pgs 76-77'!I34+'Seattle-King Pgs 54-55'!I34+'Skagit Pgs 56-57'!I34+'Skamania Pgs 58-59'!I34</f>
        <v>0</v>
      </c>
      <c r="J34" s="104">
        <f>'Adams Pgs 8-9'!J34+'Asotin Pgs 10-11'!J34+'Benton-Franklin Pgs 12-13'!J34+'Chelan-Douglas Pgs 14-15'!J34+'Clallam Pgs 16-17'!J34+'Clark Pgs 18-19'!J34+'Columbia Pgs 20-21'!J34+'Cowlitz Pgs 22-23'!J34+'Garfield Pgs 24-25'!J34+'Grant Pgs 26-27'!J34+'Grays Harbor Pgs 28-29'!J34+'Island Pgs 30-31'!J34+'Jefferson Pgs 32-33'!J34+'Kitsap Pgs 34-35'!J34+'Kittitas Pgs 36-37'!J34+'Klickitat Pgs 38-39'!J34+'Lewis Pgs 40-41'!J34+'Lincoln Pgs 42-43'!J34+'Mason Pgs 44-45'!J34+'Northeast Tri Pgs 46-47'!J34+'Okanogan Pgs 48-49'!J34+'Pacific Pgs 50-51'!J34+'San Juan Pgs 52-53'!J34+'Skagit Pgs 56-57'!J34+'Skamania Pgs 58-59'!J34+'Snohomish Pgs 60-61'!J34+'Spokane Pgs 62-63'!J34+'Tacoma-Pierce Pgs 64-65'!J34+'Thurston Pgs 66-67'!J34+'Wahkiakum Pgs 68-69'!J34+'Walla Walla Pgs 70-71'!J34+'Whatcom Pgs 72-73'!J34+'Whitman Pgs 74-75'!J34+'Yakima Pgs 76-77'!J34+'Seattle-King Pgs 54-55'!J34</f>
        <v>517681</v>
      </c>
      <c r="K34" s="129">
        <f t="shared" si="0"/>
        <v>4396807</v>
      </c>
      <c r="L34"/>
    </row>
    <row r="35" spans="1:12" x14ac:dyDescent="0.35">
      <c r="A35" s="79">
        <v>562.72</v>
      </c>
      <c r="B35" s="16" t="s">
        <v>23</v>
      </c>
      <c r="C35" s="103">
        <f>'Adams Pgs 8-9'!C35+'Asotin Pgs 10-11'!C35+'Benton-Franklin Pgs 12-13'!C35+'Chelan-Douglas Pgs 14-15'!C35+'Clallam Pgs 16-17'!C35+'Clark Pgs 18-19'!C35+'Columbia Pgs 20-21'!C35+'Cowlitz Pgs 22-23'!C35+'Garfield Pgs 24-25'!C35+'Grant Pgs 26-27'!C35+'Grays Harbor Pgs 28-29'!C35+'Island Pgs 30-31'!C35+'Jefferson Pgs 32-33'!C35+'Kitsap Pgs 34-35'!C35+'Kittitas Pgs 36-37'!C35+'Klickitat Pgs 38-39'!C35+'Lewis Pgs 40-41'!C35+'Lincoln Pgs 42-43'!C35+'Mason Pgs 44-45'!C35+'Northeast Tri Pgs 46-47'!C35+'Okanogan Pgs 48-49'!C35+'Pacific Pgs 50-51'!C35+'San Juan Pgs 52-53'!C35+'Skagit Pgs 56-57'!C35+'Skamania Pgs 58-59'!C35+'Snohomish Pgs 60-61'!C35+'Spokane Pgs 62-63'!C35+'Tacoma-Pierce Pgs 64-65'!C35+'Thurston Pgs 66-67'!C35+'Wahkiakum Pgs 68-69'!C35+'Walla Walla Pgs 70-71'!C35+'Whatcom Pgs 72-73'!C35+'Whitman Pgs 74-75'!C35+'Yakima Pgs 76-77'!C35+'Seattle-King Pgs 54-55'!C35</f>
        <v>8242</v>
      </c>
      <c r="D35" s="102">
        <f>'Adams Pgs 8-9'!D35+'Asotin Pgs 10-11'!D35+'Benton-Franklin Pgs 12-13'!D35+'Chelan-Douglas Pgs 14-15'!D35+'Clallam Pgs 16-17'!D35+'Clark Pgs 18-19'!D35+'Columbia Pgs 20-21'!D35+'Cowlitz Pgs 22-23'!D35+'Garfield Pgs 24-25'!D35+'Grant Pgs 26-27'!D35+'Grays Harbor Pgs 28-29'!D35+'Island Pgs 30-31'!D35+'Jefferson Pgs 32-33'!D35+'Kitsap Pgs 34-35'!D35+'Kittitas Pgs 36-37'!D35+'Klickitat Pgs 38-39'!D35+'Lewis Pgs 40-41'!D35+'Lincoln Pgs 42-43'!D35+'Mason Pgs 44-45'!D35+'Northeast Tri Pgs 46-47'!D35+'Okanogan Pgs 48-49'!D35+'Pacific Pgs 50-51'!D35+'San Juan Pgs 52-53'!D35+'Skagit Pgs 56-57'!D35+'Skamania Pgs 58-59'!D35+'Snohomish Pgs 60-61'!D35+'Spokane Pgs 62-63'!D35+'Tacoma-Pierce Pgs 64-65'!D35+'Thurston Pgs 66-67'!D35+'Wahkiakum Pgs 68-69'!D35+'Walla Walla Pgs 70-71'!D35+'Whatcom Pgs 72-73'!D35+'Whitman Pgs 74-75'!D35+'Yakima Pgs 76-77'!D35+'Seattle-King Pgs 54-55'!D35</f>
        <v>3115304</v>
      </c>
      <c r="E35" s="100">
        <f>'Adams Pgs 8-9'!E35+'Asotin Pgs 10-11'!E35+'Benton-Franklin Pgs 12-13'!E35+'Chelan-Douglas Pgs 14-15'!E35+'Clallam Pgs 16-17'!E35+'Clark Pgs 18-19'!E35+'Columbia Pgs 20-21'!E35+'Cowlitz Pgs 22-23'!E35+'Garfield Pgs 24-25'!E35+'Grant Pgs 26-27'!E35+'Grays Harbor Pgs 28-29'!E35+'Island Pgs 30-31'!E35+'Jefferson Pgs 32-33'!E35+'Kitsap Pgs 34-35'!E35+'Kittitas Pgs 36-37'!E35+'Klickitat Pgs 38-39'!E35+'Lewis Pgs 40-41'!E35+'Lincoln Pgs 42-43'!E35+'Mason Pgs 44-45'!E35+'Northeast Tri Pgs 46-47'!E35+'Okanogan Pgs 48-49'!E35+'Pacific Pgs 50-51'!E35+'San Juan Pgs 52-53'!E35+'Skagit Pgs 56-57'!E35+'Skamania Pgs 58-59'!E35+'Snohomish Pgs 60-61'!E35+'Spokane Pgs 62-63'!E35+'Tacoma-Pierce Pgs 64-65'!E35+'Thurston Pgs 66-67'!E35+'Wahkiakum Pgs 68-69'!E35+'Walla Walla Pgs 70-71'!E35+'Whatcom Pgs 72-73'!E35+'Whitman Pgs 74-75'!E35+'Yakima Pgs 76-77'!E35+'Seattle-King Pgs 54-55'!E35</f>
        <v>0</v>
      </c>
      <c r="F35" s="101">
        <f>'Adams Pgs 8-9'!F35+'Asotin Pgs 10-11'!F35+'Benton-Franklin Pgs 12-13'!F35+'Chelan-Douglas Pgs 14-15'!F35+'Clallam Pgs 16-17'!F35+'Clark Pgs 18-19'!F35+'Columbia Pgs 20-21'!F35+'Cowlitz Pgs 22-23'!F35+'Garfield Pgs 24-25'!F35+'Grant Pgs 26-27'!F35+'Grays Harbor Pgs 28-29'!F35+'Island Pgs 30-31'!F35+'Jefferson Pgs 32-33'!F35+'Kitsap Pgs 34-35'!F35+'Kittitas Pgs 36-37'!F35+'Klickitat Pgs 38-39'!F35+'Lewis Pgs 40-41'!F35+'Lincoln Pgs 42-43'!F35+'Mason Pgs 44-45'!F35+'Northeast Tri Pgs 46-47'!F35+'Okanogan Pgs 48-49'!F35+'Pacific Pgs 50-51'!F35+'San Juan Pgs 52-53'!F35+'Skagit Pgs 56-57'!F35+'Skamania Pgs 58-59'!F35+'Snohomish Pgs 60-61'!F35+'Spokane Pgs 62-63'!F35+'Tacoma-Pierce Pgs 64-65'!F35+'Thurston Pgs 66-67'!F35+'Wahkiakum Pgs 68-69'!F35+'Walla Walla Pgs 70-71'!F35+'Whatcom Pgs 72-73'!F35+'Whitman Pgs 74-75'!F35+'Yakima Pgs 76-77'!F35+'Seattle-King Pgs 54-55'!F35</f>
        <v>351182</v>
      </c>
      <c r="G35" s="102">
        <f>'Adams Pgs 8-9'!G35+'Asotin Pgs 10-11'!G35+'Benton-Franklin Pgs 12-13'!G35+'Chelan-Douglas Pgs 14-15'!G35+'Clallam Pgs 16-17'!G35+'Clark Pgs 18-19'!G35+'Columbia Pgs 20-21'!G35+'Cowlitz Pgs 22-23'!G35+'Garfield Pgs 24-25'!G35+'Grant Pgs 26-27'!G35+'Grays Harbor Pgs 28-29'!G35+'Island Pgs 30-31'!G35+'Jefferson Pgs 32-33'!G35+'Kitsap Pgs 34-35'!G35+'Kittitas Pgs 36-37'!G35+'Klickitat Pgs 38-39'!G35+'Lewis Pgs 40-41'!G35+'Lincoln Pgs 42-43'!G35+'Mason Pgs 44-45'!G35+'Northeast Tri Pgs 46-47'!G35+'Okanogan Pgs 48-49'!G35+'Pacific Pgs 50-51'!G35+'San Juan Pgs 52-53'!G35+'Skagit Pgs 56-57'!G35+'Skamania Pgs 58-59'!G35+'Snohomish Pgs 60-61'!G35+'Spokane Pgs 62-63'!G35+'Tacoma-Pierce Pgs 64-65'!G35+'Thurston Pgs 66-67'!G35+'Wahkiakum Pgs 68-69'!G35+'Walla Walla Pgs 70-71'!G35+'Whatcom Pgs 72-73'!G35+'Whitman Pgs 74-75'!G35+'Yakima Pgs 76-77'!G35+'Seattle-King Pgs 54-55'!G35</f>
        <v>0</v>
      </c>
      <c r="H35" s="100">
        <f>'Adams Pgs 8-9'!H35+'Asotin Pgs 10-11'!H35+'Benton-Franklin Pgs 12-13'!H35+'Chelan-Douglas Pgs 14-15'!H35+'Clallam Pgs 16-17'!H35+'Clark Pgs 18-19'!H35+'Columbia Pgs 20-21'!H35+'Cowlitz Pgs 22-23'!H35+'Garfield Pgs 24-25'!H35+'Grant Pgs 26-27'!H35+'Grays Harbor Pgs 28-29'!H35+'Island Pgs 30-31'!H35+'Jefferson Pgs 32-33'!H35+'Kitsap Pgs 34-35'!H35+'Kittitas Pgs 36-37'!H35+'Klickitat Pgs 38-39'!H35+'Lewis Pgs 40-41'!H35+'Lincoln Pgs 42-43'!H35+'Mason Pgs 44-45'!H35+'Northeast Tri Pgs 46-47'!H35+'Okanogan Pgs 48-49'!H35+'Pacific Pgs 50-51'!H35+'San Juan Pgs 52-53'!H35+'Skagit Pgs 56-57'!H35+'Skamania Pgs 58-59'!H35+'Snohomish Pgs 60-61'!H35+'Spokane Pgs 62-63'!H35+'Tacoma-Pierce Pgs 64-65'!H35+'Thurston Pgs 66-67'!H35+'Wahkiakum Pgs 68-69'!H35+'Walla Walla Pgs 70-71'!H35+'Whatcom Pgs 72-73'!H35+'Whitman Pgs 74-75'!H35+'Yakima Pgs 76-77'!H35+'Seattle-King Pgs 54-55'!H35</f>
        <v>0</v>
      </c>
      <c r="I35" s="102">
        <f>'Adams Pgs 8-9'!I35+'Asotin Pgs 10-11'!I35+'Benton-Franklin Pgs 12-13'!I35+'Chelan-Douglas Pgs 14-15'!I35+'Clallam Pgs 16-17'!I35+'Clark Pgs 18-19'!I35+'Columbia Pgs 20-21'!I35+'Cowlitz Pgs 22-23'!I35+'Garfield Pgs 24-25'!I35+'Grant Pgs 26-27'!I35+'Grays Harbor Pgs 28-29'!I35+'Island Pgs 30-31'!I35+'Jefferson Pgs 32-33'!I35+'Kitsap Pgs 34-35'!I35+'Kittitas Pgs 36-37'!I35+'Klickitat Pgs 38-39'!I35+'Lewis Pgs 40-41'!I35+'Lincoln Pgs 42-43'!I35+'Mason Pgs 44-45'!I35+'Northeast Tri Pgs 46-47'!I35+'Okanogan Pgs 48-49'!I35+'Pacific Pgs 50-51'!I35+'San Juan Pgs 52-53'!I35+'Snohomish Pgs 60-61'!I35+'Spokane Pgs 62-63'!I35+'Tacoma-Pierce Pgs 64-65'!I35+'Thurston Pgs 66-67'!I35+'Wahkiakum Pgs 68-69'!I35+'Walla Walla Pgs 70-71'!I35+'Whatcom Pgs 72-73'!I35+'Whitman Pgs 74-75'!I35+'Yakima Pgs 76-77'!I35+'Seattle-King Pgs 54-55'!I35+'Skagit Pgs 56-57'!I35+'Skamania Pgs 58-59'!I35</f>
        <v>0</v>
      </c>
      <c r="J35" s="104">
        <f>'Adams Pgs 8-9'!J35+'Asotin Pgs 10-11'!J35+'Benton-Franklin Pgs 12-13'!J35+'Chelan-Douglas Pgs 14-15'!J35+'Clallam Pgs 16-17'!J35+'Clark Pgs 18-19'!J35+'Columbia Pgs 20-21'!J35+'Cowlitz Pgs 22-23'!J35+'Garfield Pgs 24-25'!J35+'Grant Pgs 26-27'!J35+'Grays Harbor Pgs 28-29'!J35+'Island Pgs 30-31'!J35+'Jefferson Pgs 32-33'!J35+'Kitsap Pgs 34-35'!J35+'Kittitas Pgs 36-37'!J35+'Klickitat Pgs 38-39'!J35+'Lewis Pgs 40-41'!J35+'Lincoln Pgs 42-43'!J35+'Mason Pgs 44-45'!J35+'Northeast Tri Pgs 46-47'!J35+'Okanogan Pgs 48-49'!J35+'Pacific Pgs 50-51'!J35+'San Juan Pgs 52-53'!J35+'Skagit Pgs 56-57'!J35+'Skamania Pgs 58-59'!J35+'Snohomish Pgs 60-61'!J35+'Spokane Pgs 62-63'!J35+'Tacoma-Pierce Pgs 64-65'!J35+'Thurston Pgs 66-67'!J35+'Wahkiakum Pgs 68-69'!J35+'Walla Walla Pgs 70-71'!J35+'Whatcom Pgs 72-73'!J35+'Whitman Pgs 74-75'!J35+'Yakima Pgs 76-77'!J35+'Seattle-King Pgs 54-55'!J35</f>
        <v>1238</v>
      </c>
      <c r="K35" s="129">
        <f t="shared" si="0"/>
        <v>3475966</v>
      </c>
      <c r="L35"/>
    </row>
    <row r="36" spans="1:12" x14ac:dyDescent="0.35">
      <c r="A36" s="79">
        <v>562.73</v>
      </c>
      <c r="B36" s="16" t="s">
        <v>24</v>
      </c>
      <c r="C36" s="103">
        <f>'Adams Pgs 8-9'!C36+'Asotin Pgs 10-11'!C36+'Benton-Franklin Pgs 12-13'!C36+'Chelan-Douglas Pgs 14-15'!C36+'Clallam Pgs 16-17'!C36+'Clark Pgs 18-19'!C36+'Columbia Pgs 20-21'!C36+'Cowlitz Pgs 22-23'!C36+'Garfield Pgs 24-25'!C36+'Grant Pgs 26-27'!C36+'Grays Harbor Pgs 28-29'!C36+'Island Pgs 30-31'!C36+'Jefferson Pgs 32-33'!C36+'Kitsap Pgs 34-35'!C36+'Kittitas Pgs 36-37'!C36+'Klickitat Pgs 38-39'!C36+'Lewis Pgs 40-41'!C36+'Lincoln Pgs 42-43'!C36+'Mason Pgs 44-45'!C36+'Northeast Tri Pgs 46-47'!C36+'Okanogan Pgs 48-49'!C36+'Pacific Pgs 50-51'!C36+'San Juan Pgs 52-53'!C36+'Skagit Pgs 56-57'!C36+'Skamania Pgs 58-59'!C36+'Snohomish Pgs 60-61'!C36+'Spokane Pgs 62-63'!C36+'Tacoma-Pierce Pgs 64-65'!C36+'Thurston Pgs 66-67'!C36+'Wahkiakum Pgs 68-69'!C36+'Walla Walla Pgs 70-71'!C36+'Whatcom Pgs 72-73'!C36+'Whitman Pgs 74-75'!C36+'Yakima Pgs 76-77'!C36+'Seattle-King Pgs 54-55'!C36</f>
        <v>72770</v>
      </c>
      <c r="D36" s="102">
        <f>'Adams Pgs 8-9'!D36+'Asotin Pgs 10-11'!D36+'Benton-Franklin Pgs 12-13'!D36+'Chelan-Douglas Pgs 14-15'!D36+'Clallam Pgs 16-17'!D36+'Clark Pgs 18-19'!D36+'Columbia Pgs 20-21'!D36+'Cowlitz Pgs 22-23'!D36+'Garfield Pgs 24-25'!D36+'Grant Pgs 26-27'!D36+'Grays Harbor Pgs 28-29'!D36+'Island Pgs 30-31'!D36+'Jefferson Pgs 32-33'!D36+'Kitsap Pgs 34-35'!D36+'Kittitas Pgs 36-37'!D36+'Klickitat Pgs 38-39'!D36+'Lewis Pgs 40-41'!D36+'Lincoln Pgs 42-43'!D36+'Mason Pgs 44-45'!D36+'Northeast Tri Pgs 46-47'!D36+'Okanogan Pgs 48-49'!D36+'Pacific Pgs 50-51'!D36+'San Juan Pgs 52-53'!D36+'Skagit Pgs 56-57'!D36+'Skamania Pgs 58-59'!D36+'Snohomish Pgs 60-61'!D36+'Spokane Pgs 62-63'!D36+'Tacoma-Pierce Pgs 64-65'!D36+'Thurston Pgs 66-67'!D36+'Wahkiakum Pgs 68-69'!D36+'Walla Walla Pgs 70-71'!D36+'Whatcom Pgs 72-73'!D36+'Whitman Pgs 74-75'!D36+'Yakima Pgs 76-77'!D36+'Seattle-King Pgs 54-55'!D36</f>
        <v>0</v>
      </c>
      <c r="E36" s="100">
        <f>'Adams Pgs 8-9'!E36+'Asotin Pgs 10-11'!E36+'Benton-Franklin Pgs 12-13'!E36+'Chelan-Douglas Pgs 14-15'!E36+'Clallam Pgs 16-17'!E36+'Clark Pgs 18-19'!E36+'Columbia Pgs 20-21'!E36+'Cowlitz Pgs 22-23'!E36+'Garfield Pgs 24-25'!E36+'Grant Pgs 26-27'!E36+'Grays Harbor Pgs 28-29'!E36+'Island Pgs 30-31'!E36+'Jefferson Pgs 32-33'!E36+'Kitsap Pgs 34-35'!E36+'Kittitas Pgs 36-37'!E36+'Klickitat Pgs 38-39'!E36+'Lewis Pgs 40-41'!E36+'Lincoln Pgs 42-43'!E36+'Mason Pgs 44-45'!E36+'Northeast Tri Pgs 46-47'!E36+'Okanogan Pgs 48-49'!E36+'Pacific Pgs 50-51'!E36+'San Juan Pgs 52-53'!E36+'Skagit Pgs 56-57'!E36+'Skamania Pgs 58-59'!E36+'Snohomish Pgs 60-61'!E36+'Spokane Pgs 62-63'!E36+'Tacoma-Pierce Pgs 64-65'!E36+'Thurston Pgs 66-67'!E36+'Wahkiakum Pgs 68-69'!E36+'Walla Walla Pgs 70-71'!E36+'Whatcom Pgs 72-73'!E36+'Whitman Pgs 74-75'!E36+'Yakima Pgs 76-77'!E36+'Seattle-King Pgs 54-55'!E36</f>
        <v>371308</v>
      </c>
      <c r="F36" s="101">
        <f>'Adams Pgs 8-9'!F36+'Asotin Pgs 10-11'!F36+'Benton-Franklin Pgs 12-13'!F36+'Chelan-Douglas Pgs 14-15'!F36+'Clallam Pgs 16-17'!F36+'Clark Pgs 18-19'!F36+'Columbia Pgs 20-21'!F36+'Cowlitz Pgs 22-23'!F36+'Garfield Pgs 24-25'!F36+'Grant Pgs 26-27'!F36+'Grays Harbor Pgs 28-29'!F36+'Island Pgs 30-31'!F36+'Jefferson Pgs 32-33'!F36+'Kitsap Pgs 34-35'!F36+'Kittitas Pgs 36-37'!F36+'Klickitat Pgs 38-39'!F36+'Lewis Pgs 40-41'!F36+'Lincoln Pgs 42-43'!F36+'Mason Pgs 44-45'!F36+'Northeast Tri Pgs 46-47'!F36+'Okanogan Pgs 48-49'!F36+'Pacific Pgs 50-51'!F36+'San Juan Pgs 52-53'!F36+'Skagit Pgs 56-57'!F36+'Skamania Pgs 58-59'!F36+'Snohomish Pgs 60-61'!F36+'Spokane Pgs 62-63'!F36+'Tacoma-Pierce Pgs 64-65'!F36+'Thurston Pgs 66-67'!F36+'Wahkiakum Pgs 68-69'!F36+'Walla Walla Pgs 70-71'!F36+'Whatcom Pgs 72-73'!F36+'Whitman Pgs 74-75'!F36+'Yakima Pgs 76-77'!F36+'Seattle-King Pgs 54-55'!F36</f>
        <v>338431</v>
      </c>
      <c r="G36" s="102">
        <f>'Adams Pgs 8-9'!G36+'Asotin Pgs 10-11'!G36+'Benton-Franklin Pgs 12-13'!G36+'Chelan-Douglas Pgs 14-15'!G36+'Clallam Pgs 16-17'!G36+'Clark Pgs 18-19'!G36+'Columbia Pgs 20-21'!G36+'Cowlitz Pgs 22-23'!G36+'Garfield Pgs 24-25'!G36+'Grant Pgs 26-27'!G36+'Grays Harbor Pgs 28-29'!G36+'Island Pgs 30-31'!G36+'Jefferson Pgs 32-33'!G36+'Kitsap Pgs 34-35'!G36+'Kittitas Pgs 36-37'!G36+'Klickitat Pgs 38-39'!G36+'Lewis Pgs 40-41'!G36+'Lincoln Pgs 42-43'!G36+'Mason Pgs 44-45'!G36+'Northeast Tri Pgs 46-47'!G36+'Okanogan Pgs 48-49'!G36+'Pacific Pgs 50-51'!G36+'San Juan Pgs 52-53'!G36+'Skagit Pgs 56-57'!G36+'Skamania Pgs 58-59'!G36+'Snohomish Pgs 60-61'!G36+'Spokane Pgs 62-63'!G36+'Tacoma-Pierce Pgs 64-65'!G36+'Thurston Pgs 66-67'!G36+'Wahkiakum Pgs 68-69'!G36+'Walla Walla Pgs 70-71'!G36+'Whatcom Pgs 72-73'!G36+'Whitman Pgs 74-75'!G36+'Yakima Pgs 76-77'!G36+'Seattle-King Pgs 54-55'!G36</f>
        <v>0</v>
      </c>
      <c r="H36" s="100">
        <f>'Adams Pgs 8-9'!H36+'Asotin Pgs 10-11'!H36+'Benton-Franklin Pgs 12-13'!H36+'Chelan-Douglas Pgs 14-15'!H36+'Clallam Pgs 16-17'!H36+'Clark Pgs 18-19'!H36+'Columbia Pgs 20-21'!H36+'Cowlitz Pgs 22-23'!H36+'Garfield Pgs 24-25'!H36+'Grant Pgs 26-27'!H36+'Grays Harbor Pgs 28-29'!H36+'Island Pgs 30-31'!H36+'Jefferson Pgs 32-33'!H36+'Kitsap Pgs 34-35'!H36+'Kittitas Pgs 36-37'!H36+'Klickitat Pgs 38-39'!H36+'Lewis Pgs 40-41'!H36+'Lincoln Pgs 42-43'!H36+'Mason Pgs 44-45'!H36+'Northeast Tri Pgs 46-47'!H36+'Okanogan Pgs 48-49'!H36+'Pacific Pgs 50-51'!H36+'San Juan Pgs 52-53'!H36+'Skagit Pgs 56-57'!H36+'Skamania Pgs 58-59'!H36+'Snohomish Pgs 60-61'!H36+'Spokane Pgs 62-63'!H36+'Tacoma-Pierce Pgs 64-65'!H36+'Thurston Pgs 66-67'!H36+'Wahkiakum Pgs 68-69'!H36+'Walla Walla Pgs 70-71'!H36+'Whatcom Pgs 72-73'!H36+'Whitman Pgs 74-75'!H36+'Yakima Pgs 76-77'!H36+'Seattle-King Pgs 54-55'!H36</f>
        <v>925733</v>
      </c>
      <c r="I36" s="102">
        <f>'Adams Pgs 8-9'!I36+'Asotin Pgs 10-11'!I36+'Benton-Franklin Pgs 12-13'!I36+'Chelan-Douglas Pgs 14-15'!I36+'Clallam Pgs 16-17'!I36+'Clark Pgs 18-19'!I36+'Columbia Pgs 20-21'!I36+'Cowlitz Pgs 22-23'!I36+'Garfield Pgs 24-25'!I36+'Grant Pgs 26-27'!I36+'Grays Harbor Pgs 28-29'!I36+'Island Pgs 30-31'!I36+'Jefferson Pgs 32-33'!I36+'Kitsap Pgs 34-35'!I36+'Kittitas Pgs 36-37'!I36+'Klickitat Pgs 38-39'!I36+'Lewis Pgs 40-41'!I36+'Lincoln Pgs 42-43'!I36+'Mason Pgs 44-45'!I36+'Northeast Tri Pgs 46-47'!I36+'Okanogan Pgs 48-49'!I36+'Pacific Pgs 50-51'!I36+'San Juan Pgs 52-53'!I36+'Snohomish Pgs 60-61'!I36+'Spokane Pgs 62-63'!I36+'Tacoma-Pierce Pgs 64-65'!I36+'Thurston Pgs 66-67'!I36+'Wahkiakum Pgs 68-69'!I36+'Walla Walla Pgs 70-71'!I36+'Whatcom Pgs 72-73'!I36+'Whitman Pgs 74-75'!I36+'Yakima Pgs 76-77'!I36+'Seattle-King Pgs 54-55'!I36+'Skagit Pgs 56-57'!I36+'Skamania Pgs 58-59'!I36</f>
        <v>265454</v>
      </c>
      <c r="J36" s="104">
        <f>'Adams Pgs 8-9'!J36+'Asotin Pgs 10-11'!J36+'Benton-Franklin Pgs 12-13'!J36+'Chelan-Douglas Pgs 14-15'!J36+'Clallam Pgs 16-17'!J36+'Clark Pgs 18-19'!J36+'Columbia Pgs 20-21'!J36+'Cowlitz Pgs 22-23'!J36+'Garfield Pgs 24-25'!J36+'Grant Pgs 26-27'!J36+'Grays Harbor Pgs 28-29'!J36+'Island Pgs 30-31'!J36+'Jefferson Pgs 32-33'!J36+'Kitsap Pgs 34-35'!J36+'Kittitas Pgs 36-37'!J36+'Klickitat Pgs 38-39'!J36+'Lewis Pgs 40-41'!J36+'Lincoln Pgs 42-43'!J36+'Mason Pgs 44-45'!J36+'Northeast Tri Pgs 46-47'!J36+'Okanogan Pgs 48-49'!J36+'Pacific Pgs 50-51'!J36+'San Juan Pgs 52-53'!J36+'Skagit Pgs 56-57'!J36+'Skamania Pgs 58-59'!J36+'Snohomish Pgs 60-61'!J36+'Spokane Pgs 62-63'!J36+'Tacoma-Pierce Pgs 64-65'!J36+'Thurston Pgs 66-67'!J36+'Wahkiakum Pgs 68-69'!J36+'Walla Walla Pgs 70-71'!J36+'Whatcom Pgs 72-73'!J36+'Whitman Pgs 74-75'!J36+'Yakima Pgs 76-77'!J36+'Seattle-King Pgs 54-55'!J36</f>
        <v>54704</v>
      </c>
      <c r="K36" s="129">
        <f t="shared" si="0"/>
        <v>2028400</v>
      </c>
      <c r="L36"/>
    </row>
    <row r="37" spans="1:12" x14ac:dyDescent="0.35">
      <c r="A37" s="79">
        <v>562.74</v>
      </c>
      <c r="B37" s="28" t="s">
        <v>50</v>
      </c>
      <c r="C37" s="103">
        <f>'Adams Pgs 8-9'!C37+'Asotin Pgs 10-11'!C37+'Benton-Franklin Pgs 12-13'!C37+'Chelan-Douglas Pgs 14-15'!C37+'Clallam Pgs 16-17'!C37+'Clark Pgs 18-19'!C37+'Columbia Pgs 20-21'!C37+'Cowlitz Pgs 22-23'!C37+'Garfield Pgs 24-25'!C37+'Grant Pgs 26-27'!C37+'Grays Harbor Pgs 28-29'!C37+'Island Pgs 30-31'!C37+'Jefferson Pgs 32-33'!C37+'Kitsap Pgs 34-35'!C37+'Kittitas Pgs 36-37'!C37+'Klickitat Pgs 38-39'!C37+'Lewis Pgs 40-41'!C37+'Lincoln Pgs 42-43'!C37+'Mason Pgs 44-45'!C37+'Northeast Tri Pgs 46-47'!C37+'Okanogan Pgs 48-49'!C37+'Pacific Pgs 50-51'!C37+'San Juan Pgs 52-53'!C37+'Skagit Pgs 56-57'!C37+'Skamania Pgs 58-59'!C37+'Snohomish Pgs 60-61'!C37+'Spokane Pgs 62-63'!C37+'Tacoma-Pierce Pgs 64-65'!C37+'Thurston Pgs 66-67'!C37+'Wahkiakum Pgs 68-69'!C37+'Walla Walla Pgs 70-71'!C37+'Whatcom Pgs 72-73'!C37+'Whitman Pgs 74-75'!C37+'Yakima Pgs 76-77'!C37+'Seattle-King Pgs 54-55'!C37</f>
        <v>14649357</v>
      </c>
      <c r="D37" s="102">
        <f>'Adams Pgs 8-9'!D37+'Asotin Pgs 10-11'!D37+'Benton-Franklin Pgs 12-13'!D37+'Chelan-Douglas Pgs 14-15'!D37+'Clallam Pgs 16-17'!D37+'Clark Pgs 18-19'!D37+'Columbia Pgs 20-21'!D37+'Cowlitz Pgs 22-23'!D37+'Garfield Pgs 24-25'!D37+'Grant Pgs 26-27'!D37+'Grays Harbor Pgs 28-29'!D37+'Island Pgs 30-31'!D37+'Jefferson Pgs 32-33'!D37+'Kitsap Pgs 34-35'!D37+'Kittitas Pgs 36-37'!D37+'Klickitat Pgs 38-39'!D37+'Lewis Pgs 40-41'!D37+'Lincoln Pgs 42-43'!D37+'Mason Pgs 44-45'!D37+'Northeast Tri Pgs 46-47'!D37+'Okanogan Pgs 48-49'!D37+'Pacific Pgs 50-51'!D37+'San Juan Pgs 52-53'!D37+'Skagit Pgs 56-57'!D37+'Skamania Pgs 58-59'!D37+'Snohomish Pgs 60-61'!D37+'Spokane Pgs 62-63'!D37+'Tacoma-Pierce Pgs 64-65'!D37+'Thurston Pgs 66-67'!D37+'Wahkiakum Pgs 68-69'!D37+'Walla Walla Pgs 70-71'!D37+'Whatcom Pgs 72-73'!D37+'Whitman Pgs 74-75'!D37+'Yakima Pgs 76-77'!D37+'Seattle-King Pgs 54-55'!D37</f>
        <v>2242292</v>
      </c>
      <c r="E37" s="100">
        <f>'Adams Pgs 8-9'!E37+'Asotin Pgs 10-11'!E37+'Benton-Franklin Pgs 12-13'!E37+'Chelan-Douglas Pgs 14-15'!E37+'Clallam Pgs 16-17'!E37+'Clark Pgs 18-19'!E37+'Columbia Pgs 20-21'!E37+'Cowlitz Pgs 22-23'!E37+'Garfield Pgs 24-25'!E37+'Grant Pgs 26-27'!E37+'Grays Harbor Pgs 28-29'!E37+'Island Pgs 30-31'!E37+'Jefferson Pgs 32-33'!E37+'Kitsap Pgs 34-35'!E37+'Kittitas Pgs 36-37'!E37+'Klickitat Pgs 38-39'!E37+'Lewis Pgs 40-41'!E37+'Lincoln Pgs 42-43'!E37+'Mason Pgs 44-45'!E37+'Northeast Tri Pgs 46-47'!E37+'Okanogan Pgs 48-49'!E37+'Pacific Pgs 50-51'!E37+'San Juan Pgs 52-53'!E37+'Skagit Pgs 56-57'!E37+'Skamania Pgs 58-59'!E37+'Snohomish Pgs 60-61'!E37+'Spokane Pgs 62-63'!E37+'Tacoma-Pierce Pgs 64-65'!E37+'Thurston Pgs 66-67'!E37+'Wahkiakum Pgs 68-69'!E37+'Walla Walla Pgs 70-71'!E37+'Whatcom Pgs 72-73'!E37+'Whitman Pgs 74-75'!E37+'Yakima Pgs 76-77'!E37+'Seattle-King Pgs 54-55'!E37</f>
        <v>0</v>
      </c>
      <c r="F37" s="101">
        <f>'Adams Pgs 8-9'!F37+'Asotin Pgs 10-11'!F37+'Benton-Franklin Pgs 12-13'!F37+'Chelan-Douglas Pgs 14-15'!F37+'Clallam Pgs 16-17'!F37+'Clark Pgs 18-19'!F37+'Columbia Pgs 20-21'!F37+'Cowlitz Pgs 22-23'!F37+'Garfield Pgs 24-25'!F37+'Grant Pgs 26-27'!F37+'Grays Harbor Pgs 28-29'!F37+'Island Pgs 30-31'!F37+'Jefferson Pgs 32-33'!F37+'Kitsap Pgs 34-35'!F37+'Kittitas Pgs 36-37'!F37+'Klickitat Pgs 38-39'!F37+'Lewis Pgs 40-41'!F37+'Lincoln Pgs 42-43'!F37+'Mason Pgs 44-45'!F37+'Northeast Tri Pgs 46-47'!F37+'Okanogan Pgs 48-49'!F37+'Pacific Pgs 50-51'!F37+'San Juan Pgs 52-53'!F37+'Skagit Pgs 56-57'!F37+'Skamania Pgs 58-59'!F37+'Snohomish Pgs 60-61'!F37+'Spokane Pgs 62-63'!F37+'Tacoma-Pierce Pgs 64-65'!F37+'Thurston Pgs 66-67'!F37+'Wahkiakum Pgs 68-69'!F37+'Walla Walla Pgs 70-71'!F37+'Whatcom Pgs 72-73'!F37+'Whitman Pgs 74-75'!F37+'Yakima Pgs 76-77'!F37+'Seattle-King Pgs 54-55'!F37</f>
        <v>173673</v>
      </c>
      <c r="G37" s="102">
        <f>'Adams Pgs 8-9'!G37+'Asotin Pgs 10-11'!G37+'Benton-Franklin Pgs 12-13'!G37+'Chelan-Douglas Pgs 14-15'!G37+'Clallam Pgs 16-17'!G37+'Clark Pgs 18-19'!G37+'Columbia Pgs 20-21'!G37+'Cowlitz Pgs 22-23'!G37+'Garfield Pgs 24-25'!G37+'Grant Pgs 26-27'!G37+'Grays Harbor Pgs 28-29'!G37+'Island Pgs 30-31'!G37+'Jefferson Pgs 32-33'!G37+'Kitsap Pgs 34-35'!G37+'Kittitas Pgs 36-37'!G37+'Klickitat Pgs 38-39'!G37+'Lewis Pgs 40-41'!G37+'Lincoln Pgs 42-43'!G37+'Mason Pgs 44-45'!G37+'Northeast Tri Pgs 46-47'!G37+'Okanogan Pgs 48-49'!G37+'Pacific Pgs 50-51'!G37+'San Juan Pgs 52-53'!G37+'Skagit Pgs 56-57'!G37+'Skamania Pgs 58-59'!G37+'Snohomish Pgs 60-61'!G37+'Spokane Pgs 62-63'!G37+'Tacoma-Pierce Pgs 64-65'!G37+'Thurston Pgs 66-67'!G37+'Wahkiakum Pgs 68-69'!G37+'Walla Walla Pgs 70-71'!G37+'Whatcom Pgs 72-73'!G37+'Whitman Pgs 74-75'!G37+'Yakima Pgs 76-77'!G37+'Seattle-King Pgs 54-55'!G37</f>
        <v>0</v>
      </c>
      <c r="H37" s="100">
        <f>'Adams Pgs 8-9'!H37+'Asotin Pgs 10-11'!H37+'Benton-Franklin Pgs 12-13'!H37+'Chelan-Douglas Pgs 14-15'!H37+'Clallam Pgs 16-17'!H37+'Clark Pgs 18-19'!H37+'Columbia Pgs 20-21'!H37+'Cowlitz Pgs 22-23'!H37+'Garfield Pgs 24-25'!H37+'Grant Pgs 26-27'!H37+'Grays Harbor Pgs 28-29'!H37+'Island Pgs 30-31'!H37+'Jefferson Pgs 32-33'!H37+'Kitsap Pgs 34-35'!H37+'Kittitas Pgs 36-37'!H37+'Klickitat Pgs 38-39'!H37+'Lewis Pgs 40-41'!H37+'Lincoln Pgs 42-43'!H37+'Mason Pgs 44-45'!H37+'Northeast Tri Pgs 46-47'!H37+'Okanogan Pgs 48-49'!H37+'Pacific Pgs 50-51'!H37+'San Juan Pgs 52-53'!H37+'Skagit Pgs 56-57'!H37+'Skamania Pgs 58-59'!H37+'Snohomish Pgs 60-61'!H37+'Spokane Pgs 62-63'!H37+'Tacoma-Pierce Pgs 64-65'!H37+'Thurston Pgs 66-67'!H37+'Wahkiakum Pgs 68-69'!H37+'Walla Walla Pgs 70-71'!H37+'Whatcom Pgs 72-73'!H37+'Whitman Pgs 74-75'!H37+'Yakima Pgs 76-77'!H37+'Seattle-King Pgs 54-55'!H37</f>
        <v>0</v>
      </c>
      <c r="I37" s="102">
        <f>'Adams Pgs 8-9'!I37+'Asotin Pgs 10-11'!I37+'Benton-Franklin Pgs 12-13'!I37+'Chelan-Douglas Pgs 14-15'!I37+'Clallam Pgs 16-17'!I37+'Clark Pgs 18-19'!I37+'Columbia Pgs 20-21'!I37+'Cowlitz Pgs 22-23'!I37+'Garfield Pgs 24-25'!I37+'Grant Pgs 26-27'!I37+'Grays Harbor Pgs 28-29'!I37+'Island Pgs 30-31'!I37+'Jefferson Pgs 32-33'!I37+'Kitsap Pgs 34-35'!I37+'Kittitas Pgs 36-37'!I37+'Klickitat Pgs 38-39'!I37+'Lewis Pgs 40-41'!I37+'Lincoln Pgs 42-43'!I37+'Mason Pgs 44-45'!I37+'Northeast Tri Pgs 46-47'!I37+'Okanogan Pgs 48-49'!I37+'Pacific Pgs 50-51'!I37+'San Juan Pgs 52-53'!I37+'Snohomish Pgs 60-61'!I37+'Spokane Pgs 62-63'!I37+'Tacoma-Pierce Pgs 64-65'!I37+'Thurston Pgs 66-67'!I37+'Wahkiakum Pgs 68-69'!I37+'Walla Walla Pgs 70-71'!I37+'Whatcom Pgs 72-73'!I37+'Whitman Pgs 74-75'!I37+'Yakima Pgs 76-77'!I37+'Seattle-King Pgs 54-55'!I37+'Skagit Pgs 56-57'!I37+'Skamania Pgs 58-59'!I37</f>
        <v>913975</v>
      </c>
      <c r="J37" s="104">
        <f>'Adams Pgs 8-9'!J37+'Asotin Pgs 10-11'!J37+'Benton-Franklin Pgs 12-13'!J37+'Chelan-Douglas Pgs 14-15'!J37+'Clallam Pgs 16-17'!J37+'Clark Pgs 18-19'!J37+'Columbia Pgs 20-21'!J37+'Cowlitz Pgs 22-23'!J37+'Garfield Pgs 24-25'!J37+'Grant Pgs 26-27'!J37+'Grays Harbor Pgs 28-29'!J37+'Island Pgs 30-31'!J37+'Jefferson Pgs 32-33'!J37+'Kitsap Pgs 34-35'!J37+'Kittitas Pgs 36-37'!J37+'Klickitat Pgs 38-39'!J37+'Lewis Pgs 40-41'!J37+'Lincoln Pgs 42-43'!J37+'Mason Pgs 44-45'!J37+'Northeast Tri Pgs 46-47'!J37+'Okanogan Pgs 48-49'!J37+'Pacific Pgs 50-51'!J37+'San Juan Pgs 52-53'!J37+'Skagit Pgs 56-57'!J37+'Skamania Pgs 58-59'!J37+'Snohomish Pgs 60-61'!J37+'Spokane Pgs 62-63'!J37+'Tacoma-Pierce Pgs 64-65'!J37+'Thurston Pgs 66-67'!J37+'Wahkiakum Pgs 68-69'!J37+'Walla Walla Pgs 70-71'!J37+'Whatcom Pgs 72-73'!J37+'Whitman Pgs 74-75'!J37+'Yakima Pgs 76-77'!J37+'Seattle-King Pgs 54-55'!J37</f>
        <v>633585</v>
      </c>
      <c r="K37" s="129">
        <f t="shared" si="0"/>
        <v>18612882</v>
      </c>
      <c r="L37"/>
    </row>
    <row r="38" spans="1:12" x14ac:dyDescent="0.35">
      <c r="A38" s="79">
        <v>562.78</v>
      </c>
      <c r="B38" s="16" t="s">
        <v>25</v>
      </c>
      <c r="C38" s="103">
        <f>'Adams Pgs 8-9'!C38+'Asotin Pgs 10-11'!C38+'Benton-Franklin Pgs 12-13'!C38+'Chelan-Douglas Pgs 14-15'!C38+'Clallam Pgs 16-17'!C38+'Clark Pgs 18-19'!C38+'Columbia Pgs 20-21'!C38+'Cowlitz Pgs 22-23'!C38+'Garfield Pgs 24-25'!C38+'Grant Pgs 26-27'!C38+'Grays Harbor Pgs 28-29'!C38+'Island Pgs 30-31'!C38+'Jefferson Pgs 32-33'!C38+'Kitsap Pgs 34-35'!C38+'Kittitas Pgs 36-37'!C38+'Klickitat Pgs 38-39'!C38+'Lewis Pgs 40-41'!C38+'Lincoln Pgs 42-43'!C38+'Mason Pgs 44-45'!C38+'Northeast Tri Pgs 46-47'!C38+'Okanogan Pgs 48-49'!C38+'Pacific Pgs 50-51'!C38+'San Juan Pgs 52-53'!C38+'Skagit Pgs 56-57'!C38+'Skamania Pgs 58-59'!C38+'Snohomish Pgs 60-61'!C38+'Spokane Pgs 62-63'!C38+'Tacoma-Pierce Pgs 64-65'!C38+'Thurston Pgs 66-67'!C38+'Wahkiakum Pgs 68-69'!C38+'Walla Walla Pgs 70-71'!C38+'Whatcom Pgs 72-73'!C38+'Whitman Pgs 74-75'!C38+'Yakima Pgs 76-77'!C38+'Seattle-King Pgs 54-55'!C38</f>
        <v>238675</v>
      </c>
      <c r="D38" s="102">
        <f>'Adams Pgs 8-9'!D38+'Asotin Pgs 10-11'!D38+'Benton-Franklin Pgs 12-13'!D38+'Chelan-Douglas Pgs 14-15'!D38+'Clallam Pgs 16-17'!D38+'Clark Pgs 18-19'!D38+'Columbia Pgs 20-21'!D38+'Cowlitz Pgs 22-23'!D38+'Garfield Pgs 24-25'!D38+'Grant Pgs 26-27'!D38+'Grays Harbor Pgs 28-29'!D38+'Island Pgs 30-31'!D38+'Jefferson Pgs 32-33'!D38+'Kitsap Pgs 34-35'!D38+'Kittitas Pgs 36-37'!D38+'Klickitat Pgs 38-39'!D38+'Lewis Pgs 40-41'!D38+'Lincoln Pgs 42-43'!D38+'Mason Pgs 44-45'!D38+'Northeast Tri Pgs 46-47'!D38+'Okanogan Pgs 48-49'!D38+'Pacific Pgs 50-51'!D38+'San Juan Pgs 52-53'!D38+'Skagit Pgs 56-57'!D38+'Skamania Pgs 58-59'!D38+'Snohomish Pgs 60-61'!D38+'Spokane Pgs 62-63'!D38+'Tacoma-Pierce Pgs 64-65'!D38+'Thurston Pgs 66-67'!D38+'Wahkiakum Pgs 68-69'!D38+'Walla Walla Pgs 70-71'!D38+'Whatcom Pgs 72-73'!D38+'Whitman Pgs 74-75'!D38+'Yakima Pgs 76-77'!D38+'Seattle-King Pgs 54-55'!D38</f>
        <v>391054</v>
      </c>
      <c r="E38" s="100">
        <f>'Adams Pgs 8-9'!E38+'Asotin Pgs 10-11'!E38+'Benton-Franklin Pgs 12-13'!E38+'Chelan-Douglas Pgs 14-15'!E38+'Clallam Pgs 16-17'!E38+'Clark Pgs 18-19'!E38+'Columbia Pgs 20-21'!E38+'Cowlitz Pgs 22-23'!E38+'Garfield Pgs 24-25'!E38+'Grant Pgs 26-27'!E38+'Grays Harbor Pgs 28-29'!E38+'Island Pgs 30-31'!E38+'Jefferson Pgs 32-33'!E38+'Kitsap Pgs 34-35'!E38+'Kittitas Pgs 36-37'!E38+'Klickitat Pgs 38-39'!E38+'Lewis Pgs 40-41'!E38+'Lincoln Pgs 42-43'!E38+'Mason Pgs 44-45'!E38+'Northeast Tri Pgs 46-47'!E38+'Okanogan Pgs 48-49'!E38+'Pacific Pgs 50-51'!E38+'San Juan Pgs 52-53'!E38+'Skagit Pgs 56-57'!E38+'Skamania Pgs 58-59'!E38+'Snohomish Pgs 60-61'!E38+'Spokane Pgs 62-63'!E38+'Tacoma-Pierce Pgs 64-65'!E38+'Thurston Pgs 66-67'!E38+'Wahkiakum Pgs 68-69'!E38+'Walla Walla Pgs 70-71'!E38+'Whatcom Pgs 72-73'!E38+'Whitman Pgs 74-75'!E38+'Yakima Pgs 76-77'!E38+'Seattle-King Pgs 54-55'!E38</f>
        <v>0</v>
      </c>
      <c r="F38" s="101">
        <f>'Adams Pgs 8-9'!F38+'Asotin Pgs 10-11'!F38+'Benton-Franklin Pgs 12-13'!F38+'Chelan-Douglas Pgs 14-15'!F38+'Clallam Pgs 16-17'!F38+'Clark Pgs 18-19'!F38+'Columbia Pgs 20-21'!F38+'Cowlitz Pgs 22-23'!F38+'Garfield Pgs 24-25'!F38+'Grant Pgs 26-27'!F38+'Grays Harbor Pgs 28-29'!F38+'Island Pgs 30-31'!F38+'Jefferson Pgs 32-33'!F38+'Kitsap Pgs 34-35'!F38+'Kittitas Pgs 36-37'!F38+'Klickitat Pgs 38-39'!F38+'Lewis Pgs 40-41'!F38+'Lincoln Pgs 42-43'!F38+'Mason Pgs 44-45'!F38+'Northeast Tri Pgs 46-47'!F38+'Okanogan Pgs 48-49'!F38+'Pacific Pgs 50-51'!F38+'San Juan Pgs 52-53'!F38+'Skagit Pgs 56-57'!F38+'Skamania Pgs 58-59'!F38+'Snohomish Pgs 60-61'!F38+'Spokane Pgs 62-63'!F38+'Tacoma-Pierce Pgs 64-65'!F38+'Thurston Pgs 66-67'!F38+'Wahkiakum Pgs 68-69'!F38+'Walla Walla Pgs 70-71'!F38+'Whatcom Pgs 72-73'!F38+'Whitman Pgs 74-75'!F38+'Yakima Pgs 76-77'!F38+'Seattle-King Pgs 54-55'!F38</f>
        <v>105599</v>
      </c>
      <c r="G38" s="102">
        <f>'Adams Pgs 8-9'!G38+'Asotin Pgs 10-11'!G38+'Benton-Franklin Pgs 12-13'!G38+'Chelan-Douglas Pgs 14-15'!G38+'Clallam Pgs 16-17'!G38+'Clark Pgs 18-19'!G38+'Columbia Pgs 20-21'!G38+'Cowlitz Pgs 22-23'!G38+'Garfield Pgs 24-25'!G38+'Grant Pgs 26-27'!G38+'Grays Harbor Pgs 28-29'!G38+'Island Pgs 30-31'!G38+'Jefferson Pgs 32-33'!G38+'Kitsap Pgs 34-35'!G38+'Kittitas Pgs 36-37'!G38+'Klickitat Pgs 38-39'!G38+'Lewis Pgs 40-41'!G38+'Lincoln Pgs 42-43'!G38+'Mason Pgs 44-45'!G38+'Northeast Tri Pgs 46-47'!G38+'Okanogan Pgs 48-49'!G38+'Pacific Pgs 50-51'!G38+'San Juan Pgs 52-53'!G38+'Skagit Pgs 56-57'!G38+'Skamania Pgs 58-59'!G38+'Snohomish Pgs 60-61'!G38+'Spokane Pgs 62-63'!G38+'Tacoma-Pierce Pgs 64-65'!G38+'Thurston Pgs 66-67'!G38+'Wahkiakum Pgs 68-69'!G38+'Walla Walla Pgs 70-71'!G38+'Whatcom Pgs 72-73'!G38+'Whitman Pgs 74-75'!G38+'Yakima Pgs 76-77'!G38+'Seattle-King Pgs 54-55'!G38</f>
        <v>0</v>
      </c>
      <c r="H38" s="100">
        <f>'Adams Pgs 8-9'!H38+'Asotin Pgs 10-11'!H38+'Benton-Franklin Pgs 12-13'!H38+'Chelan-Douglas Pgs 14-15'!H38+'Clallam Pgs 16-17'!H38+'Clark Pgs 18-19'!H38+'Columbia Pgs 20-21'!H38+'Cowlitz Pgs 22-23'!H38+'Garfield Pgs 24-25'!H38+'Grant Pgs 26-27'!H38+'Grays Harbor Pgs 28-29'!H38+'Island Pgs 30-31'!H38+'Jefferson Pgs 32-33'!H38+'Kitsap Pgs 34-35'!H38+'Kittitas Pgs 36-37'!H38+'Klickitat Pgs 38-39'!H38+'Lewis Pgs 40-41'!H38+'Lincoln Pgs 42-43'!H38+'Mason Pgs 44-45'!H38+'Northeast Tri Pgs 46-47'!H38+'Okanogan Pgs 48-49'!H38+'Pacific Pgs 50-51'!H38+'San Juan Pgs 52-53'!H38+'Skagit Pgs 56-57'!H38+'Skamania Pgs 58-59'!H38+'Snohomish Pgs 60-61'!H38+'Spokane Pgs 62-63'!H38+'Tacoma-Pierce Pgs 64-65'!H38+'Thurston Pgs 66-67'!H38+'Wahkiakum Pgs 68-69'!H38+'Walla Walla Pgs 70-71'!H38+'Whatcom Pgs 72-73'!H38+'Whitman Pgs 74-75'!H38+'Yakima Pgs 76-77'!H38+'Seattle-King Pgs 54-55'!H38</f>
        <v>0</v>
      </c>
      <c r="I38" s="102">
        <f>'Adams Pgs 8-9'!I38+'Asotin Pgs 10-11'!I38+'Benton-Franklin Pgs 12-13'!I38+'Chelan-Douglas Pgs 14-15'!I38+'Clallam Pgs 16-17'!I38+'Clark Pgs 18-19'!I38+'Columbia Pgs 20-21'!I38+'Cowlitz Pgs 22-23'!I38+'Garfield Pgs 24-25'!I38+'Grant Pgs 26-27'!I38+'Grays Harbor Pgs 28-29'!I38+'Island Pgs 30-31'!I38+'Jefferson Pgs 32-33'!I38+'Kitsap Pgs 34-35'!I38+'Kittitas Pgs 36-37'!I38+'Klickitat Pgs 38-39'!I38+'Lewis Pgs 40-41'!I38+'Lincoln Pgs 42-43'!I38+'Mason Pgs 44-45'!I38+'Northeast Tri Pgs 46-47'!I38+'Okanogan Pgs 48-49'!I38+'Pacific Pgs 50-51'!I38+'San Juan Pgs 52-53'!I38+'Snohomish Pgs 60-61'!I38+'Spokane Pgs 62-63'!I38+'Tacoma-Pierce Pgs 64-65'!I38+'Thurston Pgs 66-67'!I38+'Wahkiakum Pgs 68-69'!I38+'Walla Walla Pgs 70-71'!I38+'Whatcom Pgs 72-73'!I38+'Whitman Pgs 74-75'!I38+'Yakima Pgs 76-77'!I38+'Seattle-King Pgs 54-55'!I38+'Skagit Pgs 56-57'!I38+'Skamania Pgs 58-59'!I38</f>
        <v>0</v>
      </c>
      <c r="J38" s="104">
        <f>'Adams Pgs 8-9'!J38+'Asotin Pgs 10-11'!J38+'Benton-Franklin Pgs 12-13'!J38+'Chelan-Douglas Pgs 14-15'!J38+'Clallam Pgs 16-17'!J38+'Clark Pgs 18-19'!J38+'Columbia Pgs 20-21'!J38+'Cowlitz Pgs 22-23'!J38+'Garfield Pgs 24-25'!J38+'Grant Pgs 26-27'!J38+'Grays Harbor Pgs 28-29'!J38+'Island Pgs 30-31'!J38+'Jefferson Pgs 32-33'!J38+'Kitsap Pgs 34-35'!J38+'Kittitas Pgs 36-37'!J38+'Klickitat Pgs 38-39'!J38+'Lewis Pgs 40-41'!J38+'Lincoln Pgs 42-43'!J38+'Mason Pgs 44-45'!J38+'Northeast Tri Pgs 46-47'!J38+'Okanogan Pgs 48-49'!J38+'Pacific Pgs 50-51'!J38+'San Juan Pgs 52-53'!J38+'Skagit Pgs 56-57'!J38+'Skamania Pgs 58-59'!J38+'Snohomish Pgs 60-61'!J38+'Spokane Pgs 62-63'!J38+'Tacoma-Pierce Pgs 64-65'!J38+'Thurston Pgs 66-67'!J38+'Wahkiakum Pgs 68-69'!J38+'Walla Walla Pgs 70-71'!J38+'Whatcom Pgs 72-73'!J38+'Whitman Pgs 74-75'!J38+'Yakima Pgs 76-77'!J38+'Seattle-King Pgs 54-55'!J38</f>
        <v>100475</v>
      </c>
      <c r="K38" s="129">
        <f t="shared" si="0"/>
        <v>835803</v>
      </c>
      <c r="L38"/>
    </row>
    <row r="39" spans="1:12" x14ac:dyDescent="0.35">
      <c r="A39" s="79">
        <v>562.79</v>
      </c>
      <c r="B39" s="16" t="s">
        <v>26</v>
      </c>
      <c r="C39" s="103">
        <f>'Adams Pgs 8-9'!C39+'Asotin Pgs 10-11'!C39+'Benton-Franklin Pgs 12-13'!C39+'Chelan-Douglas Pgs 14-15'!C39+'Clallam Pgs 16-17'!C39+'Clark Pgs 18-19'!C39+'Columbia Pgs 20-21'!C39+'Cowlitz Pgs 22-23'!C39+'Garfield Pgs 24-25'!C39+'Grant Pgs 26-27'!C39+'Grays Harbor Pgs 28-29'!C39+'Island Pgs 30-31'!C39+'Jefferson Pgs 32-33'!C39+'Kitsap Pgs 34-35'!C39+'Kittitas Pgs 36-37'!C39+'Klickitat Pgs 38-39'!C39+'Lewis Pgs 40-41'!C39+'Lincoln Pgs 42-43'!C39+'Mason Pgs 44-45'!C39+'Northeast Tri Pgs 46-47'!C39+'Okanogan Pgs 48-49'!C39+'Pacific Pgs 50-51'!C39+'San Juan Pgs 52-53'!C39+'Skagit Pgs 56-57'!C39+'Skamania Pgs 58-59'!C39+'Snohomish Pgs 60-61'!C39+'Spokane Pgs 62-63'!C39+'Tacoma-Pierce Pgs 64-65'!C39+'Thurston Pgs 66-67'!C39+'Wahkiakum Pgs 68-69'!C39+'Walla Walla Pgs 70-71'!C39+'Whatcom Pgs 72-73'!C39+'Whitman Pgs 74-75'!C39+'Yakima Pgs 76-77'!C39+'Seattle-King Pgs 54-55'!C39</f>
        <v>2200094</v>
      </c>
      <c r="D39" s="102">
        <f>'Adams Pgs 8-9'!D39+'Asotin Pgs 10-11'!D39+'Benton-Franklin Pgs 12-13'!D39+'Chelan-Douglas Pgs 14-15'!D39+'Clallam Pgs 16-17'!D39+'Clark Pgs 18-19'!D39+'Columbia Pgs 20-21'!D39+'Cowlitz Pgs 22-23'!D39+'Garfield Pgs 24-25'!D39+'Grant Pgs 26-27'!D39+'Grays Harbor Pgs 28-29'!D39+'Island Pgs 30-31'!D39+'Jefferson Pgs 32-33'!D39+'Kitsap Pgs 34-35'!D39+'Kittitas Pgs 36-37'!D39+'Klickitat Pgs 38-39'!D39+'Lewis Pgs 40-41'!D39+'Lincoln Pgs 42-43'!D39+'Mason Pgs 44-45'!D39+'Northeast Tri Pgs 46-47'!D39+'Okanogan Pgs 48-49'!D39+'Pacific Pgs 50-51'!D39+'San Juan Pgs 52-53'!D39+'Skagit Pgs 56-57'!D39+'Skamania Pgs 58-59'!D39+'Snohomish Pgs 60-61'!D39+'Spokane Pgs 62-63'!D39+'Tacoma-Pierce Pgs 64-65'!D39+'Thurston Pgs 66-67'!D39+'Wahkiakum Pgs 68-69'!D39+'Walla Walla Pgs 70-71'!D39+'Whatcom Pgs 72-73'!D39+'Whitman Pgs 74-75'!D39+'Yakima Pgs 76-77'!D39+'Seattle-King Pgs 54-55'!D39</f>
        <v>340297</v>
      </c>
      <c r="E39" s="100">
        <f>'Adams Pgs 8-9'!E39+'Asotin Pgs 10-11'!E39+'Benton-Franklin Pgs 12-13'!E39+'Chelan-Douglas Pgs 14-15'!E39+'Clallam Pgs 16-17'!E39+'Clark Pgs 18-19'!E39+'Columbia Pgs 20-21'!E39+'Cowlitz Pgs 22-23'!E39+'Garfield Pgs 24-25'!E39+'Grant Pgs 26-27'!E39+'Grays Harbor Pgs 28-29'!E39+'Island Pgs 30-31'!E39+'Jefferson Pgs 32-33'!E39+'Kitsap Pgs 34-35'!E39+'Kittitas Pgs 36-37'!E39+'Klickitat Pgs 38-39'!E39+'Lewis Pgs 40-41'!E39+'Lincoln Pgs 42-43'!E39+'Mason Pgs 44-45'!E39+'Northeast Tri Pgs 46-47'!E39+'Okanogan Pgs 48-49'!E39+'Pacific Pgs 50-51'!E39+'San Juan Pgs 52-53'!E39+'Skagit Pgs 56-57'!E39+'Skamania Pgs 58-59'!E39+'Snohomish Pgs 60-61'!E39+'Spokane Pgs 62-63'!E39+'Tacoma-Pierce Pgs 64-65'!E39+'Thurston Pgs 66-67'!E39+'Wahkiakum Pgs 68-69'!E39+'Walla Walla Pgs 70-71'!E39+'Whatcom Pgs 72-73'!E39+'Whitman Pgs 74-75'!E39+'Yakima Pgs 76-77'!E39+'Seattle-King Pgs 54-55'!E39</f>
        <v>0</v>
      </c>
      <c r="F39" s="101">
        <f>'Adams Pgs 8-9'!F39+'Asotin Pgs 10-11'!F39+'Benton-Franklin Pgs 12-13'!F39+'Chelan-Douglas Pgs 14-15'!F39+'Clallam Pgs 16-17'!F39+'Clark Pgs 18-19'!F39+'Columbia Pgs 20-21'!F39+'Cowlitz Pgs 22-23'!F39+'Garfield Pgs 24-25'!F39+'Grant Pgs 26-27'!F39+'Grays Harbor Pgs 28-29'!F39+'Island Pgs 30-31'!F39+'Jefferson Pgs 32-33'!F39+'Kitsap Pgs 34-35'!F39+'Kittitas Pgs 36-37'!F39+'Klickitat Pgs 38-39'!F39+'Lewis Pgs 40-41'!F39+'Lincoln Pgs 42-43'!F39+'Mason Pgs 44-45'!F39+'Northeast Tri Pgs 46-47'!F39+'Okanogan Pgs 48-49'!F39+'Pacific Pgs 50-51'!F39+'San Juan Pgs 52-53'!F39+'Skagit Pgs 56-57'!F39+'Skamania Pgs 58-59'!F39+'Snohomish Pgs 60-61'!F39+'Spokane Pgs 62-63'!F39+'Tacoma-Pierce Pgs 64-65'!F39+'Thurston Pgs 66-67'!F39+'Wahkiakum Pgs 68-69'!F39+'Walla Walla Pgs 70-71'!F39+'Whatcom Pgs 72-73'!F39+'Whitman Pgs 74-75'!F39+'Yakima Pgs 76-77'!F39+'Seattle-King Pgs 54-55'!F39</f>
        <v>1606530</v>
      </c>
      <c r="G39" s="102">
        <f>'Adams Pgs 8-9'!G39+'Asotin Pgs 10-11'!G39+'Benton-Franklin Pgs 12-13'!G39+'Chelan-Douglas Pgs 14-15'!G39+'Clallam Pgs 16-17'!G39+'Clark Pgs 18-19'!G39+'Columbia Pgs 20-21'!G39+'Cowlitz Pgs 22-23'!G39+'Garfield Pgs 24-25'!G39+'Grant Pgs 26-27'!G39+'Grays Harbor Pgs 28-29'!G39+'Island Pgs 30-31'!G39+'Jefferson Pgs 32-33'!G39+'Kitsap Pgs 34-35'!G39+'Kittitas Pgs 36-37'!G39+'Klickitat Pgs 38-39'!G39+'Lewis Pgs 40-41'!G39+'Lincoln Pgs 42-43'!G39+'Mason Pgs 44-45'!G39+'Northeast Tri Pgs 46-47'!G39+'Okanogan Pgs 48-49'!G39+'Pacific Pgs 50-51'!G39+'San Juan Pgs 52-53'!G39+'Skagit Pgs 56-57'!G39+'Skamania Pgs 58-59'!G39+'Snohomish Pgs 60-61'!G39+'Spokane Pgs 62-63'!G39+'Tacoma-Pierce Pgs 64-65'!G39+'Thurston Pgs 66-67'!G39+'Wahkiakum Pgs 68-69'!G39+'Walla Walla Pgs 70-71'!G39+'Whatcom Pgs 72-73'!G39+'Whitman Pgs 74-75'!G39+'Yakima Pgs 76-77'!G39+'Seattle-King Pgs 54-55'!G39</f>
        <v>0</v>
      </c>
      <c r="H39" s="100">
        <f>'Adams Pgs 8-9'!H39+'Asotin Pgs 10-11'!H39+'Benton-Franklin Pgs 12-13'!H39+'Chelan-Douglas Pgs 14-15'!H39+'Clallam Pgs 16-17'!H39+'Clark Pgs 18-19'!H39+'Columbia Pgs 20-21'!H39+'Cowlitz Pgs 22-23'!H39+'Garfield Pgs 24-25'!H39+'Grant Pgs 26-27'!H39+'Grays Harbor Pgs 28-29'!H39+'Island Pgs 30-31'!H39+'Jefferson Pgs 32-33'!H39+'Kitsap Pgs 34-35'!H39+'Kittitas Pgs 36-37'!H39+'Klickitat Pgs 38-39'!H39+'Lewis Pgs 40-41'!H39+'Lincoln Pgs 42-43'!H39+'Mason Pgs 44-45'!H39+'Northeast Tri Pgs 46-47'!H39+'Okanogan Pgs 48-49'!H39+'Pacific Pgs 50-51'!H39+'San Juan Pgs 52-53'!H39+'Skagit Pgs 56-57'!H39+'Skamania Pgs 58-59'!H39+'Snohomish Pgs 60-61'!H39+'Spokane Pgs 62-63'!H39+'Tacoma-Pierce Pgs 64-65'!H39+'Thurston Pgs 66-67'!H39+'Wahkiakum Pgs 68-69'!H39+'Walla Walla Pgs 70-71'!H39+'Whatcom Pgs 72-73'!H39+'Whitman Pgs 74-75'!H39+'Yakima Pgs 76-77'!H39+'Seattle-King Pgs 54-55'!H39</f>
        <v>144875</v>
      </c>
      <c r="I39" s="102">
        <f>'Adams Pgs 8-9'!I39+'Asotin Pgs 10-11'!I39+'Benton-Franklin Pgs 12-13'!I39+'Chelan-Douglas Pgs 14-15'!I39+'Clallam Pgs 16-17'!I39+'Clark Pgs 18-19'!I39+'Columbia Pgs 20-21'!I39+'Cowlitz Pgs 22-23'!I39+'Garfield Pgs 24-25'!I39+'Grant Pgs 26-27'!I39+'Grays Harbor Pgs 28-29'!I39+'Island Pgs 30-31'!I39+'Jefferson Pgs 32-33'!I39+'Kitsap Pgs 34-35'!I39+'Kittitas Pgs 36-37'!I39+'Klickitat Pgs 38-39'!I39+'Lewis Pgs 40-41'!I39+'Lincoln Pgs 42-43'!I39+'Mason Pgs 44-45'!I39+'Northeast Tri Pgs 46-47'!I39+'Okanogan Pgs 48-49'!I39+'Pacific Pgs 50-51'!I39+'San Juan Pgs 52-53'!I39+'Snohomish Pgs 60-61'!I39+'Spokane Pgs 62-63'!I39+'Tacoma-Pierce Pgs 64-65'!I39+'Thurston Pgs 66-67'!I39+'Wahkiakum Pgs 68-69'!I39+'Walla Walla Pgs 70-71'!I39+'Whatcom Pgs 72-73'!I39+'Whitman Pgs 74-75'!I39+'Yakima Pgs 76-77'!I39+'Seattle-King Pgs 54-55'!I39+'Skagit Pgs 56-57'!I39+'Skamania Pgs 58-59'!I39</f>
        <v>342388</v>
      </c>
      <c r="J39" s="104">
        <f>'Adams Pgs 8-9'!J39+'Asotin Pgs 10-11'!J39+'Benton-Franklin Pgs 12-13'!J39+'Chelan-Douglas Pgs 14-15'!J39+'Clallam Pgs 16-17'!J39+'Clark Pgs 18-19'!J39+'Columbia Pgs 20-21'!J39+'Cowlitz Pgs 22-23'!J39+'Garfield Pgs 24-25'!J39+'Grant Pgs 26-27'!J39+'Grays Harbor Pgs 28-29'!J39+'Island Pgs 30-31'!J39+'Jefferson Pgs 32-33'!J39+'Kitsap Pgs 34-35'!J39+'Kittitas Pgs 36-37'!J39+'Klickitat Pgs 38-39'!J39+'Lewis Pgs 40-41'!J39+'Lincoln Pgs 42-43'!J39+'Mason Pgs 44-45'!J39+'Northeast Tri Pgs 46-47'!J39+'Okanogan Pgs 48-49'!J39+'Pacific Pgs 50-51'!J39+'San Juan Pgs 52-53'!J39+'Skagit Pgs 56-57'!J39+'Skamania Pgs 58-59'!J39+'Snohomish Pgs 60-61'!J39+'Spokane Pgs 62-63'!J39+'Tacoma-Pierce Pgs 64-65'!J39+'Thurston Pgs 66-67'!J39+'Wahkiakum Pgs 68-69'!J39+'Walla Walla Pgs 70-71'!J39+'Whatcom Pgs 72-73'!J39+'Whitman Pgs 74-75'!J39+'Yakima Pgs 76-77'!J39+'Seattle-King Pgs 54-55'!J39</f>
        <v>0</v>
      </c>
      <c r="K39" s="129">
        <f t="shared" si="0"/>
        <v>4634184</v>
      </c>
      <c r="L39"/>
    </row>
    <row r="40" spans="1:12" x14ac:dyDescent="0.35">
      <c r="A40" s="79">
        <v>562.79999999999995</v>
      </c>
      <c r="B40" s="16" t="s">
        <v>27</v>
      </c>
      <c r="C40" s="103">
        <f>'Adams Pgs 8-9'!C40+'Asotin Pgs 10-11'!C40+'Benton-Franklin Pgs 12-13'!C40+'Chelan-Douglas Pgs 14-15'!C40+'Clallam Pgs 16-17'!C40+'Clark Pgs 18-19'!C40+'Columbia Pgs 20-21'!C40+'Cowlitz Pgs 22-23'!C40+'Garfield Pgs 24-25'!C40+'Grant Pgs 26-27'!C40+'Grays Harbor Pgs 28-29'!C40+'Island Pgs 30-31'!C40+'Jefferson Pgs 32-33'!C40+'Kitsap Pgs 34-35'!C40+'Kittitas Pgs 36-37'!C40+'Klickitat Pgs 38-39'!C40+'Lewis Pgs 40-41'!C40+'Lincoln Pgs 42-43'!C40+'Mason Pgs 44-45'!C40+'Northeast Tri Pgs 46-47'!C40+'Okanogan Pgs 48-49'!C40+'Pacific Pgs 50-51'!C40+'San Juan Pgs 52-53'!C40+'Skagit Pgs 56-57'!C40+'Skamania Pgs 58-59'!C40+'Snohomish Pgs 60-61'!C40+'Spokane Pgs 62-63'!C40+'Tacoma-Pierce Pgs 64-65'!C40+'Thurston Pgs 66-67'!C40+'Wahkiakum Pgs 68-69'!C40+'Walla Walla Pgs 70-71'!C40+'Whatcom Pgs 72-73'!C40+'Whitman Pgs 74-75'!C40+'Yakima Pgs 76-77'!C40+'Seattle-King Pgs 54-55'!C40</f>
        <v>2806545</v>
      </c>
      <c r="D40" s="102">
        <f>'Adams Pgs 8-9'!D40+'Asotin Pgs 10-11'!D40+'Benton-Franklin Pgs 12-13'!D40+'Chelan-Douglas Pgs 14-15'!D40+'Clallam Pgs 16-17'!D40+'Clark Pgs 18-19'!D40+'Columbia Pgs 20-21'!D40+'Cowlitz Pgs 22-23'!D40+'Garfield Pgs 24-25'!D40+'Grant Pgs 26-27'!D40+'Grays Harbor Pgs 28-29'!D40+'Island Pgs 30-31'!D40+'Jefferson Pgs 32-33'!D40+'Kitsap Pgs 34-35'!D40+'Kittitas Pgs 36-37'!D40+'Klickitat Pgs 38-39'!D40+'Lewis Pgs 40-41'!D40+'Lincoln Pgs 42-43'!D40+'Mason Pgs 44-45'!D40+'Northeast Tri Pgs 46-47'!D40+'Okanogan Pgs 48-49'!D40+'Pacific Pgs 50-51'!D40+'San Juan Pgs 52-53'!D40+'Skagit Pgs 56-57'!D40+'Skamania Pgs 58-59'!D40+'Snohomish Pgs 60-61'!D40+'Spokane Pgs 62-63'!D40+'Tacoma-Pierce Pgs 64-65'!D40+'Thurston Pgs 66-67'!D40+'Wahkiakum Pgs 68-69'!D40+'Walla Walla Pgs 70-71'!D40+'Whatcom Pgs 72-73'!D40+'Whitman Pgs 74-75'!D40+'Yakima Pgs 76-77'!D40+'Seattle-King Pgs 54-55'!D40</f>
        <v>289077</v>
      </c>
      <c r="E40" s="100">
        <f>'Adams Pgs 8-9'!E40+'Asotin Pgs 10-11'!E40+'Benton-Franklin Pgs 12-13'!E40+'Chelan-Douglas Pgs 14-15'!E40+'Clallam Pgs 16-17'!E40+'Clark Pgs 18-19'!E40+'Columbia Pgs 20-21'!E40+'Cowlitz Pgs 22-23'!E40+'Garfield Pgs 24-25'!E40+'Grant Pgs 26-27'!E40+'Grays Harbor Pgs 28-29'!E40+'Island Pgs 30-31'!E40+'Jefferson Pgs 32-33'!E40+'Kitsap Pgs 34-35'!E40+'Kittitas Pgs 36-37'!E40+'Klickitat Pgs 38-39'!E40+'Lewis Pgs 40-41'!E40+'Lincoln Pgs 42-43'!E40+'Mason Pgs 44-45'!E40+'Northeast Tri Pgs 46-47'!E40+'Okanogan Pgs 48-49'!E40+'Pacific Pgs 50-51'!E40+'San Juan Pgs 52-53'!E40+'Skagit Pgs 56-57'!E40+'Skamania Pgs 58-59'!E40+'Snohomish Pgs 60-61'!E40+'Spokane Pgs 62-63'!E40+'Tacoma-Pierce Pgs 64-65'!E40+'Thurston Pgs 66-67'!E40+'Wahkiakum Pgs 68-69'!E40+'Walla Walla Pgs 70-71'!E40+'Whatcom Pgs 72-73'!E40+'Whitman Pgs 74-75'!E40+'Yakima Pgs 76-77'!E40+'Seattle-King Pgs 54-55'!E40</f>
        <v>0</v>
      </c>
      <c r="F40" s="101">
        <f>'Adams Pgs 8-9'!F40+'Asotin Pgs 10-11'!F40+'Benton-Franklin Pgs 12-13'!F40+'Chelan-Douglas Pgs 14-15'!F40+'Clallam Pgs 16-17'!F40+'Clark Pgs 18-19'!F40+'Columbia Pgs 20-21'!F40+'Cowlitz Pgs 22-23'!F40+'Garfield Pgs 24-25'!F40+'Grant Pgs 26-27'!F40+'Grays Harbor Pgs 28-29'!F40+'Island Pgs 30-31'!F40+'Jefferson Pgs 32-33'!F40+'Kitsap Pgs 34-35'!F40+'Kittitas Pgs 36-37'!F40+'Klickitat Pgs 38-39'!F40+'Lewis Pgs 40-41'!F40+'Lincoln Pgs 42-43'!F40+'Mason Pgs 44-45'!F40+'Northeast Tri Pgs 46-47'!F40+'Okanogan Pgs 48-49'!F40+'Pacific Pgs 50-51'!F40+'San Juan Pgs 52-53'!F40+'Skagit Pgs 56-57'!F40+'Skamania Pgs 58-59'!F40+'Snohomish Pgs 60-61'!F40+'Spokane Pgs 62-63'!F40+'Tacoma-Pierce Pgs 64-65'!F40+'Thurston Pgs 66-67'!F40+'Wahkiakum Pgs 68-69'!F40+'Walla Walla Pgs 70-71'!F40+'Whatcom Pgs 72-73'!F40+'Whitman Pgs 74-75'!F40+'Yakima Pgs 76-77'!F40+'Seattle-King Pgs 54-55'!F40</f>
        <v>2689941</v>
      </c>
      <c r="G40" s="102">
        <f>'Adams Pgs 8-9'!G40+'Asotin Pgs 10-11'!G40+'Benton-Franklin Pgs 12-13'!G40+'Chelan-Douglas Pgs 14-15'!G40+'Clallam Pgs 16-17'!G40+'Clark Pgs 18-19'!G40+'Columbia Pgs 20-21'!G40+'Cowlitz Pgs 22-23'!G40+'Garfield Pgs 24-25'!G40+'Grant Pgs 26-27'!G40+'Grays Harbor Pgs 28-29'!G40+'Island Pgs 30-31'!G40+'Jefferson Pgs 32-33'!G40+'Kitsap Pgs 34-35'!G40+'Kittitas Pgs 36-37'!G40+'Klickitat Pgs 38-39'!G40+'Lewis Pgs 40-41'!G40+'Lincoln Pgs 42-43'!G40+'Mason Pgs 44-45'!G40+'Northeast Tri Pgs 46-47'!G40+'Okanogan Pgs 48-49'!G40+'Pacific Pgs 50-51'!G40+'San Juan Pgs 52-53'!G40+'Skagit Pgs 56-57'!G40+'Skamania Pgs 58-59'!G40+'Snohomish Pgs 60-61'!G40+'Spokane Pgs 62-63'!G40+'Tacoma-Pierce Pgs 64-65'!G40+'Thurston Pgs 66-67'!G40+'Wahkiakum Pgs 68-69'!G40+'Walla Walla Pgs 70-71'!G40+'Whatcom Pgs 72-73'!G40+'Whitman Pgs 74-75'!G40+'Yakima Pgs 76-77'!G40+'Seattle-King Pgs 54-55'!G40</f>
        <v>97985</v>
      </c>
      <c r="H40" s="100">
        <f>'Adams Pgs 8-9'!H40+'Asotin Pgs 10-11'!H40+'Benton-Franklin Pgs 12-13'!H40+'Chelan-Douglas Pgs 14-15'!H40+'Clallam Pgs 16-17'!H40+'Clark Pgs 18-19'!H40+'Columbia Pgs 20-21'!H40+'Cowlitz Pgs 22-23'!H40+'Garfield Pgs 24-25'!H40+'Grant Pgs 26-27'!H40+'Grays Harbor Pgs 28-29'!H40+'Island Pgs 30-31'!H40+'Jefferson Pgs 32-33'!H40+'Kitsap Pgs 34-35'!H40+'Kittitas Pgs 36-37'!H40+'Klickitat Pgs 38-39'!H40+'Lewis Pgs 40-41'!H40+'Lincoln Pgs 42-43'!H40+'Mason Pgs 44-45'!H40+'Northeast Tri Pgs 46-47'!H40+'Okanogan Pgs 48-49'!H40+'Pacific Pgs 50-51'!H40+'San Juan Pgs 52-53'!H40+'Skagit Pgs 56-57'!H40+'Skamania Pgs 58-59'!H40+'Snohomish Pgs 60-61'!H40+'Spokane Pgs 62-63'!H40+'Tacoma-Pierce Pgs 64-65'!H40+'Thurston Pgs 66-67'!H40+'Wahkiakum Pgs 68-69'!H40+'Walla Walla Pgs 70-71'!H40+'Whatcom Pgs 72-73'!H40+'Whitman Pgs 74-75'!H40+'Yakima Pgs 76-77'!H40+'Seattle-King Pgs 54-55'!H40</f>
        <v>530803</v>
      </c>
      <c r="I40" s="102">
        <f>'Adams Pgs 8-9'!I40+'Asotin Pgs 10-11'!I40+'Benton-Franklin Pgs 12-13'!I40+'Chelan-Douglas Pgs 14-15'!I40+'Clallam Pgs 16-17'!I40+'Clark Pgs 18-19'!I40+'Columbia Pgs 20-21'!I40+'Cowlitz Pgs 22-23'!I40+'Garfield Pgs 24-25'!I40+'Grant Pgs 26-27'!I40+'Grays Harbor Pgs 28-29'!I40+'Island Pgs 30-31'!I40+'Jefferson Pgs 32-33'!I40+'Kitsap Pgs 34-35'!I40+'Kittitas Pgs 36-37'!I40+'Klickitat Pgs 38-39'!I40+'Lewis Pgs 40-41'!I40+'Lincoln Pgs 42-43'!I40+'Mason Pgs 44-45'!I40+'Northeast Tri Pgs 46-47'!I40+'Okanogan Pgs 48-49'!I40+'Pacific Pgs 50-51'!I40+'San Juan Pgs 52-53'!I40+'Snohomish Pgs 60-61'!I40+'Spokane Pgs 62-63'!I40+'Tacoma-Pierce Pgs 64-65'!I40+'Thurston Pgs 66-67'!I40+'Wahkiakum Pgs 68-69'!I40+'Walla Walla Pgs 70-71'!I40+'Whatcom Pgs 72-73'!I40+'Whitman Pgs 74-75'!I40+'Yakima Pgs 76-77'!I40+'Seattle-King Pgs 54-55'!I40+'Skagit Pgs 56-57'!I40+'Skamania Pgs 58-59'!I40</f>
        <v>109648</v>
      </c>
      <c r="J40" s="104">
        <f>'Adams Pgs 8-9'!J40+'Asotin Pgs 10-11'!J40+'Benton-Franklin Pgs 12-13'!J40+'Chelan-Douglas Pgs 14-15'!J40+'Clallam Pgs 16-17'!J40+'Clark Pgs 18-19'!J40+'Columbia Pgs 20-21'!J40+'Cowlitz Pgs 22-23'!J40+'Garfield Pgs 24-25'!J40+'Grant Pgs 26-27'!J40+'Grays Harbor Pgs 28-29'!J40+'Island Pgs 30-31'!J40+'Jefferson Pgs 32-33'!J40+'Kitsap Pgs 34-35'!J40+'Kittitas Pgs 36-37'!J40+'Klickitat Pgs 38-39'!J40+'Lewis Pgs 40-41'!J40+'Lincoln Pgs 42-43'!J40+'Mason Pgs 44-45'!J40+'Northeast Tri Pgs 46-47'!J40+'Okanogan Pgs 48-49'!J40+'Pacific Pgs 50-51'!J40+'San Juan Pgs 52-53'!J40+'Skagit Pgs 56-57'!J40+'Skamania Pgs 58-59'!J40+'Snohomish Pgs 60-61'!J40+'Spokane Pgs 62-63'!J40+'Tacoma-Pierce Pgs 64-65'!J40+'Thurston Pgs 66-67'!J40+'Wahkiakum Pgs 68-69'!J40+'Walla Walla Pgs 70-71'!J40+'Whatcom Pgs 72-73'!J40+'Whitman Pgs 74-75'!J40+'Yakima Pgs 76-77'!J40+'Seattle-King Pgs 54-55'!J40</f>
        <v>567997</v>
      </c>
      <c r="K40" s="129">
        <f t="shared" si="0"/>
        <v>7091996</v>
      </c>
      <c r="L40"/>
    </row>
    <row r="41" spans="1:12" x14ac:dyDescent="0.35">
      <c r="A41" s="79">
        <v>562.88</v>
      </c>
      <c r="B41" s="28" t="s">
        <v>51</v>
      </c>
      <c r="C41" s="103">
        <f>'Adams Pgs 8-9'!C41+'Asotin Pgs 10-11'!C41+'Benton-Franklin Pgs 12-13'!C41+'Chelan-Douglas Pgs 14-15'!C41+'Clallam Pgs 16-17'!C41+'Clark Pgs 18-19'!C41+'Columbia Pgs 20-21'!C41+'Cowlitz Pgs 22-23'!C41+'Garfield Pgs 24-25'!C41+'Grant Pgs 26-27'!C41+'Grays Harbor Pgs 28-29'!C41+'Island Pgs 30-31'!C41+'Jefferson Pgs 32-33'!C41+'Kitsap Pgs 34-35'!C41+'Kittitas Pgs 36-37'!C41+'Klickitat Pgs 38-39'!C41+'Lewis Pgs 40-41'!C41+'Lincoln Pgs 42-43'!C41+'Mason Pgs 44-45'!C41+'Northeast Tri Pgs 46-47'!C41+'Okanogan Pgs 48-49'!C41+'Pacific Pgs 50-51'!C41+'San Juan Pgs 52-53'!C41+'Skagit Pgs 56-57'!C41+'Skamania Pgs 58-59'!C41+'Snohomish Pgs 60-61'!C41+'Spokane Pgs 62-63'!C41+'Tacoma-Pierce Pgs 64-65'!C41+'Thurston Pgs 66-67'!C41+'Wahkiakum Pgs 68-69'!C41+'Walla Walla Pgs 70-71'!C41+'Whatcom Pgs 72-73'!C41+'Whitman Pgs 74-75'!C41+'Yakima Pgs 76-77'!C41+'Seattle-King Pgs 54-55'!C41</f>
        <v>117902</v>
      </c>
      <c r="D41" s="102">
        <f>'Adams Pgs 8-9'!D41+'Asotin Pgs 10-11'!D41+'Benton-Franklin Pgs 12-13'!D41+'Chelan-Douglas Pgs 14-15'!D41+'Clallam Pgs 16-17'!D41+'Clark Pgs 18-19'!D41+'Columbia Pgs 20-21'!D41+'Cowlitz Pgs 22-23'!D41+'Garfield Pgs 24-25'!D41+'Grant Pgs 26-27'!D41+'Grays Harbor Pgs 28-29'!D41+'Island Pgs 30-31'!D41+'Jefferson Pgs 32-33'!D41+'Kitsap Pgs 34-35'!D41+'Kittitas Pgs 36-37'!D41+'Klickitat Pgs 38-39'!D41+'Lewis Pgs 40-41'!D41+'Lincoln Pgs 42-43'!D41+'Mason Pgs 44-45'!D41+'Northeast Tri Pgs 46-47'!D41+'Okanogan Pgs 48-49'!D41+'Pacific Pgs 50-51'!D41+'San Juan Pgs 52-53'!D41+'Skagit Pgs 56-57'!D41+'Skamania Pgs 58-59'!D41+'Snohomish Pgs 60-61'!D41+'Spokane Pgs 62-63'!D41+'Tacoma-Pierce Pgs 64-65'!D41+'Thurston Pgs 66-67'!D41+'Wahkiakum Pgs 68-69'!D41+'Walla Walla Pgs 70-71'!D41+'Whatcom Pgs 72-73'!D41+'Whitman Pgs 74-75'!D41+'Yakima Pgs 76-77'!D41+'Seattle-King Pgs 54-55'!D41</f>
        <v>37099</v>
      </c>
      <c r="E41" s="100">
        <f>'Adams Pgs 8-9'!E41+'Asotin Pgs 10-11'!E41+'Benton-Franklin Pgs 12-13'!E41+'Chelan-Douglas Pgs 14-15'!E41+'Clallam Pgs 16-17'!E41+'Clark Pgs 18-19'!E41+'Columbia Pgs 20-21'!E41+'Cowlitz Pgs 22-23'!E41+'Garfield Pgs 24-25'!E41+'Grant Pgs 26-27'!E41+'Grays Harbor Pgs 28-29'!E41+'Island Pgs 30-31'!E41+'Jefferson Pgs 32-33'!E41+'Kitsap Pgs 34-35'!E41+'Kittitas Pgs 36-37'!E41+'Klickitat Pgs 38-39'!E41+'Lewis Pgs 40-41'!E41+'Lincoln Pgs 42-43'!E41+'Mason Pgs 44-45'!E41+'Northeast Tri Pgs 46-47'!E41+'Okanogan Pgs 48-49'!E41+'Pacific Pgs 50-51'!E41+'San Juan Pgs 52-53'!E41+'Skagit Pgs 56-57'!E41+'Skamania Pgs 58-59'!E41+'Snohomish Pgs 60-61'!E41+'Spokane Pgs 62-63'!E41+'Tacoma-Pierce Pgs 64-65'!E41+'Thurston Pgs 66-67'!E41+'Wahkiakum Pgs 68-69'!E41+'Walla Walla Pgs 70-71'!E41+'Whatcom Pgs 72-73'!E41+'Whitman Pgs 74-75'!E41+'Yakima Pgs 76-77'!E41+'Seattle-King Pgs 54-55'!E41</f>
        <v>0</v>
      </c>
      <c r="F41" s="101">
        <f>'Adams Pgs 8-9'!F41+'Asotin Pgs 10-11'!F41+'Benton-Franklin Pgs 12-13'!F41+'Chelan-Douglas Pgs 14-15'!F41+'Clallam Pgs 16-17'!F41+'Clark Pgs 18-19'!F41+'Columbia Pgs 20-21'!F41+'Cowlitz Pgs 22-23'!F41+'Garfield Pgs 24-25'!F41+'Grant Pgs 26-27'!F41+'Grays Harbor Pgs 28-29'!F41+'Island Pgs 30-31'!F41+'Jefferson Pgs 32-33'!F41+'Kitsap Pgs 34-35'!F41+'Kittitas Pgs 36-37'!F41+'Klickitat Pgs 38-39'!F41+'Lewis Pgs 40-41'!F41+'Lincoln Pgs 42-43'!F41+'Mason Pgs 44-45'!F41+'Northeast Tri Pgs 46-47'!F41+'Okanogan Pgs 48-49'!F41+'Pacific Pgs 50-51'!F41+'San Juan Pgs 52-53'!F41+'Skagit Pgs 56-57'!F41+'Skamania Pgs 58-59'!F41+'Snohomish Pgs 60-61'!F41+'Spokane Pgs 62-63'!F41+'Tacoma-Pierce Pgs 64-65'!F41+'Thurston Pgs 66-67'!F41+'Wahkiakum Pgs 68-69'!F41+'Walla Walla Pgs 70-71'!F41+'Whatcom Pgs 72-73'!F41+'Whitman Pgs 74-75'!F41+'Yakima Pgs 76-77'!F41+'Seattle-King Pgs 54-55'!F41</f>
        <v>91173</v>
      </c>
      <c r="G41" s="102">
        <f>'Adams Pgs 8-9'!G41+'Asotin Pgs 10-11'!G41+'Benton-Franklin Pgs 12-13'!G41+'Chelan-Douglas Pgs 14-15'!G41+'Clallam Pgs 16-17'!G41+'Clark Pgs 18-19'!G41+'Columbia Pgs 20-21'!G41+'Cowlitz Pgs 22-23'!G41+'Garfield Pgs 24-25'!G41+'Grant Pgs 26-27'!G41+'Grays Harbor Pgs 28-29'!G41+'Island Pgs 30-31'!G41+'Jefferson Pgs 32-33'!G41+'Kitsap Pgs 34-35'!G41+'Kittitas Pgs 36-37'!G41+'Klickitat Pgs 38-39'!G41+'Lewis Pgs 40-41'!G41+'Lincoln Pgs 42-43'!G41+'Mason Pgs 44-45'!G41+'Northeast Tri Pgs 46-47'!G41+'Okanogan Pgs 48-49'!G41+'Pacific Pgs 50-51'!G41+'San Juan Pgs 52-53'!G41+'Skagit Pgs 56-57'!G41+'Skamania Pgs 58-59'!G41+'Snohomish Pgs 60-61'!G41+'Spokane Pgs 62-63'!G41+'Tacoma-Pierce Pgs 64-65'!G41+'Thurston Pgs 66-67'!G41+'Wahkiakum Pgs 68-69'!G41+'Walla Walla Pgs 70-71'!G41+'Whatcom Pgs 72-73'!G41+'Whitman Pgs 74-75'!G41+'Yakima Pgs 76-77'!G41+'Seattle-King Pgs 54-55'!G41</f>
        <v>0</v>
      </c>
      <c r="H41" s="100">
        <f>'Adams Pgs 8-9'!H41+'Asotin Pgs 10-11'!H41+'Benton-Franklin Pgs 12-13'!H41+'Chelan-Douglas Pgs 14-15'!H41+'Clallam Pgs 16-17'!H41+'Clark Pgs 18-19'!H41+'Columbia Pgs 20-21'!H41+'Cowlitz Pgs 22-23'!H41+'Garfield Pgs 24-25'!H41+'Grant Pgs 26-27'!H41+'Grays Harbor Pgs 28-29'!H41+'Island Pgs 30-31'!H41+'Jefferson Pgs 32-33'!H41+'Kitsap Pgs 34-35'!H41+'Kittitas Pgs 36-37'!H41+'Klickitat Pgs 38-39'!H41+'Lewis Pgs 40-41'!H41+'Lincoln Pgs 42-43'!H41+'Mason Pgs 44-45'!H41+'Northeast Tri Pgs 46-47'!H41+'Okanogan Pgs 48-49'!H41+'Pacific Pgs 50-51'!H41+'San Juan Pgs 52-53'!H41+'Skagit Pgs 56-57'!H41+'Skamania Pgs 58-59'!H41+'Snohomish Pgs 60-61'!H41+'Spokane Pgs 62-63'!H41+'Tacoma-Pierce Pgs 64-65'!H41+'Thurston Pgs 66-67'!H41+'Wahkiakum Pgs 68-69'!H41+'Walla Walla Pgs 70-71'!H41+'Whatcom Pgs 72-73'!H41+'Whitman Pgs 74-75'!H41+'Yakima Pgs 76-77'!H41+'Seattle-King Pgs 54-55'!H41</f>
        <v>7659236</v>
      </c>
      <c r="I41" s="102">
        <f>'Adams Pgs 8-9'!I41+'Asotin Pgs 10-11'!I41+'Benton-Franklin Pgs 12-13'!I41+'Chelan-Douglas Pgs 14-15'!I41+'Clallam Pgs 16-17'!I41+'Clark Pgs 18-19'!I41+'Columbia Pgs 20-21'!I41+'Cowlitz Pgs 22-23'!I41+'Garfield Pgs 24-25'!I41+'Grant Pgs 26-27'!I41+'Grays Harbor Pgs 28-29'!I41+'Island Pgs 30-31'!I41+'Jefferson Pgs 32-33'!I41+'Kitsap Pgs 34-35'!I41+'Kittitas Pgs 36-37'!I41+'Klickitat Pgs 38-39'!I41+'Lewis Pgs 40-41'!I41+'Lincoln Pgs 42-43'!I41+'Mason Pgs 44-45'!I41+'Northeast Tri Pgs 46-47'!I41+'Okanogan Pgs 48-49'!I41+'Pacific Pgs 50-51'!I41+'San Juan Pgs 52-53'!I41+'Snohomish Pgs 60-61'!I41+'Spokane Pgs 62-63'!I41+'Tacoma-Pierce Pgs 64-65'!I41+'Thurston Pgs 66-67'!I41+'Wahkiakum Pgs 68-69'!I41+'Walla Walla Pgs 70-71'!I41+'Whatcom Pgs 72-73'!I41+'Whitman Pgs 74-75'!I41+'Yakima Pgs 76-77'!I41+'Seattle-King Pgs 54-55'!I41+'Skagit Pgs 56-57'!I41+'Skamania Pgs 58-59'!I41</f>
        <v>122849</v>
      </c>
      <c r="J41" s="104">
        <f>'Adams Pgs 8-9'!J41+'Asotin Pgs 10-11'!J41+'Benton-Franklin Pgs 12-13'!J41+'Chelan-Douglas Pgs 14-15'!J41+'Clallam Pgs 16-17'!J41+'Clark Pgs 18-19'!J41+'Columbia Pgs 20-21'!J41+'Cowlitz Pgs 22-23'!J41+'Garfield Pgs 24-25'!J41+'Grant Pgs 26-27'!J41+'Grays Harbor Pgs 28-29'!J41+'Island Pgs 30-31'!J41+'Jefferson Pgs 32-33'!J41+'Kitsap Pgs 34-35'!J41+'Kittitas Pgs 36-37'!J41+'Klickitat Pgs 38-39'!J41+'Lewis Pgs 40-41'!J41+'Lincoln Pgs 42-43'!J41+'Mason Pgs 44-45'!J41+'Northeast Tri Pgs 46-47'!J41+'Okanogan Pgs 48-49'!J41+'Pacific Pgs 50-51'!J41+'San Juan Pgs 52-53'!J41+'Skagit Pgs 56-57'!J41+'Skamania Pgs 58-59'!J41+'Snohomish Pgs 60-61'!J41+'Spokane Pgs 62-63'!J41+'Tacoma-Pierce Pgs 64-65'!J41+'Thurston Pgs 66-67'!J41+'Wahkiakum Pgs 68-69'!J41+'Walla Walla Pgs 70-71'!J41+'Whatcom Pgs 72-73'!J41+'Whitman Pgs 74-75'!J41+'Yakima Pgs 76-77'!J41+'Seattle-King Pgs 54-55'!J41</f>
        <v>55427</v>
      </c>
      <c r="K41" s="129">
        <f t="shared" si="0"/>
        <v>8083686</v>
      </c>
      <c r="L41"/>
    </row>
    <row r="42" spans="1:12" x14ac:dyDescent="0.35">
      <c r="A42" s="79">
        <v>562.9</v>
      </c>
      <c r="B42" s="16" t="s">
        <v>28</v>
      </c>
      <c r="C42" s="103">
        <f>'Adams Pgs 8-9'!C42+'Asotin Pgs 10-11'!C42+'Benton-Franklin Pgs 12-13'!C42+'Chelan-Douglas Pgs 14-15'!C42+'Clallam Pgs 16-17'!C42+'Clark Pgs 18-19'!C42+'Columbia Pgs 20-21'!C42+'Cowlitz Pgs 22-23'!C42+'Garfield Pgs 24-25'!C42+'Grant Pgs 26-27'!C42+'Grays Harbor Pgs 28-29'!C42+'Island Pgs 30-31'!C42+'Jefferson Pgs 32-33'!C42+'Kitsap Pgs 34-35'!C42+'Kittitas Pgs 36-37'!C42+'Klickitat Pgs 38-39'!C42+'Lewis Pgs 40-41'!C42+'Lincoln Pgs 42-43'!C42+'Mason Pgs 44-45'!C42+'Northeast Tri Pgs 46-47'!C42+'Okanogan Pgs 48-49'!C42+'Pacific Pgs 50-51'!C42+'San Juan Pgs 52-53'!C42+'Skagit Pgs 56-57'!C42+'Skamania Pgs 58-59'!C42+'Snohomish Pgs 60-61'!C42+'Spokane Pgs 62-63'!C42+'Tacoma-Pierce Pgs 64-65'!C42+'Thurston Pgs 66-67'!C42+'Wahkiakum Pgs 68-69'!C42+'Walla Walla Pgs 70-71'!C42+'Whatcom Pgs 72-73'!C42+'Whitman Pgs 74-75'!C42+'Yakima Pgs 76-77'!C42+'Seattle-King Pgs 54-55'!C42</f>
        <v>1703743</v>
      </c>
      <c r="D42" s="102">
        <f>'Adams Pgs 8-9'!D42+'Asotin Pgs 10-11'!D42+'Benton-Franklin Pgs 12-13'!D42+'Chelan-Douglas Pgs 14-15'!D42+'Clallam Pgs 16-17'!D42+'Clark Pgs 18-19'!D42+'Columbia Pgs 20-21'!D42+'Cowlitz Pgs 22-23'!D42+'Garfield Pgs 24-25'!D42+'Grant Pgs 26-27'!D42+'Grays Harbor Pgs 28-29'!D42+'Island Pgs 30-31'!D42+'Jefferson Pgs 32-33'!D42+'Kitsap Pgs 34-35'!D42+'Kittitas Pgs 36-37'!D42+'Klickitat Pgs 38-39'!D42+'Lewis Pgs 40-41'!D42+'Lincoln Pgs 42-43'!D42+'Mason Pgs 44-45'!D42+'Northeast Tri Pgs 46-47'!D42+'Okanogan Pgs 48-49'!D42+'Pacific Pgs 50-51'!D42+'San Juan Pgs 52-53'!D42+'Skagit Pgs 56-57'!D42+'Skamania Pgs 58-59'!D42+'Snohomish Pgs 60-61'!D42+'Spokane Pgs 62-63'!D42+'Tacoma-Pierce Pgs 64-65'!D42+'Thurston Pgs 66-67'!D42+'Wahkiakum Pgs 68-69'!D42+'Walla Walla Pgs 70-71'!D42+'Whatcom Pgs 72-73'!D42+'Whitman Pgs 74-75'!D42+'Yakima Pgs 76-77'!D42+'Seattle-King Pgs 54-55'!D42</f>
        <v>266698</v>
      </c>
      <c r="E42" s="100">
        <f>'Adams Pgs 8-9'!E42+'Asotin Pgs 10-11'!E42+'Benton-Franklin Pgs 12-13'!E42+'Chelan-Douglas Pgs 14-15'!E42+'Clallam Pgs 16-17'!E42+'Clark Pgs 18-19'!E42+'Columbia Pgs 20-21'!E42+'Cowlitz Pgs 22-23'!E42+'Garfield Pgs 24-25'!E42+'Grant Pgs 26-27'!E42+'Grays Harbor Pgs 28-29'!E42+'Island Pgs 30-31'!E42+'Jefferson Pgs 32-33'!E42+'Kitsap Pgs 34-35'!E42+'Kittitas Pgs 36-37'!E42+'Klickitat Pgs 38-39'!E42+'Lewis Pgs 40-41'!E42+'Lincoln Pgs 42-43'!E42+'Mason Pgs 44-45'!E42+'Northeast Tri Pgs 46-47'!E42+'Okanogan Pgs 48-49'!E42+'Pacific Pgs 50-51'!E42+'San Juan Pgs 52-53'!E42+'Skagit Pgs 56-57'!E42+'Skamania Pgs 58-59'!E42+'Snohomish Pgs 60-61'!E42+'Spokane Pgs 62-63'!E42+'Tacoma-Pierce Pgs 64-65'!E42+'Thurston Pgs 66-67'!E42+'Wahkiakum Pgs 68-69'!E42+'Walla Walla Pgs 70-71'!E42+'Whatcom Pgs 72-73'!E42+'Whitman Pgs 74-75'!E42+'Yakima Pgs 76-77'!E42+'Seattle-King Pgs 54-55'!E42</f>
        <v>0</v>
      </c>
      <c r="F42" s="101">
        <f>'Adams Pgs 8-9'!F42+'Asotin Pgs 10-11'!F42+'Benton-Franklin Pgs 12-13'!F42+'Chelan-Douglas Pgs 14-15'!F42+'Clallam Pgs 16-17'!F42+'Clark Pgs 18-19'!F42+'Columbia Pgs 20-21'!F42+'Cowlitz Pgs 22-23'!F42+'Garfield Pgs 24-25'!F42+'Grant Pgs 26-27'!F42+'Grays Harbor Pgs 28-29'!F42+'Island Pgs 30-31'!F42+'Jefferson Pgs 32-33'!F42+'Kitsap Pgs 34-35'!F42+'Kittitas Pgs 36-37'!F42+'Klickitat Pgs 38-39'!F42+'Lewis Pgs 40-41'!F42+'Lincoln Pgs 42-43'!F42+'Mason Pgs 44-45'!F42+'Northeast Tri Pgs 46-47'!F42+'Okanogan Pgs 48-49'!F42+'Pacific Pgs 50-51'!F42+'San Juan Pgs 52-53'!F42+'Skagit Pgs 56-57'!F42+'Skamania Pgs 58-59'!F42+'Snohomish Pgs 60-61'!F42+'Spokane Pgs 62-63'!F42+'Tacoma-Pierce Pgs 64-65'!F42+'Thurston Pgs 66-67'!F42+'Wahkiakum Pgs 68-69'!F42+'Walla Walla Pgs 70-71'!F42+'Whatcom Pgs 72-73'!F42+'Whitman Pgs 74-75'!F42+'Yakima Pgs 76-77'!F42+'Seattle-King Pgs 54-55'!F42</f>
        <v>215325</v>
      </c>
      <c r="G42" s="102">
        <f>'Adams Pgs 8-9'!G42+'Asotin Pgs 10-11'!G42+'Benton-Franklin Pgs 12-13'!G42+'Chelan-Douglas Pgs 14-15'!G42+'Clallam Pgs 16-17'!G42+'Clark Pgs 18-19'!G42+'Columbia Pgs 20-21'!G42+'Cowlitz Pgs 22-23'!G42+'Garfield Pgs 24-25'!G42+'Grant Pgs 26-27'!G42+'Grays Harbor Pgs 28-29'!G42+'Island Pgs 30-31'!G42+'Jefferson Pgs 32-33'!G42+'Kitsap Pgs 34-35'!G42+'Kittitas Pgs 36-37'!G42+'Klickitat Pgs 38-39'!G42+'Lewis Pgs 40-41'!G42+'Lincoln Pgs 42-43'!G42+'Mason Pgs 44-45'!G42+'Northeast Tri Pgs 46-47'!G42+'Okanogan Pgs 48-49'!G42+'Pacific Pgs 50-51'!G42+'San Juan Pgs 52-53'!G42+'Skagit Pgs 56-57'!G42+'Skamania Pgs 58-59'!G42+'Snohomish Pgs 60-61'!G42+'Spokane Pgs 62-63'!G42+'Tacoma-Pierce Pgs 64-65'!G42+'Thurston Pgs 66-67'!G42+'Wahkiakum Pgs 68-69'!G42+'Walla Walla Pgs 70-71'!G42+'Whatcom Pgs 72-73'!G42+'Whitman Pgs 74-75'!G42+'Yakima Pgs 76-77'!G42+'Seattle-King Pgs 54-55'!G42</f>
        <v>10847</v>
      </c>
      <c r="H42" s="100">
        <f>'Adams Pgs 8-9'!H42+'Asotin Pgs 10-11'!H42+'Benton-Franklin Pgs 12-13'!H42+'Chelan-Douglas Pgs 14-15'!H42+'Clallam Pgs 16-17'!H42+'Clark Pgs 18-19'!H42+'Columbia Pgs 20-21'!H42+'Cowlitz Pgs 22-23'!H42+'Garfield Pgs 24-25'!H42+'Grant Pgs 26-27'!H42+'Grays Harbor Pgs 28-29'!H42+'Island Pgs 30-31'!H42+'Jefferson Pgs 32-33'!H42+'Kitsap Pgs 34-35'!H42+'Kittitas Pgs 36-37'!H42+'Klickitat Pgs 38-39'!H42+'Lewis Pgs 40-41'!H42+'Lincoln Pgs 42-43'!H42+'Mason Pgs 44-45'!H42+'Northeast Tri Pgs 46-47'!H42+'Okanogan Pgs 48-49'!H42+'Pacific Pgs 50-51'!H42+'San Juan Pgs 52-53'!H42+'Skagit Pgs 56-57'!H42+'Skamania Pgs 58-59'!H42+'Snohomish Pgs 60-61'!H42+'Spokane Pgs 62-63'!H42+'Tacoma-Pierce Pgs 64-65'!H42+'Thurston Pgs 66-67'!H42+'Wahkiakum Pgs 68-69'!H42+'Walla Walla Pgs 70-71'!H42+'Whatcom Pgs 72-73'!H42+'Whitman Pgs 74-75'!H42+'Yakima Pgs 76-77'!H42+'Seattle-King Pgs 54-55'!H42</f>
        <v>41557</v>
      </c>
      <c r="I42" s="102">
        <f>'Adams Pgs 8-9'!I42+'Asotin Pgs 10-11'!I42+'Benton-Franklin Pgs 12-13'!I42+'Chelan-Douglas Pgs 14-15'!I42+'Clallam Pgs 16-17'!I42+'Clark Pgs 18-19'!I42+'Columbia Pgs 20-21'!I42+'Cowlitz Pgs 22-23'!I42+'Garfield Pgs 24-25'!I42+'Grant Pgs 26-27'!I42+'Grays Harbor Pgs 28-29'!I42+'Island Pgs 30-31'!I42+'Jefferson Pgs 32-33'!I42+'Kitsap Pgs 34-35'!I42+'Kittitas Pgs 36-37'!I42+'Klickitat Pgs 38-39'!I42+'Lewis Pgs 40-41'!I42+'Lincoln Pgs 42-43'!I42+'Mason Pgs 44-45'!I42+'Northeast Tri Pgs 46-47'!I42+'Okanogan Pgs 48-49'!I42+'Pacific Pgs 50-51'!I42+'San Juan Pgs 52-53'!I42+'Snohomish Pgs 60-61'!I42+'Spokane Pgs 62-63'!I42+'Tacoma-Pierce Pgs 64-65'!I42+'Thurston Pgs 66-67'!I42+'Wahkiakum Pgs 68-69'!I42+'Walla Walla Pgs 70-71'!I42+'Whatcom Pgs 72-73'!I42+'Whitman Pgs 74-75'!I42+'Yakima Pgs 76-77'!I42+'Seattle-King Pgs 54-55'!I42+'Skagit Pgs 56-57'!I42+'Skamania Pgs 58-59'!I42</f>
        <v>553231</v>
      </c>
      <c r="J42" s="104">
        <f>'Adams Pgs 8-9'!J42+'Asotin Pgs 10-11'!J42+'Benton-Franklin Pgs 12-13'!J42+'Chelan-Douglas Pgs 14-15'!J42+'Clallam Pgs 16-17'!J42+'Clark Pgs 18-19'!J42+'Columbia Pgs 20-21'!J42+'Cowlitz Pgs 22-23'!J42+'Garfield Pgs 24-25'!J42+'Grant Pgs 26-27'!J42+'Grays Harbor Pgs 28-29'!J42+'Island Pgs 30-31'!J42+'Jefferson Pgs 32-33'!J42+'Kitsap Pgs 34-35'!J42+'Kittitas Pgs 36-37'!J42+'Klickitat Pgs 38-39'!J42+'Lewis Pgs 40-41'!J42+'Lincoln Pgs 42-43'!J42+'Mason Pgs 44-45'!J42+'Northeast Tri Pgs 46-47'!J42+'Okanogan Pgs 48-49'!J42+'Pacific Pgs 50-51'!J42+'San Juan Pgs 52-53'!J42+'Skagit Pgs 56-57'!J42+'Skamania Pgs 58-59'!J42+'Snohomish Pgs 60-61'!J42+'Spokane Pgs 62-63'!J42+'Tacoma-Pierce Pgs 64-65'!J42+'Thurston Pgs 66-67'!J42+'Wahkiakum Pgs 68-69'!J42+'Walla Walla Pgs 70-71'!J42+'Whatcom Pgs 72-73'!J42+'Whitman Pgs 74-75'!J42+'Yakima Pgs 76-77'!J42+'Seattle-King Pgs 54-55'!J42</f>
        <v>314649</v>
      </c>
      <c r="K42" s="129">
        <f t="shared" si="0"/>
        <v>3106050</v>
      </c>
      <c r="L42"/>
    </row>
    <row r="43" spans="1:12" x14ac:dyDescent="0.35">
      <c r="A43" s="136">
        <v>562.99</v>
      </c>
      <c r="B43" s="14" t="s">
        <v>29</v>
      </c>
      <c r="C43" s="103">
        <f>'Adams Pgs 8-9'!C43+'Asotin Pgs 10-11'!C43+'Benton-Franklin Pgs 12-13'!C43+'Chelan-Douglas Pgs 14-15'!C43+'Clallam Pgs 16-17'!C43+'Clark Pgs 18-19'!C43+'Columbia Pgs 20-21'!C43+'Cowlitz Pgs 22-23'!C43+'Garfield Pgs 24-25'!C43+'Grant Pgs 26-27'!C43+'Grays Harbor Pgs 28-29'!C43+'Island Pgs 30-31'!C43+'Jefferson Pgs 32-33'!C43+'Kitsap Pgs 34-35'!C43+'Kittitas Pgs 36-37'!C43+'Klickitat Pgs 38-39'!C43+'Lewis Pgs 40-41'!C43+'Lincoln Pgs 42-43'!C43+'Mason Pgs 44-45'!C43+'Northeast Tri Pgs 46-47'!C43+'Okanogan Pgs 48-49'!C43+'Pacific Pgs 50-51'!C43+'San Juan Pgs 52-53'!C43+'Skagit Pgs 56-57'!C43+'Skamania Pgs 58-59'!C43+'Snohomish Pgs 60-61'!C43+'Spokane Pgs 62-63'!C43+'Tacoma-Pierce Pgs 64-65'!C43+'Thurston Pgs 66-67'!C43+'Wahkiakum Pgs 68-69'!C43+'Walla Walla Pgs 70-71'!C43+'Whatcom Pgs 72-73'!C43+'Whitman Pgs 74-75'!C43+'Yakima Pgs 76-77'!C43+'Seattle-King Pgs 54-55'!C43</f>
        <v>20223</v>
      </c>
      <c r="D43" s="102">
        <f>'Adams Pgs 8-9'!D43+'Asotin Pgs 10-11'!D43+'Benton-Franklin Pgs 12-13'!D43+'Chelan-Douglas Pgs 14-15'!D43+'Clallam Pgs 16-17'!D43+'Clark Pgs 18-19'!D43+'Columbia Pgs 20-21'!D43+'Cowlitz Pgs 22-23'!D43+'Garfield Pgs 24-25'!D43+'Grant Pgs 26-27'!D43+'Grays Harbor Pgs 28-29'!D43+'Island Pgs 30-31'!D43+'Jefferson Pgs 32-33'!D43+'Kitsap Pgs 34-35'!D43+'Kittitas Pgs 36-37'!D43+'Klickitat Pgs 38-39'!D43+'Lewis Pgs 40-41'!D43+'Lincoln Pgs 42-43'!D43+'Mason Pgs 44-45'!D43+'Northeast Tri Pgs 46-47'!D43+'Okanogan Pgs 48-49'!D43+'Pacific Pgs 50-51'!D43+'San Juan Pgs 52-53'!D43+'Skagit Pgs 56-57'!D43+'Skamania Pgs 58-59'!D43+'Snohomish Pgs 60-61'!D43+'Spokane Pgs 62-63'!D43+'Tacoma-Pierce Pgs 64-65'!D43+'Thurston Pgs 66-67'!D43+'Wahkiakum Pgs 68-69'!D43+'Walla Walla Pgs 70-71'!D43+'Whatcom Pgs 72-73'!D43+'Whitman Pgs 74-75'!D43+'Yakima Pgs 76-77'!D43+'Seattle-King Pgs 54-55'!D43</f>
        <v>0</v>
      </c>
      <c r="E43" s="107">
        <f>'Adams Pgs 8-9'!E43+'Asotin Pgs 10-11'!E43+'Benton-Franklin Pgs 12-13'!E43+'Chelan-Douglas Pgs 14-15'!E43+'Clallam Pgs 16-17'!E43+'Clark Pgs 18-19'!E43+'Columbia Pgs 20-21'!E43+'Cowlitz Pgs 22-23'!E43+'Garfield Pgs 24-25'!E43+'Grant Pgs 26-27'!E43+'Grays Harbor Pgs 28-29'!E43+'Island Pgs 30-31'!E43+'Jefferson Pgs 32-33'!E43+'Kitsap Pgs 34-35'!E43+'Kittitas Pgs 36-37'!E43+'Klickitat Pgs 38-39'!E43+'Lewis Pgs 40-41'!E43+'Lincoln Pgs 42-43'!E43+'Mason Pgs 44-45'!E43+'Northeast Tri Pgs 46-47'!E43+'Okanogan Pgs 48-49'!E43+'Pacific Pgs 50-51'!E43+'San Juan Pgs 52-53'!E43+'Skagit Pgs 56-57'!E43+'Skamania Pgs 58-59'!E43+'Snohomish Pgs 60-61'!E43+'Spokane Pgs 62-63'!E43+'Tacoma-Pierce Pgs 64-65'!E43+'Thurston Pgs 66-67'!E43+'Wahkiakum Pgs 68-69'!E43+'Walla Walla Pgs 70-71'!E43+'Whatcom Pgs 72-73'!E43+'Whitman Pgs 74-75'!E43+'Yakima Pgs 76-77'!E43+'Seattle-King Pgs 54-55'!E43</f>
        <v>0</v>
      </c>
      <c r="F43" s="108">
        <f>'Adams Pgs 8-9'!F43+'Asotin Pgs 10-11'!F43+'Benton-Franklin Pgs 12-13'!F43+'Chelan-Douglas Pgs 14-15'!F43+'Clallam Pgs 16-17'!F43+'Clark Pgs 18-19'!F43+'Columbia Pgs 20-21'!F43+'Cowlitz Pgs 22-23'!F43+'Garfield Pgs 24-25'!F43+'Grant Pgs 26-27'!F43+'Grays Harbor Pgs 28-29'!F43+'Island Pgs 30-31'!F43+'Jefferson Pgs 32-33'!F43+'Kitsap Pgs 34-35'!F43+'Kittitas Pgs 36-37'!F43+'Klickitat Pgs 38-39'!F43+'Lewis Pgs 40-41'!F43+'Lincoln Pgs 42-43'!F43+'Mason Pgs 44-45'!F43+'Northeast Tri Pgs 46-47'!F43+'Okanogan Pgs 48-49'!F43+'Pacific Pgs 50-51'!F43+'San Juan Pgs 52-53'!F43+'Skagit Pgs 56-57'!F43+'Skamania Pgs 58-59'!F43+'Snohomish Pgs 60-61'!F43+'Spokane Pgs 62-63'!F43+'Tacoma-Pierce Pgs 64-65'!F43+'Thurston Pgs 66-67'!F43+'Wahkiakum Pgs 68-69'!F43+'Walla Walla Pgs 70-71'!F43+'Whatcom Pgs 72-73'!F43+'Whitman Pgs 74-75'!F43+'Yakima Pgs 76-77'!F43+'Seattle-King Pgs 54-55'!F43</f>
        <v>6388</v>
      </c>
      <c r="G43" s="109">
        <f>'Adams Pgs 8-9'!G43+'Asotin Pgs 10-11'!G43+'Benton-Franklin Pgs 12-13'!G43+'Chelan-Douglas Pgs 14-15'!G43+'Clallam Pgs 16-17'!G43+'Clark Pgs 18-19'!G43+'Columbia Pgs 20-21'!G43+'Cowlitz Pgs 22-23'!G43+'Garfield Pgs 24-25'!G43+'Grant Pgs 26-27'!G43+'Grays Harbor Pgs 28-29'!G43+'Island Pgs 30-31'!G43+'Jefferson Pgs 32-33'!G43+'Kitsap Pgs 34-35'!G43+'Kittitas Pgs 36-37'!G43+'Klickitat Pgs 38-39'!G43+'Lewis Pgs 40-41'!G43+'Lincoln Pgs 42-43'!G43+'Mason Pgs 44-45'!G43+'Northeast Tri Pgs 46-47'!G43+'Okanogan Pgs 48-49'!G43+'Pacific Pgs 50-51'!G43+'San Juan Pgs 52-53'!G43+'Skagit Pgs 56-57'!G43+'Skamania Pgs 58-59'!G43+'Snohomish Pgs 60-61'!G43+'Spokane Pgs 62-63'!G43+'Tacoma-Pierce Pgs 64-65'!G43+'Thurston Pgs 66-67'!G43+'Wahkiakum Pgs 68-69'!G43+'Walla Walla Pgs 70-71'!G43+'Whatcom Pgs 72-73'!G43+'Whitman Pgs 74-75'!G43+'Yakima Pgs 76-77'!G43+'Seattle-King Pgs 54-55'!G43</f>
        <v>0</v>
      </c>
      <c r="H43" s="107">
        <f>'Adams Pgs 8-9'!H43+'Asotin Pgs 10-11'!H43+'Benton-Franklin Pgs 12-13'!H43+'Chelan-Douglas Pgs 14-15'!H43+'Clallam Pgs 16-17'!H43+'Clark Pgs 18-19'!H43+'Columbia Pgs 20-21'!H43+'Cowlitz Pgs 22-23'!H43+'Garfield Pgs 24-25'!H43+'Grant Pgs 26-27'!H43+'Grays Harbor Pgs 28-29'!H43+'Island Pgs 30-31'!H43+'Jefferson Pgs 32-33'!H43+'Kitsap Pgs 34-35'!H43+'Kittitas Pgs 36-37'!H43+'Klickitat Pgs 38-39'!H43+'Lewis Pgs 40-41'!H43+'Lincoln Pgs 42-43'!H43+'Mason Pgs 44-45'!H43+'Northeast Tri Pgs 46-47'!H43+'Okanogan Pgs 48-49'!H43+'Pacific Pgs 50-51'!H43+'San Juan Pgs 52-53'!H43+'Skagit Pgs 56-57'!H43+'Skamania Pgs 58-59'!H43+'Snohomish Pgs 60-61'!H43+'Spokane Pgs 62-63'!H43+'Tacoma-Pierce Pgs 64-65'!H43+'Thurston Pgs 66-67'!H43+'Wahkiakum Pgs 68-69'!H43+'Walla Walla Pgs 70-71'!H43+'Whatcom Pgs 72-73'!H43+'Whitman Pgs 74-75'!H43+'Yakima Pgs 76-77'!H43+'Seattle-King Pgs 54-55'!H43</f>
        <v>0</v>
      </c>
      <c r="I43" s="109">
        <f>'Adams Pgs 8-9'!I43+'Asotin Pgs 10-11'!I43+'Benton-Franklin Pgs 12-13'!I43+'Chelan-Douglas Pgs 14-15'!I43+'Clallam Pgs 16-17'!I43+'Clark Pgs 18-19'!I43+'Columbia Pgs 20-21'!I43+'Cowlitz Pgs 22-23'!I43+'Garfield Pgs 24-25'!I43+'Grant Pgs 26-27'!I43+'Grays Harbor Pgs 28-29'!I43+'Island Pgs 30-31'!I43+'Jefferson Pgs 32-33'!I43+'Kitsap Pgs 34-35'!I43+'Kittitas Pgs 36-37'!I43+'Klickitat Pgs 38-39'!I43+'Lewis Pgs 40-41'!I43+'Lincoln Pgs 42-43'!I43+'Mason Pgs 44-45'!I43+'Northeast Tri Pgs 46-47'!I43+'Okanogan Pgs 48-49'!I43+'Pacific Pgs 50-51'!I43+'San Juan Pgs 52-53'!I43+'Snohomish Pgs 60-61'!I43+'Spokane Pgs 62-63'!I43+'Tacoma-Pierce Pgs 64-65'!I43+'Thurston Pgs 66-67'!I43+'Wahkiakum Pgs 68-69'!I43+'Walla Walla Pgs 70-71'!I43+'Whatcom Pgs 72-73'!I43+'Whitman Pgs 74-75'!I43+'Yakima Pgs 76-77'!I43+'Seattle-King Pgs 54-55'!I43+'Skagit Pgs 56-57'!I43+'Skamania Pgs 58-59'!I43</f>
        <v>0</v>
      </c>
      <c r="J43" s="110">
        <f>'Adams Pgs 8-9'!J43+'Asotin Pgs 10-11'!J43+'Benton-Franklin Pgs 12-13'!J43+'Chelan-Douglas Pgs 14-15'!J43+'Clallam Pgs 16-17'!J43+'Clark Pgs 18-19'!J43+'Columbia Pgs 20-21'!J43+'Cowlitz Pgs 22-23'!J43+'Garfield Pgs 24-25'!J43+'Grant Pgs 26-27'!J43+'Grays Harbor Pgs 28-29'!J43+'Island Pgs 30-31'!J43+'Jefferson Pgs 32-33'!J43+'Kitsap Pgs 34-35'!J43+'Kittitas Pgs 36-37'!J43+'Klickitat Pgs 38-39'!J43+'Lewis Pgs 40-41'!J43+'Lincoln Pgs 42-43'!J43+'Mason Pgs 44-45'!J43+'Northeast Tri Pgs 46-47'!J43+'Okanogan Pgs 48-49'!J43+'Pacific Pgs 50-51'!J43+'San Juan Pgs 52-53'!J43+'Skagit Pgs 56-57'!J43+'Skamania Pgs 58-59'!J43+'Snohomish Pgs 60-61'!J43+'Spokane Pgs 62-63'!J43+'Tacoma-Pierce Pgs 64-65'!J43+'Thurston Pgs 66-67'!J43+'Wahkiakum Pgs 68-69'!J43+'Walla Walla Pgs 70-71'!J43+'Whatcom Pgs 72-73'!J43+'Whitman Pgs 74-75'!J43+'Yakima Pgs 76-77'!J43+'Seattle-King Pgs 54-55'!J43</f>
        <v>0</v>
      </c>
      <c r="K43" s="129">
        <f t="shared" si="0"/>
        <v>26611</v>
      </c>
      <c r="L43"/>
    </row>
    <row r="44" spans="1:12" x14ac:dyDescent="0.35">
      <c r="A44" s="137" t="s">
        <v>65</v>
      </c>
      <c r="B44" s="39" t="s">
        <v>30</v>
      </c>
      <c r="C44" s="115">
        <f>SUM(C5:C43)</f>
        <v>81047780.349999994</v>
      </c>
      <c r="D44" s="113">
        <f>SUM(D5:D43)</f>
        <v>126754747</v>
      </c>
      <c r="E44" s="111">
        <f t="shared" ref="E44:J44" si="1">SUM(E5:E43)</f>
        <v>10849222</v>
      </c>
      <c r="F44" s="112">
        <f t="shared" si="1"/>
        <v>36047976</v>
      </c>
      <c r="G44" s="113">
        <f t="shared" si="1"/>
        <v>15193180</v>
      </c>
      <c r="H44" s="111">
        <f t="shared" si="1"/>
        <v>43717663</v>
      </c>
      <c r="I44" s="114">
        <f t="shared" si="1"/>
        <v>42062027.869999997</v>
      </c>
      <c r="J44" s="116">
        <f t="shared" si="1"/>
        <v>11857371</v>
      </c>
      <c r="K44" s="130">
        <f>SUM(C44:J44)</f>
        <v>367529967.22000003</v>
      </c>
      <c r="L44"/>
    </row>
    <row r="45" spans="1:12" x14ac:dyDescent="0.35">
      <c r="A45" s="93">
        <v>523</v>
      </c>
      <c r="B45" s="16" t="s">
        <v>31</v>
      </c>
      <c r="C45" s="103">
        <f>'Adams Pgs 8-9'!C45+'Asotin Pgs 10-11'!C45+'Benton-Franklin Pgs 12-13'!C45+'Chelan-Douglas Pgs 14-15'!C45+'Clallam Pgs 16-17'!C45+'Clark Pgs 18-19'!C45+'Columbia Pgs 20-21'!C45+'Cowlitz Pgs 22-23'!C45+'Garfield Pgs 24-25'!C45+'Grant Pgs 26-27'!C45+'Grays Harbor Pgs 28-29'!C45+'Island Pgs 30-31'!C45+'Jefferson Pgs 32-33'!C45+'Kitsap Pgs 34-35'!C45+'Kittitas Pgs 36-37'!C45+'Klickitat Pgs 38-39'!C45+'Lewis Pgs 40-41'!C45+'Lincoln Pgs 42-43'!C45+'Mason Pgs 44-45'!C45+'Northeast Tri Pgs 46-47'!C45+'Okanogan Pgs 48-49'!C45+'Pacific Pgs 50-51'!C45+'San Juan Pgs 52-53'!C45+'Skagit Pgs 56-57'!C45+'Skamania Pgs 58-59'!C45+'Snohomish Pgs 60-61'!C45+'Spokane Pgs 62-63'!C45+'Tacoma-Pierce Pgs 64-65'!C45+'Thurston Pgs 66-67'!C45+'Wahkiakum Pgs 68-69'!C45+'Walla Walla Pgs 70-71'!C45+'Whatcom Pgs 72-73'!C45+'Whitman Pgs 74-75'!C45+'Yakima Pgs 76-77'!C45+'Seattle-King Pgs 54-55'!C45</f>
        <v>0</v>
      </c>
      <c r="D45" s="102">
        <f>'Adams Pgs 8-9'!D45+'Asotin Pgs 10-11'!D45+'Benton-Franklin Pgs 12-13'!D45+'Chelan-Douglas Pgs 14-15'!D45+'Clallam Pgs 16-17'!D45+'Clark Pgs 18-19'!D45+'Columbia Pgs 20-21'!D45+'Cowlitz Pgs 22-23'!D45+'Garfield Pgs 24-25'!D45+'Grant Pgs 26-27'!D45+'Grays Harbor Pgs 28-29'!D45+'Island Pgs 30-31'!D45+'Jefferson Pgs 32-33'!D45+'Kitsap Pgs 34-35'!D45+'Kittitas Pgs 36-37'!D45+'Klickitat Pgs 38-39'!D45+'Lewis Pgs 40-41'!D45+'Lincoln Pgs 42-43'!D45+'Mason Pgs 44-45'!D45+'Northeast Tri Pgs 46-47'!D45+'Okanogan Pgs 48-49'!D45+'Pacific Pgs 50-51'!D45+'San Juan Pgs 52-53'!D45+'Skagit Pgs 56-57'!D45+'Skamania Pgs 58-59'!D45+'Snohomish Pgs 60-61'!D45+'Spokane Pgs 62-63'!D45+'Tacoma-Pierce Pgs 64-65'!D45+'Thurston Pgs 66-67'!D45+'Wahkiakum Pgs 68-69'!D45+'Walla Walla Pgs 70-71'!D45+'Whatcom Pgs 72-73'!D45+'Whitman Pgs 74-75'!D45+'Yakima Pgs 76-77'!D45+'Seattle-King Pgs 54-55'!D45</f>
        <v>0</v>
      </c>
      <c r="E45" s="117">
        <f>'Adams Pgs 8-9'!E45+'Asotin Pgs 10-11'!E45+'Benton-Franklin Pgs 12-13'!E45+'Chelan-Douglas Pgs 14-15'!E45+'Clallam Pgs 16-17'!E45+'Clark Pgs 18-19'!E45+'Columbia Pgs 20-21'!E45+'Cowlitz Pgs 22-23'!E45+'Garfield Pgs 24-25'!E45+'Grant Pgs 26-27'!E45+'Grays Harbor Pgs 28-29'!E45+'Island Pgs 30-31'!E45+'Jefferson Pgs 32-33'!E45+'Kitsap Pgs 34-35'!E45+'Kittitas Pgs 36-37'!E45+'Klickitat Pgs 38-39'!E45+'Lewis Pgs 40-41'!E45+'Lincoln Pgs 42-43'!E45+'Mason Pgs 44-45'!E45+'Northeast Tri Pgs 46-47'!E45+'Okanogan Pgs 48-49'!E45+'Pacific Pgs 50-51'!E45+'San Juan Pgs 52-53'!E45+'Skagit Pgs 56-57'!E45+'Skamania Pgs 58-59'!E45+'Snohomish Pgs 60-61'!E45+'Spokane Pgs 62-63'!E45+'Tacoma-Pierce Pgs 64-65'!E45+'Thurston Pgs 66-67'!E45+'Wahkiakum Pgs 68-69'!E45+'Walla Walla Pgs 70-71'!E45+'Whatcom Pgs 72-73'!E45+'Whitman Pgs 74-75'!E45+'Yakima Pgs 76-77'!E45+'Seattle-King Pgs 54-55'!E45</f>
        <v>0</v>
      </c>
      <c r="F45" s="118">
        <f>'Adams Pgs 8-9'!F45+'Asotin Pgs 10-11'!F45+'Benton-Franklin Pgs 12-13'!F45+'Chelan-Douglas Pgs 14-15'!F45+'Clallam Pgs 16-17'!F45+'Clark Pgs 18-19'!F45+'Columbia Pgs 20-21'!F45+'Cowlitz Pgs 22-23'!F45+'Garfield Pgs 24-25'!F45+'Grant Pgs 26-27'!F45+'Grays Harbor Pgs 28-29'!F45+'Island Pgs 30-31'!F45+'Jefferson Pgs 32-33'!F45+'Kitsap Pgs 34-35'!F45+'Kittitas Pgs 36-37'!F45+'Klickitat Pgs 38-39'!F45+'Lewis Pgs 40-41'!F45+'Lincoln Pgs 42-43'!F45+'Mason Pgs 44-45'!F45+'Northeast Tri Pgs 46-47'!F45+'Okanogan Pgs 48-49'!F45+'Pacific Pgs 50-51'!F45+'San Juan Pgs 52-53'!F45+'Skagit Pgs 56-57'!F45+'Skamania Pgs 58-59'!F45+'Snohomish Pgs 60-61'!F45+'Spokane Pgs 62-63'!F45+'Tacoma-Pierce Pgs 64-65'!F45+'Thurston Pgs 66-67'!F45+'Wahkiakum Pgs 68-69'!F45+'Walla Walla Pgs 70-71'!F45+'Whatcom Pgs 72-73'!F45+'Whitman Pgs 74-75'!F45+'Yakima Pgs 76-77'!F45+'Seattle-King Pgs 54-55'!F45</f>
        <v>0</v>
      </c>
      <c r="G45" s="119">
        <f>'Adams Pgs 8-9'!G45+'Asotin Pgs 10-11'!G45+'Benton-Franklin Pgs 12-13'!G45+'Chelan-Douglas Pgs 14-15'!G45+'Clallam Pgs 16-17'!G45+'Clark Pgs 18-19'!G45+'Columbia Pgs 20-21'!G45+'Cowlitz Pgs 22-23'!G45+'Garfield Pgs 24-25'!G45+'Grant Pgs 26-27'!G45+'Grays Harbor Pgs 28-29'!G45+'Island Pgs 30-31'!G45+'Jefferson Pgs 32-33'!G45+'Kitsap Pgs 34-35'!G45+'Kittitas Pgs 36-37'!G45+'Klickitat Pgs 38-39'!G45+'Lewis Pgs 40-41'!G45+'Lincoln Pgs 42-43'!G45+'Mason Pgs 44-45'!G45+'Northeast Tri Pgs 46-47'!G45+'Okanogan Pgs 48-49'!G45+'Pacific Pgs 50-51'!G45+'San Juan Pgs 52-53'!G45+'Skagit Pgs 56-57'!G45+'Skamania Pgs 58-59'!G45+'Snohomish Pgs 60-61'!G45+'Spokane Pgs 62-63'!G45+'Tacoma-Pierce Pgs 64-65'!G45+'Thurston Pgs 66-67'!G45+'Wahkiakum Pgs 68-69'!G45+'Walla Walla Pgs 70-71'!G45+'Whatcom Pgs 72-73'!G45+'Whitman Pgs 74-75'!G45+'Yakima Pgs 76-77'!G45+'Seattle-King Pgs 54-55'!G45</f>
        <v>0</v>
      </c>
      <c r="H45" s="117">
        <f>'Adams Pgs 8-9'!H45+'Asotin Pgs 10-11'!H45+'Benton-Franklin Pgs 12-13'!H45+'Chelan-Douglas Pgs 14-15'!H45+'Clallam Pgs 16-17'!H45+'Clark Pgs 18-19'!H45+'Columbia Pgs 20-21'!H45+'Cowlitz Pgs 22-23'!H45+'Garfield Pgs 24-25'!H45+'Grant Pgs 26-27'!H45+'Grays Harbor Pgs 28-29'!H45+'Island Pgs 30-31'!H45+'Jefferson Pgs 32-33'!H45+'Kitsap Pgs 34-35'!H45+'Kittitas Pgs 36-37'!H45+'Klickitat Pgs 38-39'!H45+'Lewis Pgs 40-41'!H45+'Lincoln Pgs 42-43'!H45+'Mason Pgs 44-45'!H45+'Northeast Tri Pgs 46-47'!H45+'Okanogan Pgs 48-49'!H45+'Pacific Pgs 50-51'!H45+'San Juan Pgs 52-53'!H45+'Skagit Pgs 56-57'!H45+'Skamania Pgs 58-59'!H45+'Snohomish Pgs 60-61'!H45+'Spokane Pgs 62-63'!H45+'Tacoma-Pierce Pgs 64-65'!H45+'Thurston Pgs 66-67'!H45+'Wahkiakum Pgs 68-69'!H45+'Walla Walla Pgs 70-71'!H45+'Whatcom Pgs 72-73'!H45+'Whitman Pgs 74-75'!H45+'Yakima Pgs 76-77'!H45+'Seattle-King Pgs 54-55'!H45</f>
        <v>0</v>
      </c>
      <c r="I45" s="119">
        <f>'Adams Pgs 8-9'!I45+'Asotin Pgs 10-11'!I45+'Benton-Franklin Pgs 12-13'!I45+'Chelan-Douglas Pgs 14-15'!I45+'Clallam Pgs 16-17'!I45+'Clark Pgs 18-19'!I45+'Columbia Pgs 20-21'!I45+'Cowlitz Pgs 22-23'!I45+'Garfield Pgs 24-25'!I45+'Grant Pgs 26-27'!I45+'Grays Harbor Pgs 28-29'!I45+'Island Pgs 30-31'!I45+'Jefferson Pgs 32-33'!I45+'Kitsap Pgs 34-35'!I45+'Kittitas Pgs 36-37'!I45+'Klickitat Pgs 38-39'!I45+'Lewis Pgs 40-41'!I45+'Lincoln Pgs 42-43'!I45+'Mason Pgs 44-45'!I45+'Northeast Tri Pgs 46-47'!I45+'Okanogan Pgs 48-49'!I45+'Pacific Pgs 50-51'!I45+'San Juan Pgs 52-53'!I45+'Skagit Pgs 56-57'!I45+'Skamania Pgs 58-59'!I45+'Snohomish Pgs 60-61'!I45+'Spokane Pgs 62-63'!I45+'Tacoma-Pierce Pgs 64-65'!I45+'Thurston Pgs 66-67'!I45+'Wahkiakum Pgs 68-69'!I45+'Walla Walla Pgs 70-71'!I45+'Whatcom Pgs 72-73'!I45+'Whitman Pgs 74-75'!I45+'Yakima Pgs 76-77'!I45+'Seattle-King Pgs 54-55'!I45</f>
        <v>3162</v>
      </c>
      <c r="J45" s="120">
        <f>'Adams Pgs 8-9'!J45+'Asotin Pgs 10-11'!J45+'Benton-Franklin Pgs 12-13'!J45+'Chelan-Douglas Pgs 14-15'!J45+'Clallam Pgs 16-17'!J45+'Clark Pgs 18-19'!J45+'Columbia Pgs 20-21'!J45+'Cowlitz Pgs 22-23'!J45+'Garfield Pgs 24-25'!J45+'Grant Pgs 26-27'!J45+'Grays Harbor Pgs 28-29'!J45+'Island Pgs 30-31'!J45+'Jefferson Pgs 32-33'!J45+'Kitsap Pgs 34-35'!J45+'Kittitas Pgs 36-37'!J45+'Klickitat Pgs 38-39'!J45+'Lewis Pgs 40-41'!J45+'Lincoln Pgs 42-43'!J45+'Mason Pgs 44-45'!J45+'Northeast Tri Pgs 46-47'!J45+'Okanogan Pgs 48-49'!J45+'Pacific Pgs 50-51'!J45+'San Juan Pgs 52-53'!J45+'Skagit Pgs 56-57'!J45+'Skamania Pgs 58-59'!J45+'Snohomish Pgs 60-61'!J45+'Spokane Pgs 62-63'!J45+'Tacoma-Pierce Pgs 64-65'!J45+'Thurston Pgs 66-67'!J45+'Wahkiakum Pgs 68-69'!J45+'Walla Walla Pgs 70-71'!J45+'Whatcom Pgs 72-73'!J45+'Whitman Pgs 74-75'!J45+'Yakima Pgs 76-77'!J45+'Seattle-King Pgs 54-55'!J45</f>
        <v>1458</v>
      </c>
      <c r="K45" s="129">
        <f t="shared" ref="K45:K55" si="2">SUM(C45:J45)</f>
        <v>4620</v>
      </c>
      <c r="L45"/>
    </row>
    <row r="46" spans="1:12" x14ac:dyDescent="0.35">
      <c r="A46" s="93">
        <v>526</v>
      </c>
      <c r="B46" s="16" t="s">
        <v>32</v>
      </c>
      <c r="C46" s="103">
        <f>'Adams Pgs 8-9'!C46+'Asotin Pgs 10-11'!C46+'Benton-Franklin Pgs 12-13'!C46+'Chelan-Douglas Pgs 14-15'!C46+'Clallam Pgs 16-17'!C46+'Clark Pgs 18-19'!C46+'Columbia Pgs 20-21'!C46+'Cowlitz Pgs 22-23'!C46+'Garfield Pgs 24-25'!C46+'Grant Pgs 26-27'!C46+'Grays Harbor Pgs 28-29'!C46+'Island Pgs 30-31'!C46+'Jefferson Pgs 32-33'!C46+'Kitsap Pgs 34-35'!C46+'Kittitas Pgs 36-37'!C46+'Klickitat Pgs 38-39'!C46+'Lewis Pgs 40-41'!C46+'Lincoln Pgs 42-43'!C46+'Mason Pgs 44-45'!C46+'Northeast Tri Pgs 46-47'!C46+'Okanogan Pgs 48-49'!C46+'Pacific Pgs 50-51'!C46+'San Juan Pgs 52-53'!C46+'Skagit Pgs 56-57'!C46+'Skamania Pgs 58-59'!C46+'Snohomish Pgs 60-61'!C46+'Spokane Pgs 62-63'!C46+'Tacoma-Pierce Pgs 64-65'!C46+'Thurston Pgs 66-67'!C46+'Wahkiakum Pgs 68-69'!C46+'Walla Walla Pgs 70-71'!C46+'Whatcom Pgs 72-73'!C46+'Whitman Pgs 74-75'!C46+'Yakima Pgs 76-77'!C46+'Seattle-King Pgs 54-55'!C46</f>
        <v>0</v>
      </c>
      <c r="D46" s="102">
        <f>'Adams Pgs 8-9'!D46+'Asotin Pgs 10-11'!D46+'Benton-Franklin Pgs 12-13'!D46+'Chelan-Douglas Pgs 14-15'!D46+'Clallam Pgs 16-17'!D46+'Clark Pgs 18-19'!D46+'Columbia Pgs 20-21'!D46+'Cowlitz Pgs 22-23'!D46+'Garfield Pgs 24-25'!D46+'Grant Pgs 26-27'!D46+'Grays Harbor Pgs 28-29'!D46+'Island Pgs 30-31'!D46+'Jefferson Pgs 32-33'!D46+'Kitsap Pgs 34-35'!D46+'Kittitas Pgs 36-37'!D46+'Klickitat Pgs 38-39'!D46+'Lewis Pgs 40-41'!D46+'Lincoln Pgs 42-43'!D46+'Mason Pgs 44-45'!D46+'Northeast Tri Pgs 46-47'!D46+'Okanogan Pgs 48-49'!D46+'Pacific Pgs 50-51'!D46+'San Juan Pgs 52-53'!D46+'Skagit Pgs 56-57'!D46+'Skamania Pgs 58-59'!D46+'Snohomish Pgs 60-61'!D46+'Spokane Pgs 62-63'!D46+'Tacoma-Pierce Pgs 64-65'!D46+'Thurston Pgs 66-67'!D46+'Wahkiakum Pgs 68-69'!D46+'Walla Walla Pgs 70-71'!D46+'Whatcom Pgs 72-73'!D46+'Whitman Pgs 74-75'!D46+'Yakima Pgs 76-77'!D46+'Seattle-King Pgs 54-55'!D46</f>
        <v>358732</v>
      </c>
      <c r="E46" s="100">
        <f>'Adams Pgs 8-9'!E46+'Asotin Pgs 10-11'!E46+'Benton-Franklin Pgs 12-13'!E46+'Chelan-Douglas Pgs 14-15'!E46+'Clallam Pgs 16-17'!E46+'Clark Pgs 18-19'!E46+'Columbia Pgs 20-21'!E46+'Cowlitz Pgs 22-23'!E46+'Garfield Pgs 24-25'!E46+'Grant Pgs 26-27'!E46+'Grays Harbor Pgs 28-29'!E46+'Island Pgs 30-31'!E46+'Jefferson Pgs 32-33'!E46+'Kitsap Pgs 34-35'!E46+'Kittitas Pgs 36-37'!E46+'Klickitat Pgs 38-39'!E46+'Lewis Pgs 40-41'!E46+'Lincoln Pgs 42-43'!E46+'Mason Pgs 44-45'!E46+'Northeast Tri Pgs 46-47'!E46+'Okanogan Pgs 48-49'!E46+'Pacific Pgs 50-51'!E46+'San Juan Pgs 52-53'!E46+'Skagit Pgs 56-57'!E46+'Skamania Pgs 58-59'!E46+'Snohomish Pgs 60-61'!E46+'Spokane Pgs 62-63'!E46+'Tacoma-Pierce Pgs 64-65'!E46+'Thurston Pgs 66-67'!E46+'Wahkiakum Pgs 68-69'!E46+'Walla Walla Pgs 70-71'!E46+'Whatcom Pgs 72-73'!E46+'Whitman Pgs 74-75'!E46+'Yakima Pgs 76-77'!E46+'Seattle-King Pgs 54-55'!E46</f>
        <v>1290</v>
      </c>
      <c r="F46" s="101">
        <f>'Adams Pgs 8-9'!F46+'Asotin Pgs 10-11'!F46+'Benton-Franklin Pgs 12-13'!F46+'Chelan-Douglas Pgs 14-15'!F46+'Clallam Pgs 16-17'!F46+'Clark Pgs 18-19'!F46+'Columbia Pgs 20-21'!F46+'Cowlitz Pgs 22-23'!F46+'Garfield Pgs 24-25'!F46+'Grant Pgs 26-27'!F46+'Grays Harbor Pgs 28-29'!F46+'Island Pgs 30-31'!F46+'Jefferson Pgs 32-33'!F46+'Kitsap Pgs 34-35'!F46+'Kittitas Pgs 36-37'!F46+'Klickitat Pgs 38-39'!F46+'Lewis Pgs 40-41'!F46+'Lincoln Pgs 42-43'!F46+'Mason Pgs 44-45'!F46+'Northeast Tri Pgs 46-47'!F46+'Okanogan Pgs 48-49'!F46+'Pacific Pgs 50-51'!F46+'San Juan Pgs 52-53'!F46+'Skagit Pgs 56-57'!F46+'Skamania Pgs 58-59'!F46+'Snohomish Pgs 60-61'!F46+'Spokane Pgs 62-63'!F46+'Tacoma-Pierce Pgs 64-65'!F46+'Thurston Pgs 66-67'!F46+'Wahkiakum Pgs 68-69'!F46+'Walla Walla Pgs 70-71'!F46+'Whatcom Pgs 72-73'!F46+'Whitman Pgs 74-75'!F46+'Yakima Pgs 76-77'!F46+'Seattle-King Pgs 54-55'!F46</f>
        <v>0</v>
      </c>
      <c r="G46" s="102">
        <f>'Adams Pgs 8-9'!G46+'Asotin Pgs 10-11'!G46+'Benton-Franklin Pgs 12-13'!G46+'Chelan-Douglas Pgs 14-15'!G46+'Clallam Pgs 16-17'!G46+'Clark Pgs 18-19'!G46+'Columbia Pgs 20-21'!G46+'Cowlitz Pgs 22-23'!G46+'Garfield Pgs 24-25'!G46+'Grant Pgs 26-27'!G46+'Grays Harbor Pgs 28-29'!G46+'Island Pgs 30-31'!G46+'Jefferson Pgs 32-33'!G46+'Kitsap Pgs 34-35'!G46+'Kittitas Pgs 36-37'!G46+'Klickitat Pgs 38-39'!G46+'Lewis Pgs 40-41'!G46+'Lincoln Pgs 42-43'!G46+'Mason Pgs 44-45'!G46+'Northeast Tri Pgs 46-47'!G46+'Okanogan Pgs 48-49'!G46+'Pacific Pgs 50-51'!G46+'San Juan Pgs 52-53'!G46+'Skagit Pgs 56-57'!G46+'Skamania Pgs 58-59'!G46+'Snohomish Pgs 60-61'!G46+'Spokane Pgs 62-63'!G46+'Tacoma-Pierce Pgs 64-65'!G46+'Thurston Pgs 66-67'!G46+'Wahkiakum Pgs 68-69'!G46+'Walla Walla Pgs 70-71'!G46+'Whatcom Pgs 72-73'!G46+'Whitman Pgs 74-75'!G46+'Yakima Pgs 76-77'!G46+'Seattle-King Pgs 54-55'!G46</f>
        <v>65800</v>
      </c>
      <c r="H46" s="100">
        <f>'Adams Pgs 8-9'!H46+'Asotin Pgs 10-11'!H46+'Benton-Franklin Pgs 12-13'!H46+'Chelan-Douglas Pgs 14-15'!H46+'Clallam Pgs 16-17'!H46+'Clark Pgs 18-19'!H46+'Columbia Pgs 20-21'!H46+'Cowlitz Pgs 22-23'!H46+'Garfield Pgs 24-25'!H46+'Grant Pgs 26-27'!H46+'Grays Harbor Pgs 28-29'!H46+'Island Pgs 30-31'!H46+'Jefferson Pgs 32-33'!H46+'Kitsap Pgs 34-35'!H46+'Kittitas Pgs 36-37'!H46+'Klickitat Pgs 38-39'!H46+'Lewis Pgs 40-41'!H46+'Lincoln Pgs 42-43'!H46+'Mason Pgs 44-45'!H46+'Northeast Tri Pgs 46-47'!H46+'Okanogan Pgs 48-49'!H46+'Pacific Pgs 50-51'!H46+'San Juan Pgs 52-53'!H46+'Skagit Pgs 56-57'!H46+'Skamania Pgs 58-59'!H46+'Snohomish Pgs 60-61'!H46+'Spokane Pgs 62-63'!H46+'Tacoma-Pierce Pgs 64-65'!H46+'Thurston Pgs 66-67'!H46+'Wahkiakum Pgs 68-69'!H46+'Walla Walla Pgs 70-71'!H46+'Whatcom Pgs 72-73'!H46+'Whitman Pgs 74-75'!H46+'Yakima Pgs 76-77'!H46+'Seattle-King Pgs 54-55'!H46</f>
        <v>0</v>
      </c>
      <c r="I46" s="102">
        <f>'Adams Pgs 8-9'!I46+'Asotin Pgs 10-11'!I46+'Benton-Franklin Pgs 12-13'!I46+'Chelan-Douglas Pgs 14-15'!I46+'Clallam Pgs 16-17'!I46+'Clark Pgs 18-19'!I46+'Columbia Pgs 20-21'!I46+'Cowlitz Pgs 22-23'!I46+'Garfield Pgs 24-25'!I46+'Grant Pgs 26-27'!I46+'Grays Harbor Pgs 28-29'!I46+'Island Pgs 30-31'!I46+'Jefferson Pgs 32-33'!I46+'Kitsap Pgs 34-35'!I46+'Kittitas Pgs 36-37'!I46+'Klickitat Pgs 38-39'!I46+'Lewis Pgs 40-41'!I46+'Lincoln Pgs 42-43'!I46+'Mason Pgs 44-45'!I46+'Northeast Tri Pgs 46-47'!I46+'Okanogan Pgs 48-49'!I46+'Pacific Pgs 50-51'!I46+'San Juan Pgs 52-53'!I46+'Skagit Pgs 56-57'!I46+'Skamania Pgs 58-59'!I46+'Snohomish Pgs 60-61'!I46+'Spokane Pgs 62-63'!I46+'Tacoma-Pierce Pgs 64-65'!I46+'Thurston Pgs 66-67'!I46+'Wahkiakum Pgs 68-69'!I46+'Walla Walla Pgs 70-71'!I46+'Whatcom Pgs 72-73'!I46+'Whitman Pgs 74-75'!I46+'Yakima Pgs 76-77'!I46+'Seattle-King Pgs 54-55'!I46</f>
        <v>0</v>
      </c>
      <c r="J46" s="104">
        <f>'Adams Pgs 8-9'!J46+'Asotin Pgs 10-11'!J46+'Benton-Franklin Pgs 12-13'!J46+'Chelan-Douglas Pgs 14-15'!J46+'Clallam Pgs 16-17'!J46+'Clark Pgs 18-19'!J46+'Columbia Pgs 20-21'!J46+'Cowlitz Pgs 22-23'!J46+'Garfield Pgs 24-25'!J46+'Grant Pgs 26-27'!J46+'Grays Harbor Pgs 28-29'!J46+'Island Pgs 30-31'!J46+'Jefferson Pgs 32-33'!J46+'Kitsap Pgs 34-35'!J46+'Kittitas Pgs 36-37'!J46+'Klickitat Pgs 38-39'!J46+'Lewis Pgs 40-41'!J46+'Lincoln Pgs 42-43'!J46+'Mason Pgs 44-45'!J46+'Northeast Tri Pgs 46-47'!J46+'Okanogan Pgs 48-49'!J46+'Pacific Pgs 50-51'!J46+'San Juan Pgs 52-53'!J46+'Skagit Pgs 56-57'!J46+'Skamania Pgs 58-59'!J46+'Snohomish Pgs 60-61'!J46+'Spokane Pgs 62-63'!J46+'Tacoma-Pierce Pgs 64-65'!J46+'Thurston Pgs 66-67'!J46+'Wahkiakum Pgs 68-69'!J46+'Walla Walla Pgs 70-71'!J46+'Whatcom Pgs 72-73'!J46+'Whitman Pgs 74-75'!J46+'Yakima Pgs 76-77'!J46+'Seattle-King Pgs 54-55'!J46</f>
        <v>100830</v>
      </c>
      <c r="K46" s="129">
        <f t="shared" si="2"/>
        <v>526652</v>
      </c>
      <c r="L46"/>
    </row>
    <row r="47" spans="1:12" x14ac:dyDescent="0.35">
      <c r="A47" s="93">
        <v>527.70000000000005</v>
      </c>
      <c r="B47" s="16" t="s">
        <v>33</v>
      </c>
      <c r="C47" s="103">
        <f>'Adams Pgs 8-9'!C47+'Asotin Pgs 10-11'!C47+'Benton-Franklin Pgs 12-13'!C47+'Chelan-Douglas Pgs 14-15'!C47+'Clallam Pgs 16-17'!C47+'Clark Pgs 18-19'!C47+'Columbia Pgs 20-21'!C47+'Cowlitz Pgs 22-23'!C47+'Garfield Pgs 24-25'!C47+'Grant Pgs 26-27'!C47+'Grays Harbor Pgs 28-29'!C47+'Island Pgs 30-31'!C47+'Jefferson Pgs 32-33'!C47+'Kitsap Pgs 34-35'!C47+'Kittitas Pgs 36-37'!C47+'Klickitat Pgs 38-39'!C47+'Lewis Pgs 40-41'!C47+'Lincoln Pgs 42-43'!C47+'Mason Pgs 44-45'!C47+'Northeast Tri Pgs 46-47'!C47+'Okanogan Pgs 48-49'!C47+'Pacific Pgs 50-51'!C47+'San Juan Pgs 52-53'!C47+'Skagit Pgs 56-57'!C47+'Skamania Pgs 58-59'!C47+'Snohomish Pgs 60-61'!C47+'Spokane Pgs 62-63'!C47+'Tacoma-Pierce Pgs 64-65'!C47+'Thurston Pgs 66-67'!C47+'Wahkiakum Pgs 68-69'!C47+'Walla Walla Pgs 70-71'!C47+'Whatcom Pgs 72-73'!C47+'Whitman Pgs 74-75'!C47+'Yakima Pgs 76-77'!C47+'Seattle-King Pgs 54-55'!C47</f>
        <v>0</v>
      </c>
      <c r="D47" s="102">
        <f>'Adams Pgs 8-9'!D47+'Asotin Pgs 10-11'!D47+'Benton-Franklin Pgs 12-13'!D47+'Chelan-Douglas Pgs 14-15'!D47+'Clallam Pgs 16-17'!D47+'Clark Pgs 18-19'!D47+'Columbia Pgs 20-21'!D47+'Cowlitz Pgs 22-23'!D47+'Garfield Pgs 24-25'!D47+'Grant Pgs 26-27'!D47+'Grays Harbor Pgs 28-29'!D47+'Island Pgs 30-31'!D47+'Jefferson Pgs 32-33'!D47+'Kitsap Pgs 34-35'!D47+'Kittitas Pgs 36-37'!D47+'Klickitat Pgs 38-39'!D47+'Lewis Pgs 40-41'!D47+'Lincoln Pgs 42-43'!D47+'Mason Pgs 44-45'!D47+'Northeast Tri Pgs 46-47'!D47+'Okanogan Pgs 48-49'!D47+'Pacific Pgs 50-51'!D47+'San Juan Pgs 52-53'!D47+'Skagit Pgs 56-57'!D47+'Skamania Pgs 58-59'!D47+'Snohomish Pgs 60-61'!D47+'Spokane Pgs 62-63'!D47+'Tacoma-Pierce Pgs 64-65'!D47+'Thurston Pgs 66-67'!D47+'Wahkiakum Pgs 68-69'!D47+'Walla Walla Pgs 70-71'!D47+'Whatcom Pgs 72-73'!D47+'Whitman Pgs 74-75'!D47+'Yakima Pgs 76-77'!D47+'Seattle-King Pgs 54-55'!D47</f>
        <v>406</v>
      </c>
      <c r="E47" s="100">
        <f>'Adams Pgs 8-9'!E47+'Asotin Pgs 10-11'!E47+'Benton-Franklin Pgs 12-13'!E47+'Chelan-Douglas Pgs 14-15'!E47+'Clallam Pgs 16-17'!E47+'Clark Pgs 18-19'!E47+'Columbia Pgs 20-21'!E47+'Cowlitz Pgs 22-23'!E47+'Garfield Pgs 24-25'!E47+'Grant Pgs 26-27'!E47+'Grays Harbor Pgs 28-29'!E47+'Island Pgs 30-31'!E47+'Jefferson Pgs 32-33'!E47+'Kitsap Pgs 34-35'!E47+'Kittitas Pgs 36-37'!E47+'Klickitat Pgs 38-39'!E47+'Lewis Pgs 40-41'!E47+'Lincoln Pgs 42-43'!E47+'Mason Pgs 44-45'!E47+'Northeast Tri Pgs 46-47'!E47+'Okanogan Pgs 48-49'!E47+'Pacific Pgs 50-51'!E47+'San Juan Pgs 52-53'!E47+'Skagit Pgs 56-57'!E47+'Skamania Pgs 58-59'!E47+'Snohomish Pgs 60-61'!E47+'Spokane Pgs 62-63'!E47+'Tacoma-Pierce Pgs 64-65'!E47+'Thurston Pgs 66-67'!E47+'Wahkiakum Pgs 68-69'!E47+'Walla Walla Pgs 70-71'!E47+'Whatcom Pgs 72-73'!E47+'Whitman Pgs 74-75'!E47+'Yakima Pgs 76-77'!E47+'Seattle-King Pgs 54-55'!E47</f>
        <v>0</v>
      </c>
      <c r="F47" s="101">
        <f>'Adams Pgs 8-9'!F47+'Asotin Pgs 10-11'!F47+'Benton-Franklin Pgs 12-13'!F47+'Chelan-Douglas Pgs 14-15'!F47+'Clallam Pgs 16-17'!F47+'Clark Pgs 18-19'!F47+'Columbia Pgs 20-21'!F47+'Cowlitz Pgs 22-23'!F47+'Garfield Pgs 24-25'!F47+'Grant Pgs 26-27'!F47+'Grays Harbor Pgs 28-29'!F47+'Island Pgs 30-31'!F47+'Jefferson Pgs 32-33'!F47+'Kitsap Pgs 34-35'!F47+'Kittitas Pgs 36-37'!F47+'Klickitat Pgs 38-39'!F47+'Lewis Pgs 40-41'!F47+'Lincoln Pgs 42-43'!F47+'Mason Pgs 44-45'!F47+'Northeast Tri Pgs 46-47'!F47+'Okanogan Pgs 48-49'!F47+'Pacific Pgs 50-51'!F47+'San Juan Pgs 52-53'!F47+'Skagit Pgs 56-57'!F47+'Skamania Pgs 58-59'!F47+'Snohomish Pgs 60-61'!F47+'Spokane Pgs 62-63'!F47+'Tacoma-Pierce Pgs 64-65'!F47+'Thurston Pgs 66-67'!F47+'Wahkiakum Pgs 68-69'!F47+'Walla Walla Pgs 70-71'!F47+'Whatcom Pgs 72-73'!F47+'Whitman Pgs 74-75'!F47+'Yakima Pgs 76-77'!F47+'Seattle-King Pgs 54-55'!F47</f>
        <v>0</v>
      </c>
      <c r="G47" s="102">
        <f>'Adams Pgs 8-9'!G47+'Asotin Pgs 10-11'!G47+'Benton-Franklin Pgs 12-13'!G47+'Chelan-Douglas Pgs 14-15'!G47+'Clallam Pgs 16-17'!G47+'Clark Pgs 18-19'!G47+'Columbia Pgs 20-21'!G47+'Cowlitz Pgs 22-23'!G47+'Garfield Pgs 24-25'!G47+'Grant Pgs 26-27'!G47+'Grays Harbor Pgs 28-29'!G47+'Island Pgs 30-31'!G47+'Jefferson Pgs 32-33'!G47+'Kitsap Pgs 34-35'!G47+'Kittitas Pgs 36-37'!G47+'Klickitat Pgs 38-39'!G47+'Lewis Pgs 40-41'!G47+'Lincoln Pgs 42-43'!G47+'Mason Pgs 44-45'!G47+'Northeast Tri Pgs 46-47'!G47+'Okanogan Pgs 48-49'!G47+'Pacific Pgs 50-51'!G47+'San Juan Pgs 52-53'!G47+'Skagit Pgs 56-57'!G47+'Skamania Pgs 58-59'!G47+'Snohomish Pgs 60-61'!G47+'Spokane Pgs 62-63'!G47+'Tacoma-Pierce Pgs 64-65'!G47+'Thurston Pgs 66-67'!G47+'Wahkiakum Pgs 68-69'!G47+'Walla Walla Pgs 70-71'!G47+'Whatcom Pgs 72-73'!G47+'Whitman Pgs 74-75'!G47+'Yakima Pgs 76-77'!G47+'Seattle-King Pgs 54-55'!G47</f>
        <v>0</v>
      </c>
      <c r="H47" s="100">
        <f>'Adams Pgs 8-9'!H47+'Asotin Pgs 10-11'!H47+'Benton-Franklin Pgs 12-13'!H47+'Chelan-Douglas Pgs 14-15'!H47+'Clallam Pgs 16-17'!H47+'Clark Pgs 18-19'!H47+'Columbia Pgs 20-21'!H47+'Cowlitz Pgs 22-23'!H47+'Garfield Pgs 24-25'!H47+'Grant Pgs 26-27'!H47+'Grays Harbor Pgs 28-29'!H47+'Island Pgs 30-31'!H47+'Jefferson Pgs 32-33'!H47+'Kitsap Pgs 34-35'!H47+'Kittitas Pgs 36-37'!H47+'Klickitat Pgs 38-39'!H47+'Lewis Pgs 40-41'!H47+'Lincoln Pgs 42-43'!H47+'Mason Pgs 44-45'!H47+'Northeast Tri Pgs 46-47'!H47+'Okanogan Pgs 48-49'!H47+'Pacific Pgs 50-51'!H47+'San Juan Pgs 52-53'!H47+'Skagit Pgs 56-57'!H47+'Skamania Pgs 58-59'!H47+'Snohomish Pgs 60-61'!H47+'Spokane Pgs 62-63'!H47+'Tacoma-Pierce Pgs 64-65'!H47+'Thurston Pgs 66-67'!H47+'Wahkiakum Pgs 68-69'!H47+'Walla Walla Pgs 70-71'!H47+'Whatcom Pgs 72-73'!H47+'Whitman Pgs 74-75'!H47+'Yakima Pgs 76-77'!H47+'Seattle-King Pgs 54-55'!H47</f>
        <v>0</v>
      </c>
      <c r="I47" s="102">
        <f>'Adams Pgs 8-9'!I47+'Asotin Pgs 10-11'!I47+'Benton-Franklin Pgs 12-13'!I47+'Chelan-Douglas Pgs 14-15'!I47+'Clallam Pgs 16-17'!I47+'Clark Pgs 18-19'!I47+'Columbia Pgs 20-21'!I47+'Cowlitz Pgs 22-23'!I47+'Garfield Pgs 24-25'!I47+'Grant Pgs 26-27'!I47+'Grays Harbor Pgs 28-29'!I47+'Island Pgs 30-31'!I47+'Jefferson Pgs 32-33'!I47+'Kitsap Pgs 34-35'!I47+'Kittitas Pgs 36-37'!I47+'Klickitat Pgs 38-39'!I47+'Lewis Pgs 40-41'!I47+'Lincoln Pgs 42-43'!I47+'Mason Pgs 44-45'!I47+'Northeast Tri Pgs 46-47'!I47+'Okanogan Pgs 48-49'!I47+'Pacific Pgs 50-51'!I47+'San Juan Pgs 52-53'!I47+'Skagit Pgs 56-57'!I47+'Skamania Pgs 58-59'!I47+'Snohomish Pgs 60-61'!I47+'Spokane Pgs 62-63'!I47+'Tacoma-Pierce Pgs 64-65'!I47+'Thurston Pgs 66-67'!I47+'Wahkiakum Pgs 68-69'!I47+'Walla Walla Pgs 70-71'!I47+'Whatcom Pgs 72-73'!I47+'Whitman Pgs 74-75'!I47+'Yakima Pgs 76-77'!I47+'Seattle-King Pgs 54-55'!I47</f>
        <v>0</v>
      </c>
      <c r="J47" s="104">
        <f>'Adams Pgs 8-9'!J47+'Asotin Pgs 10-11'!J47+'Benton-Franklin Pgs 12-13'!J47+'Chelan-Douglas Pgs 14-15'!J47+'Clallam Pgs 16-17'!J47+'Clark Pgs 18-19'!J47+'Columbia Pgs 20-21'!J47+'Cowlitz Pgs 22-23'!J47+'Garfield Pgs 24-25'!J47+'Grant Pgs 26-27'!J47+'Grays Harbor Pgs 28-29'!J47+'Island Pgs 30-31'!J47+'Jefferson Pgs 32-33'!J47+'Kitsap Pgs 34-35'!J47+'Kittitas Pgs 36-37'!J47+'Klickitat Pgs 38-39'!J47+'Lewis Pgs 40-41'!J47+'Lincoln Pgs 42-43'!J47+'Mason Pgs 44-45'!J47+'Northeast Tri Pgs 46-47'!J47+'Okanogan Pgs 48-49'!J47+'Pacific Pgs 50-51'!J47+'San Juan Pgs 52-53'!J47+'Skagit Pgs 56-57'!J47+'Skamania Pgs 58-59'!J47+'Snohomish Pgs 60-61'!J47+'Spokane Pgs 62-63'!J47+'Tacoma-Pierce Pgs 64-65'!J47+'Thurston Pgs 66-67'!J47+'Wahkiakum Pgs 68-69'!J47+'Walla Walla Pgs 70-71'!J47+'Whatcom Pgs 72-73'!J47+'Whitman Pgs 74-75'!J47+'Yakima Pgs 76-77'!J47+'Seattle-King Pgs 54-55'!J47</f>
        <v>14400</v>
      </c>
      <c r="K47" s="129">
        <f t="shared" si="2"/>
        <v>14806</v>
      </c>
      <c r="L47"/>
    </row>
    <row r="48" spans="1:12" x14ac:dyDescent="0.35">
      <c r="A48" s="93">
        <v>551.20000000000005</v>
      </c>
      <c r="B48" s="16" t="s">
        <v>34</v>
      </c>
      <c r="C48" s="103">
        <f>'Adams Pgs 8-9'!C48+'Asotin Pgs 10-11'!C48+'Benton-Franklin Pgs 12-13'!C48+'Chelan-Douglas Pgs 14-15'!C48+'Clallam Pgs 16-17'!C48+'Clark Pgs 18-19'!C48+'Columbia Pgs 20-21'!C48+'Cowlitz Pgs 22-23'!C48+'Garfield Pgs 24-25'!C48+'Grant Pgs 26-27'!C48+'Grays Harbor Pgs 28-29'!C48+'Island Pgs 30-31'!C48+'Jefferson Pgs 32-33'!C48+'Kitsap Pgs 34-35'!C48+'Kittitas Pgs 36-37'!C48+'Klickitat Pgs 38-39'!C48+'Lewis Pgs 40-41'!C48+'Lincoln Pgs 42-43'!C48+'Mason Pgs 44-45'!C48+'Northeast Tri Pgs 46-47'!C48+'Okanogan Pgs 48-49'!C48+'Pacific Pgs 50-51'!C48+'San Juan Pgs 52-53'!C48+'Skagit Pgs 56-57'!C48+'Skamania Pgs 58-59'!C48+'Snohomish Pgs 60-61'!C48+'Spokane Pgs 62-63'!C48+'Tacoma-Pierce Pgs 64-65'!C48+'Thurston Pgs 66-67'!C48+'Wahkiakum Pgs 68-69'!C48+'Walla Walla Pgs 70-71'!C48+'Whatcom Pgs 72-73'!C48+'Whitman Pgs 74-75'!C48+'Yakima Pgs 76-77'!C48+'Seattle-King Pgs 54-55'!C48</f>
        <v>0</v>
      </c>
      <c r="D48" s="102">
        <f>'Adams Pgs 8-9'!D48+'Asotin Pgs 10-11'!D48+'Benton-Franklin Pgs 12-13'!D48+'Chelan-Douglas Pgs 14-15'!D48+'Clallam Pgs 16-17'!D48+'Clark Pgs 18-19'!D48+'Columbia Pgs 20-21'!D48+'Cowlitz Pgs 22-23'!D48+'Garfield Pgs 24-25'!D48+'Grant Pgs 26-27'!D48+'Grays Harbor Pgs 28-29'!D48+'Island Pgs 30-31'!D48+'Jefferson Pgs 32-33'!D48+'Kitsap Pgs 34-35'!D48+'Kittitas Pgs 36-37'!D48+'Klickitat Pgs 38-39'!D48+'Lewis Pgs 40-41'!D48+'Lincoln Pgs 42-43'!D48+'Mason Pgs 44-45'!D48+'Northeast Tri Pgs 46-47'!D48+'Okanogan Pgs 48-49'!D48+'Pacific Pgs 50-51'!D48+'San Juan Pgs 52-53'!D48+'Skagit Pgs 56-57'!D48+'Skamania Pgs 58-59'!D48+'Snohomish Pgs 60-61'!D48+'Spokane Pgs 62-63'!D48+'Tacoma-Pierce Pgs 64-65'!D48+'Thurston Pgs 66-67'!D48+'Wahkiakum Pgs 68-69'!D48+'Walla Walla Pgs 70-71'!D48+'Whatcom Pgs 72-73'!D48+'Whitman Pgs 74-75'!D48+'Yakima Pgs 76-77'!D48+'Seattle-King Pgs 54-55'!D48</f>
        <v>0</v>
      </c>
      <c r="E48" s="100">
        <f>'Adams Pgs 8-9'!E48+'Asotin Pgs 10-11'!E48+'Benton-Franklin Pgs 12-13'!E48+'Chelan-Douglas Pgs 14-15'!E48+'Clallam Pgs 16-17'!E48+'Clark Pgs 18-19'!E48+'Columbia Pgs 20-21'!E48+'Cowlitz Pgs 22-23'!E48+'Garfield Pgs 24-25'!E48+'Grant Pgs 26-27'!E48+'Grays Harbor Pgs 28-29'!E48+'Island Pgs 30-31'!E48+'Jefferson Pgs 32-33'!E48+'Kitsap Pgs 34-35'!E48+'Kittitas Pgs 36-37'!E48+'Klickitat Pgs 38-39'!E48+'Lewis Pgs 40-41'!E48+'Lincoln Pgs 42-43'!E48+'Mason Pgs 44-45'!E48+'Northeast Tri Pgs 46-47'!E48+'Okanogan Pgs 48-49'!E48+'Pacific Pgs 50-51'!E48+'San Juan Pgs 52-53'!E48+'Skagit Pgs 56-57'!E48+'Skamania Pgs 58-59'!E48+'Snohomish Pgs 60-61'!E48+'Spokane Pgs 62-63'!E48+'Tacoma-Pierce Pgs 64-65'!E48+'Thurston Pgs 66-67'!E48+'Wahkiakum Pgs 68-69'!E48+'Walla Walla Pgs 70-71'!E48+'Whatcom Pgs 72-73'!E48+'Whitman Pgs 74-75'!E48+'Yakima Pgs 76-77'!E48+'Seattle-King Pgs 54-55'!E48</f>
        <v>0</v>
      </c>
      <c r="F48" s="101">
        <f>'Adams Pgs 8-9'!F48+'Asotin Pgs 10-11'!F48+'Benton-Franklin Pgs 12-13'!F48+'Chelan-Douglas Pgs 14-15'!F48+'Clallam Pgs 16-17'!F48+'Clark Pgs 18-19'!F48+'Columbia Pgs 20-21'!F48+'Cowlitz Pgs 22-23'!F48+'Garfield Pgs 24-25'!F48+'Grant Pgs 26-27'!F48+'Grays Harbor Pgs 28-29'!F48+'Island Pgs 30-31'!F48+'Jefferson Pgs 32-33'!F48+'Kitsap Pgs 34-35'!F48+'Kittitas Pgs 36-37'!F48+'Klickitat Pgs 38-39'!F48+'Lewis Pgs 40-41'!F48+'Lincoln Pgs 42-43'!F48+'Mason Pgs 44-45'!F48+'Northeast Tri Pgs 46-47'!F48+'Okanogan Pgs 48-49'!F48+'Pacific Pgs 50-51'!F48+'San Juan Pgs 52-53'!F48+'Skagit Pgs 56-57'!F48+'Skamania Pgs 58-59'!F48+'Snohomish Pgs 60-61'!F48+'Spokane Pgs 62-63'!F48+'Tacoma-Pierce Pgs 64-65'!F48+'Thurston Pgs 66-67'!F48+'Wahkiakum Pgs 68-69'!F48+'Walla Walla Pgs 70-71'!F48+'Whatcom Pgs 72-73'!F48+'Whitman Pgs 74-75'!F48+'Yakima Pgs 76-77'!F48+'Seattle-King Pgs 54-55'!F48</f>
        <v>0</v>
      </c>
      <c r="G48" s="102">
        <f>'Adams Pgs 8-9'!G48+'Asotin Pgs 10-11'!G48+'Benton-Franklin Pgs 12-13'!G48+'Chelan-Douglas Pgs 14-15'!G48+'Clallam Pgs 16-17'!G48+'Clark Pgs 18-19'!G48+'Columbia Pgs 20-21'!G48+'Cowlitz Pgs 22-23'!G48+'Garfield Pgs 24-25'!G48+'Grant Pgs 26-27'!G48+'Grays Harbor Pgs 28-29'!G48+'Island Pgs 30-31'!G48+'Jefferson Pgs 32-33'!G48+'Kitsap Pgs 34-35'!G48+'Kittitas Pgs 36-37'!G48+'Klickitat Pgs 38-39'!G48+'Lewis Pgs 40-41'!G48+'Lincoln Pgs 42-43'!G48+'Mason Pgs 44-45'!G48+'Northeast Tri Pgs 46-47'!G48+'Okanogan Pgs 48-49'!G48+'Pacific Pgs 50-51'!G48+'San Juan Pgs 52-53'!G48+'Skagit Pgs 56-57'!G48+'Skamania Pgs 58-59'!G48+'Snohomish Pgs 60-61'!G48+'Spokane Pgs 62-63'!G48+'Tacoma-Pierce Pgs 64-65'!G48+'Thurston Pgs 66-67'!G48+'Wahkiakum Pgs 68-69'!G48+'Walla Walla Pgs 70-71'!G48+'Whatcom Pgs 72-73'!G48+'Whitman Pgs 74-75'!G48+'Yakima Pgs 76-77'!G48+'Seattle-King Pgs 54-55'!G48</f>
        <v>0</v>
      </c>
      <c r="H48" s="100">
        <f>'Adams Pgs 8-9'!H48+'Asotin Pgs 10-11'!H48+'Benton-Franklin Pgs 12-13'!H48+'Chelan-Douglas Pgs 14-15'!H48+'Clallam Pgs 16-17'!H48+'Clark Pgs 18-19'!H48+'Columbia Pgs 20-21'!H48+'Cowlitz Pgs 22-23'!H48+'Garfield Pgs 24-25'!H48+'Grant Pgs 26-27'!H48+'Grays Harbor Pgs 28-29'!H48+'Island Pgs 30-31'!H48+'Jefferson Pgs 32-33'!H48+'Kitsap Pgs 34-35'!H48+'Kittitas Pgs 36-37'!H48+'Klickitat Pgs 38-39'!H48+'Lewis Pgs 40-41'!H48+'Lincoln Pgs 42-43'!H48+'Mason Pgs 44-45'!H48+'Northeast Tri Pgs 46-47'!H48+'Okanogan Pgs 48-49'!H48+'Pacific Pgs 50-51'!H48+'San Juan Pgs 52-53'!H48+'Skagit Pgs 56-57'!H48+'Skamania Pgs 58-59'!H48+'Snohomish Pgs 60-61'!H48+'Spokane Pgs 62-63'!H48+'Tacoma-Pierce Pgs 64-65'!H48+'Thurston Pgs 66-67'!H48+'Wahkiakum Pgs 68-69'!H48+'Walla Walla Pgs 70-71'!H48+'Whatcom Pgs 72-73'!H48+'Whitman Pgs 74-75'!H48+'Yakima Pgs 76-77'!H48+'Seattle-King Pgs 54-55'!H48</f>
        <v>0</v>
      </c>
      <c r="I48" s="102">
        <f>'Adams Pgs 8-9'!I48+'Asotin Pgs 10-11'!I48+'Benton-Franklin Pgs 12-13'!I48+'Chelan-Douglas Pgs 14-15'!I48+'Clallam Pgs 16-17'!I48+'Clark Pgs 18-19'!I48+'Columbia Pgs 20-21'!I48+'Cowlitz Pgs 22-23'!I48+'Garfield Pgs 24-25'!I48+'Grant Pgs 26-27'!I48+'Grays Harbor Pgs 28-29'!I48+'Island Pgs 30-31'!I48+'Jefferson Pgs 32-33'!I48+'Kitsap Pgs 34-35'!I48+'Kittitas Pgs 36-37'!I48+'Klickitat Pgs 38-39'!I48+'Lewis Pgs 40-41'!I48+'Lincoln Pgs 42-43'!I48+'Mason Pgs 44-45'!I48+'Northeast Tri Pgs 46-47'!I48+'Okanogan Pgs 48-49'!I48+'Pacific Pgs 50-51'!I48+'San Juan Pgs 52-53'!I48+'Skagit Pgs 56-57'!I48+'Skamania Pgs 58-59'!I48+'Snohomish Pgs 60-61'!I48+'Spokane Pgs 62-63'!I48+'Tacoma-Pierce Pgs 64-65'!I48+'Thurston Pgs 66-67'!I48+'Wahkiakum Pgs 68-69'!I48+'Walla Walla Pgs 70-71'!I48+'Whatcom Pgs 72-73'!I48+'Whitman Pgs 74-75'!I48+'Yakima Pgs 76-77'!I48+'Seattle-King Pgs 54-55'!I48</f>
        <v>0</v>
      </c>
      <c r="J48" s="104">
        <f>'Adams Pgs 8-9'!J48+'Asotin Pgs 10-11'!J48+'Benton-Franklin Pgs 12-13'!J48+'Chelan-Douglas Pgs 14-15'!J48+'Clallam Pgs 16-17'!J48+'Clark Pgs 18-19'!J48+'Columbia Pgs 20-21'!J48+'Cowlitz Pgs 22-23'!J48+'Garfield Pgs 24-25'!J48+'Grant Pgs 26-27'!J48+'Grays Harbor Pgs 28-29'!J48+'Island Pgs 30-31'!J48+'Jefferson Pgs 32-33'!J48+'Kitsap Pgs 34-35'!J48+'Kittitas Pgs 36-37'!J48+'Klickitat Pgs 38-39'!J48+'Lewis Pgs 40-41'!J48+'Lincoln Pgs 42-43'!J48+'Mason Pgs 44-45'!J48+'Northeast Tri Pgs 46-47'!J48+'Okanogan Pgs 48-49'!J48+'Pacific Pgs 50-51'!J48+'San Juan Pgs 52-53'!J48+'Skagit Pgs 56-57'!J48+'Skamania Pgs 58-59'!J48+'Snohomish Pgs 60-61'!J48+'Spokane Pgs 62-63'!J48+'Tacoma-Pierce Pgs 64-65'!J48+'Thurston Pgs 66-67'!J48+'Wahkiakum Pgs 68-69'!J48+'Walla Walla Pgs 70-71'!J48+'Whatcom Pgs 72-73'!J48+'Whitman Pgs 74-75'!J48+'Yakima Pgs 76-77'!J48+'Seattle-King Pgs 54-55'!J48</f>
        <v>0</v>
      </c>
      <c r="K48" s="129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103">
        <f>'Adams Pgs 8-9'!C49+'Asotin Pgs 10-11'!C49+'Benton-Franklin Pgs 12-13'!C49+'Chelan-Douglas Pgs 14-15'!C49+'Clallam Pgs 16-17'!C49+'Clark Pgs 18-19'!C49+'Columbia Pgs 20-21'!C49+'Cowlitz Pgs 22-23'!C49+'Garfield Pgs 24-25'!C49+'Grant Pgs 26-27'!C49+'Grays Harbor Pgs 28-29'!C49+'Island Pgs 30-31'!C49+'Jefferson Pgs 32-33'!C49+'Kitsap Pgs 34-35'!C49+'Kittitas Pgs 36-37'!C49+'Klickitat Pgs 38-39'!C49+'Lewis Pgs 40-41'!C49+'Lincoln Pgs 42-43'!C49+'Mason Pgs 44-45'!C49+'Northeast Tri Pgs 46-47'!C49+'Okanogan Pgs 48-49'!C49+'Pacific Pgs 50-51'!C49+'San Juan Pgs 52-53'!C49+'Skagit Pgs 56-57'!C49+'Skamania Pgs 58-59'!C49+'Snohomish Pgs 60-61'!C49+'Spokane Pgs 62-63'!C49+'Tacoma-Pierce Pgs 64-65'!C49+'Thurston Pgs 66-67'!C49+'Wahkiakum Pgs 68-69'!C49+'Walla Walla Pgs 70-71'!C49+'Whatcom Pgs 72-73'!C49+'Whitman Pgs 74-75'!C49+'Yakima Pgs 76-77'!C49+'Seattle-King Pgs 54-55'!C49</f>
        <v>9750</v>
      </c>
      <c r="D49" s="102">
        <f>'Adams Pgs 8-9'!D49+'Asotin Pgs 10-11'!D49+'Benton-Franklin Pgs 12-13'!D49+'Chelan-Douglas Pgs 14-15'!D49+'Clallam Pgs 16-17'!D49+'Clark Pgs 18-19'!D49+'Columbia Pgs 20-21'!D49+'Cowlitz Pgs 22-23'!D49+'Garfield Pgs 24-25'!D49+'Grant Pgs 26-27'!D49+'Grays Harbor Pgs 28-29'!D49+'Island Pgs 30-31'!D49+'Jefferson Pgs 32-33'!D49+'Kitsap Pgs 34-35'!D49+'Kittitas Pgs 36-37'!D49+'Klickitat Pgs 38-39'!D49+'Lewis Pgs 40-41'!D49+'Lincoln Pgs 42-43'!D49+'Mason Pgs 44-45'!D49+'Northeast Tri Pgs 46-47'!D49+'Okanogan Pgs 48-49'!D49+'Pacific Pgs 50-51'!D49+'San Juan Pgs 52-53'!D49+'Skagit Pgs 56-57'!D49+'Skamania Pgs 58-59'!D49+'Snohomish Pgs 60-61'!D49+'Spokane Pgs 62-63'!D49+'Tacoma-Pierce Pgs 64-65'!D49+'Thurston Pgs 66-67'!D49+'Wahkiakum Pgs 68-69'!D49+'Walla Walla Pgs 70-71'!D49+'Whatcom Pgs 72-73'!D49+'Whitman Pgs 74-75'!D49+'Yakima Pgs 76-77'!D49+'Seattle-King Pgs 54-55'!D49</f>
        <v>0</v>
      </c>
      <c r="E49" s="100">
        <f>'Adams Pgs 8-9'!E49+'Asotin Pgs 10-11'!E49+'Benton-Franklin Pgs 12-13'!E49+'Chelan-Douglas Pgs 14-15'!E49+'Clallam Pgs 16-17'!E49+'Clark Pgs 18-19'!E49+'Columbia Pgs 20-21'!E49+'Cowlitz Pgs 22-23'!E49+'Garfield Pgs 24-25'!E49+'Grant Pgs 26-27'!E49+'Grays Harbor Pgs 28-29'!E49+'Island Pgs 30-31'!E49+'Jefferson Pgs 32-33'!E49+'Kitsap Pgs 34-35'!E49+'Kittitas Pgs 36-37'!E49+'Klickitat Pgs 38-39'!E49+'Lewis Pgs 40-41'!E49+'Lincoln Pgs 42-43'!E49+'Mason Pgs 44-45'!E49+'Northeast Tri Pgs 46-47'!E49+'Okanogan Pgs 48-49'!E49+'Pacific Pgs 50-51'!E49+'San Juan Pgs 52-53'!E49+'Skagit Pgs 56-57'!E49+'Skamania Pgs 58-59'!E49+'Snohomish Pgs 60-61'!E49+'Spokane Pgs 62-63'!E49+'Tacoma-Pierce Pgs 64-65'!E49+'Thurston Pgs 66-67'!E49+'Wahkiakum Pgs 68-69'!E49+'Walla Walla Pgs 70-71'!E49+'Whatcom Pgs 72-73'!E49+'Whitman Pgs 74-75'!E49+'Yakima Pgs 76-77'!E49+'Seattle-King Pgs 54-55'!E49</f>
        <v>0</v>
      </c>
      <c r="F49" s="101">
        <f>'Adams Pgs 8-9'!F49+'Asotin Pgs 10-11'!F49+'Benton-Franklin Pgs 12-13'!F49+'Chelan-Douglas Pgs 14-15'!F49+'Clallam Pgs 16-17'!F49+'Clark Pgs 18-19'!F49+'Columbia Pgs 20-21'!F49+'Cowlitz Pgs 22-23'!F49+'Garfield Pgs 24-25'!F49+'Grant Pgs 26-27'!F49+'Grays Harbor Pgs 28-29'!F49+'Island Pgs 30-31'!F49+'Jefferson Pgs 32-33'!F49+'Kitsap Pgs 34-35'!F49+'Kittitas Pgs 36-37'!F49+'Klickitat Pgs 38-39'!F49+'Lewis Pgs 40-41'!F49+'Lincoln Pgs 42-43'!F49+'Mason Pgs 44-45'!F49+'Northeast Tri Pgs 46-47'!F49+'Okanogan Pgs 48-49'!F49+'Pacific Pgs 50-51'!F49+'San Juan Pgs 52-53'!F49+'Skagit Pgs 56-57'!F49+'Skamania Pgs 58-59'!F49+'Snohomish Pgs 60-61'!F49+'Spokane Pgs 62-63'!F49+'Tacoma-Pierce Pgs 64-65'!F49+'Thurston Pgs 66-67'!F49+'Wahkiakum Pgs 68-69'!F49+'Walla Walla Pgs 70-71'!F49+'Whatcom Pgs 72-73'!F49+'Whitman Pgs 74-75'!F49+'Yakima Pgs 76-77'!F49+'Seattle-King Pgs 54-55'!F49</f>
        <v>12050</v>
      </c>
      <c r="G49" s="102">
        <f>'Adams Pgs 8-9'!G49+'Asotin Pgs 10-11'!G49+'Benton-Franklin Pgs 12-13'!G49+'Chelan-Douglas Pgs 14-15'!G49+'Clallam Pgs 16-17'!G49+'Clark Pgs 18-19'!G49+'Columbia Pgs 20-21'!G49+'Cowlitz Pgs 22-23'!G49+'Garfield Pgs 24-25'!G49+'Grant Pgs 26-27'!G49+'Grays Harbor Pgs 28-29'!G49+'Island Pgs 30-31'!G49+'Jefferson Pgs 32-33'!G49+'Kitsap Pgs 34-35'!G49+'Kittitas Pgs 36-37'!G49+'Klickitat Pgs 38-39'!G49+'Lewis Pgs 40-41'!G49+'Lincoln Pgs 42-43'!G49+'Mason Pgs 44-45'!G49+'Northeast Tri Pgs 46-47'!G49+'Okanogan Pgs 48-49'!G49+'Pacific Pgs 50-51'!G49+'San Juan Pgs 52-53'!G49+'Skagit Pgs 56-57'!G49+'Skamania Pgs 58-59'!G49+'Snohomish Pgs 60-61'!G49+'Spokane Pgs 62-63'!G49+'Tacoma-Pierce Pgs 64-65'!G49+'Thurston Pgs 66-67'!G49+'Wahkiakum Pgs 68-69'!G49+'Walla Walla Pgs 70-71'!G49+'Whatcom Pgs 72-73'!G49+'Whitman Pgs 74-75'!G49+'Yakima Pgs 76-77'!G49+'Seattle-King Pgs 54-55'!G49</f>
        <v>160093</v>
      </c>
      <c r="H49" s="100">
        <f>'Adams Pgs 8-9'!H49+'Asotin Pgs 10-11'!H49+'Benton-Franklin Pgs 12-13'!H49+'Chelan-Douglas Pgs 14-15'!H49+'Clallam Pgs 16-17'!H49+'Clark Pgs 18-19'!H49+'Columbia Pgs 20-21'!H49+'Cowlitz Pgs 22-23'!H49+'Garfield Pgs 24-25'!H49+'Grant Pgs 26-27'!H49+'Grays Harbor Pgs 28-29'!H49+'Island Pgs 30-31'!H49+'Jefferson Pgs 32-33'!H49+'Kitsap Pgs 34-35'!H49+'Kittitas Pgs 36-37'!H49+'Klickitat Pgs 38-39'!H49+'Lewis Pgs 40-41'!H49+'Lincoln Pgs 42-43'!H49+'Mason Pgs 44-45'!H49+'Northeast Tri Pgs 46-47'!H49+'Okanogan Pgs 48-49'!H49+'Pacific Pgs 50-51'!H49+'San Juan Pgs 52-53'!H49+'Skagit Pgs 56-57'!H49+'Skamania Pgs 58-59'!H49+'Snohomish Pgs 60-61'!H49+'Spokane Pgs 62-63'!H49+'Tacoma-Pierce Pgs 64-65'!H49+'Thurston Pgs 66-67'!H49+'Wahkiakum Pgs 68-69'!H49+'Walla Walla Pgs 70-71'!H49+'Whatcom Pgs 72-73'!H49+'Whitman Pgs 74-75'!H49+'Yakima Pgs 76-77'!H49+'Seattle-King Pgs 54-55'!H49</f>
        <v>0</v>
      </c>
      <c r="I49" s="102">
        <f>'Adams Pgs 8-9'!I49+'Asotin Pgs 10-11'!I49+'Benton-Franklin Pgs 12-13'!I49+'Chelan-Douglas Pgs 14-15'!I49+'Clallam Pgs 16-17'!I49+'Clark Pgs 18-19'!I49+'Columbia Pgs 20-21'!I49+'Cowlitz Pgs 22-23'!I49+'Garfield Pgs 24-25'!I49+'Grant Pgs 26-27'!I49+'Grays Harbor Pgs 28-29'!I49+'Island Pgs 30-31'!I49+'Jefferson Pgs 32-33'!I49+'Kitsap Pgs 34-35'!I49+'Kittitas Pgs 36-37'!I49+'Klickitat Pgs 38-39'!I49+'Lewis Pgs 40-41'!I49+'Lincoln Pgs 42-43'!I49+'Mason Pgs 44-45'!I49+'Northeast Tri Pgs 46-47'!I49+'Okanogan Pgs 48-49'!I49+'Pacific Pgs 50-51'!I49+'San Juan Pgs 52-53'!I49+'Skagit Pgs 56-57'!I49+'Skamania Pgs 58-59'!I49+'Snohomish Pgs 60-61'!I49+'Spokane Pgs 62-63'!I49+'Tacoma-Pierce Pgs 64-65'!I49+'Thurston Pgs 66-67'!I49+'Wahkiakum Pgs 68-69'!I49+'Walla Walla Pgs 70-71'!I49+'Whatcom Pgs 72-73'!I49+'Whitman Pgs 74-75'!I49+'Yakima Pgs 76-77'!I49+'Seattle-King Pgs 54-55'!I49</f>
        <v>65087</v>
      </c>
      <c r="J49" s="104">
        <f>'Adams Pgs 8-9'!J49+'Asotin Pgs 10-11'!J49+'Benton-Franklin Pgs 12-13'!J49+'Chelan-Douglas Pgs 14-15'!J49+'Clallam Pgs 16-17'!J49+'Clark Pgs 18-19'!J49+'Columbia Pgs 20-21'!J49+'Cowlitz Pgs 22-23'!J49+'Garfield Pgs 24-25'!J49+'Grant Pgs 26-27'!J49+'Grays Harbor Pgs 28-29'!J49+'Island Pgs 30-31'!J49+'Jefferson Pgs 32-33'!J49+'Kitsap Pgs 34-35'!J49+'Kittitas Pgs 36-37'!J49+'Klickitat Pgs 38-39'!J49+'Lewis Pgs 40-41'!J49+'Lincoln Pgs 42-43'!J49+'Mason Pgs 44-45'!J49+'Northeast Tri Pgs 46-47'!J49+'Okanogan Pgs 48-49'!J49+'Pacific Pgs 50-51'!J49+'San Juan Pgs 52-53'!J49+'Skagit Pgs 56-57'!J49+'Skamania Pgs 58-59'!J49+'Snohomish Pgs 60-61'!J49+'Spokane Pgs 62-63'!J49+'Tacoma-Pierce Pgs 64-65'!J49+'Thurston Pgs 66-67'!J49+'Wahkiakum Pgs 68-69'!J49+'Walla Walla Pgs 70-71'!J49+'Whatcom Pgs 72-73'!J49+'Whitman Pgs 74-75'!J49+'Yakima Pgs 76-77'!J49+'Seattle-King Pgs 54-55'!J49</f>
        <v>-7714</v>
      </c>
      <c r="K49" s="129">
        <f t="shared" si="2"/>
        <v>239266</v>
      </c>
      <c r="L49"/>
    </row>
    <row r="50" spans="1:12" x14ac:dyDescent="0.35">
      <c r="A50" s="93">
        <v>555</v>
      </c>
      <c r="B50" s="16" t="s">
        <v>35</v>
      </c>
      <c r="C50" s="103">
        <f>'Adams Pgs 8-9'!C50+'Asotin Pgs 10-11'!C50+'Benton-Franklin Pgs 12-13'!C50+'Chelan-Douglas Pgs 14-15'!C50+'Clallam Pgs 16-17'!C50+'Clark Pgs 18-19'!C50+'Columbia Pgs 20-21'!C50+'Cowlitz Pgs 22-23'!C50+'Garfield Pgs 24-25'!C50+'Grant Pgs 26-27'!C50+'Grays Harbor Pgs 28-29'!C50+'Island Pgs 30-31'!C50+'Jefferson Pgs 32-33'!C50+'Kitsap Pgs 34-35'!C50+'Kittitas Pgs 36-37'!C50+'Klickitat Pgs 38-39'!C50+'Lewis Pgs 40-41'!C50+'Lincoln Pgs 42-43'!C50+'Mason Pgs 44-45'!C50+'Northeast Tri Pgs 46-47'!C50+'Okanogan Pgs 48-49'!C50+'Pacific Pgs 50-51'!C50+'San Juan Pgs 52-53'!C50+'Skagit Pgs 56-57'!C50+'Skamania Pgs 58-59'!C50+'Snohomish Pgs 60-61'!C50+'Spokane Pgs 62-63'!C50+'Tacoma-Pierce Pgs 64-65'!C50+'Thurston Pgs 66-67'!C50+'Wahkiakum Pgs 68-69'!C50+'Walla Walla Pgs 70-71'!C50+'Whatcom Pgs 72-73'!C50+'Whitman Pgs 74-75'!C50+'Yakima Pgs 76-77'!C50+'Seattle-King Pgs 54-55'!C50</f>
        <v>348481</v>
      </c>
      <c r="D50" s="102">
        <f>'Adams Pgs 8-9'!D50+'Asotin Pgs 10-11'!D50+'Benton-Franklin Pgs 12-13'!D50+'Chelan-Douglas Pgs 14-15'!D50+'Clallam Pgs 16-17'!D50+'Clark Pgs 18-19'!D50+'Columbia Pgs 20-21'!D50+'Cowlitz Pgs 22-23'!D50+'Garfield Pgs 24-25'!D50+'Grant Pgs 26-27'!D50+'Grays Harbor Pgs 28-29'!D50+'Island Pgs 30-31'!D50+'Jefferson Pgs 32-33'!D50+'Kitsap Pgs 34-35'!D50+'Kittitas Pgs 36-37'!D50+'Klickitat Pgs 38-39'!D50+'Lewis Pgs 40-41'!D50+'Lincoln Pgs 42-43'!D50+'Mason Pgs 44-45'!D50+'Northeast Tri Pgs 46-47'!D50+'Okanogan Pgs 48-49'!D50+'Pacific Pgs 50-51'!D50+'San Juan Pgs 52-53'!D50+'Skagit Pgs 56-57'!D50+'Skamania Pgs 58-59'!D50+'Snohomish Pgs 60-61'!D50+'Spokane Pgs 62-63'!D50+'Tacoma-Pierce Pgs 64-65'!D50+'Thurston Pgs 66-67'!D50+'Wahkiakum Pgs 68-69'!D50+'Walla Walla Pgs 70-71'!D50+'Whatcom Pgs 72-73'!D50+'Whitman Pgs 74-75'!D50+'Yakima Pgs 76-77'!D50+'Seattle-King Pgs 54-55'!D50</f>
        <v>4000</v>
      </c>
      <c r="E50" s="100">
        <f>'Adams Pgs 8-9'!E50+'Asotin Pgs 10-11'!E50+'Benton-Franklin Pgs 12-13'!E50+'Chelan-Douglas Pgs 14-15'!E50+'Clallam Pgs 16-17'!E50+'Clark Pgs 18-19'!E50+'Columbia Pgs 20-21'!E50+'Cowlitz Pgs 22-23'!E50+'Garfield Pgs 24-25'!E50+'Grant Pgs 26-27'!E50+'Grays Harbor Pgs 28-29'!E50+'Island Pgs 30-31'!E50+'Jefferson Pgs 32-33'!E50+'Kitsap Pgs 34-35'!E50+'Kittitas Pgs 36-37'!E50+'Klickitat Pgs 38-39'!E50+'Lewis Pgs 40-41'!E50+'Lincoln Pgs 42-43'!E50+'Mason Pgs 44-45'!E50+'Northeast Tri Pgs 46-47'!E50+'Okanogan Pgs 48-49'!E50+'Pacific Pgs 50-51'!E50+'San Juan Pgs 52-53'!E50+'Skagit Pgs 56-57'!E50+'Skamania Pgs 58-59'!E50+'Snohomish Pgs 60-61'!E50+'Spokane Pgs 62-63'!E50+'Tacoma-Pierce Pgs 64-65'!E50+'Thurston Pgs 66-67'!E50+'Wahkiakum Pgs 68-69'!E50+'Walla Walla Pgs 70-71'!E50+'Whatcom Pgs 72-73'!E50+'Whitman Pgs 74-75'!E50+'Yakima Pgs 76-77'!E50+'Seattle-King Pgs 54-55'!E50</f>
        <v>0</v>
      </c>
      <c r="F50" s="101">
        <f>'Adams Pgs 8-9'!F50+'Asotin Pgs 10-11'!F50+'Benton-Franklin Pgs 12-13'!F50+'Chelan-Douglas Pgs 14-15'!F50+'Clallam Pgs 16-17'!F50+'Clark Pgs 18-19'!F50+'Columbia Pgs 20-21'!F50+'Cowlitz Pgs 22-23'!F50+'Garfield Pgs 24-25'!F50+'Grant Pgs 26-27'!F50+'Grays Harbor Pgs 28-29'!F50+'Island Pgs 30-31'!F50+'Jefferson Pgs 32-33'!F50+'Kitsap Pgs 34-35'!F50+'Kittitas Pgs 36-37'!F50+'Klickitat Pgs 38-39'!F50+'Lewis Pgs 40-41'!F50+'Lincoln Pgs 42-43'!F50+'Mason Pgs 44-45'!F50+'Northeast Tri Pgs 46-47'!F50+'Okanogan Pgs 48-49'!F50+'Pacific Pgs 50-51'!F50+'San Juan Pgs 52-53'!F50+'Skagit Pgs 56-57'!F50+'Skamania Pgs 58-59'!F50+'Snohomish Pgs 60-61'!F50+'Spokane Pgs 62-63'!F50+'Tacoma-Pierce Pgs 64-65'!F50+'Thurston Pgs 66-67'!F50+'Wahkiakum Pgs 68-69'!F50+'Walla Walla Pgs 70-71'!F50+'Whatcom Pgs 72-73'!F50+'Whitman Pgs 74-75'!F50+'Yakima Pgs 76-77'!F50+'Seattle-King Pgs 54-55'!F50</f>
        <v>0</v>
      </c>
      <c r="G50" s="102">
        <f>'Adams Pgs 8-9'!G50+'Asotin Pgs 10-11'!G50+'Benton-Franklin Pgs 12-13'!G50+'Chelan-Douglas Pgs 14-15'!G50+'Clallam Pgs 16-17'!G50+'Clark Pgs 18-19'!G50+'Columbia Pgs 20-21'!G50+'Cowlitz Pgs 22-23'!G50+'Garfield Pgs 24-25'!G50+'Grant Pgs 26-27'!G50+'Grays Harbor Pgs 28-29'!G50+'Island Pgs 30-31'!G50+'Jefferson Pgs 32-33'!G50+'Kitsap Pgs 34-35'!G50+'Kittitas Pgs 36-37'!G50+'Klickitat Pgs 38-39'!G50+'Lewis Pgs 40-41'!G50+'Lincoln Pgs 42-43'!G50+'Mason Pgs 44-45'!G50+'Northeast Tri Pgs 46-47'!G50+'Okanogan Pgs 48-49'!G50+'Pacific Pgs 50-51'!G50+'San Juan Pgs 52-53'!G50+'Skagit Pgs 56-57'!G50+'Skamania Pgs 58-59'!G50+'Snohomish Pgs 60-61'!G50+'Spokane Pgs 62-63'!G50+'Tacoma-Pierce Pgs 64-65'!G50+'Thurston Pgs 66-67'!G50+'Wahkiakum Pgs 68-69'!G50+'Walla Walla Pgs 70-71'!G50+'Whatcom Pgs 72-73'!G50+'Whitman Pgs 74-75'!G50+'Yakima Pgs 76-77'!G50+'Seattle-King Pgs 54-55'!G50</f>
        <v>194000</v>
      </c>
      <c r="H50" s="100">
        <f>'Adams Pgs 8-9'!H50+'Asotin Pgs 10-11'!H50+'Benton-Franklin Pgs 12-13'!H50+'Chelan-Douglas Pgs 14-15'!H50+'Clallam Pgs 16-17'!H50+'Clark Pgs 18-19'!H50+'Columbia Pgs 20-21'!H50+'Cowlitz Pgs 22-23'!H50+'Garfield Pgs 24-25'!H50+'Grant Pgs 26-27'!H50+'Grays Harbor Pgs 28-29'!H50+'Island Pgs 30-31'!H50+'Jefferson Pgs 32-33'!H50+'Kitsap Pgs 34-35'!H50+'Kittitas Pgs 36-37'!H50+'Klickitat Pgs 38-39'!H50+'Lewis Pgs 40-41'!H50+'Lincoln Pgs 42-43'!H50+'Mason Pgs 44-45'!H50+'Northeast Tri Pgs 46-47'!H50+'Okanogan Pgs 48-49'!H50+'Pacific Pgs 50-51'!H50+'San Juan Pgs 52-53'!H50+'Skagit Pgs 56-57'!H50+'Skamania Pgs 58-59'!H50+'Snohomish Pgs 60-61'!H50+'Spokane Pgs 62-63'!H50+'Tacoma-Pierce Pgs 64-65'!H50+'Thurston Pgs 66-67'!H50+'Wahkiakum Pgs 68-69'!H50+'Walla Walla Pgs 70-71'!H50+'Whatcom Pgs 72-73'!H50+'Whitman Pgs 74-75'!H50+'Yakima Pgs 76-77'!H50+'Seattle-King Pgs 54-55'!H50</f>
        <v>0</v>
      </c>
      <c r="I50" s="102">
        <f>'Adams Pgs 8-9'!I50+'Asotin Pgs 10-11'!I50+'Benton-Franklin Pgs 12-13'!I50+'Chelan-Douglas Pgs 14-15'!I50+'Clallam Pgs 16-17'!I50+'Clark Pgs 18-19'!I50+'Columbia Pgs 20-21'!I50+'Cowlitz Pgs 22-23'!I50+'Garfield Pgs 24-25'!I50+'Grant Pgs 26-27'!I50+'Grays Harbor Pgs 28-29'!I50+'Island Pgs 30-31'!I50+'Jefferson Pgs 32-33'!I50+'Kitsap Pgs 34-35'!I50+'Kittitas Pgs 36-37'!I50+'Klickitat Pgs 38-39'!I50+'Lewis Pgs 40-41'!I50+'Lincoln Pgs 42-43'!I50+'Mason Pgs 44-45'!I50+'Northeast Tri Pgs 46-47'!I50+'Okanogan Pgs 48-49'!I50+'Pacific Pgs 50-51'!I50+'San Juan Pgs 52-53'!I50+'Skagit Pgs 56-57'!I50+'Skamania Pgs 58-59'!I50+'Snohomish Pgs 60-61'!I50+'Spokane Pgs 62-63'!I50+'Tacoma-Pierce Pgs 64-65'!I50+'Thurston Pgs 66-67'!I50+'Wahkiakum Pgs 68-69'!I50+'Walla Walla Pgs 70-71'!I50+'Whatcom Pgs 72-73'!I50+'Whitman Pgs 74-75'!I50+'Yakima Pgs 76-77'!I50+'Seattle-King Pgs 54-55'!I50</f>
        <v>71950</v>
      </c>
      <c r="J50" s="104">
        <f>'Adams Pgs 8-9'!J50+'Asotin Pgs 10-11'!J50+'Benton-Franklin Pgs 12-13'!J50+'Chelan-Douglas Pgs 14-15'!J50+'Clallam Pgs 16-17'!J50+'Clark Pgs 18-19'!J50+'Columbia Pgs 20-21'!J50+'Cowlitz Pgs 22-23'!J50+'Garfield Pgs 24-25'!J50+'Grant Pgs 26-27'!J50+'Grays Harbor Pgs 28-29'!J50+'Island Pgs 30-31'!J50+'Jefferson Pgs 32-33'!J50+'Kitsap Pgs 34-35'!J50+'Kittitas Pgs 36-37'!J50+'Klickitat Pgs 38-39'!J50+'Lewis Pgs 40-41'!J50+'Lincoln Pgs 42-43'!J50+'Mason Pgs 44-45'!J50+'Northeast Tri Pgs 46-47'!J50+'Okanogan Pgs 48-49'!J50+'Pacific Pgs 50-51'!J50+'San Juan Pgs 52-53'!J50+'Skagit Pgs 56-57'!J50+'Skamania Pgs 58-59'!J50+'Snohomish Pgs 60-61'!J50+'Spokane Pgs 62-63'!J50+'Tacoma-Pierce Pgs 64-65'!J50+'Thurston Pgs 66-67'!J50+'Wahkiakum Pgs 68-69'!J50+'Walla Walla Pgs 70-71'!J50+'Whatcom Pgs 72-73'!J50+'Whitman Pgs 74-75'!J50+'Yakima Pgs 76-77'!J50+'Seattle-King Pgs 54-55'!J50</f>
        <v>0</v>
      </c>
      <c r="K50" s="129">
        <f t="shared" si="2"/>
        <v>618431</v>
      </c>
      <c r="L50"/>
    </row>
    <row r="51" spans="1:12" x14ac:dyDescent="0.35">
      <c r="A51" s="93">
        <v>563</v>
      </c>
      <c r="B51" s="16" t="s">
        <v>36</v>
      </c>
      <c r="C51" s="103">
        <f>'Adams Pgs 8-9'!C51+'Asotin Pgs 10-11'!C51+'Benton-Franklin Pgs 12-13'!C51+'Chelan-Douglas Pgs 14-15'!C51+'Clallam Pgs 16-17'!C51+'Clark Pgs 18-19'!C51+'Columbia Pgs 20-21'!C51+'Cowlitz Pgs 22-23'!C51+'Garfield Pgs 24-25'!C51+'Grant Pgs 26-27'!C51+'Grays Harbor Pgs 28-29'!C51+'Island Pgs 30-31'!C51+'Jefferson Pgs 32-33'!C51+'Kitsap Pgs 34-35'!C51+'Kittitas Pgs 36-37'!C51+'Klickitat Pgs 38-39'!C51+'Lewis Pgs 40-41'!C51+'Lincoln Pgs 42-43'!C51+'Mason Pgs 44-45'!C51+'Northeast Tri Pgs 46-47'!C51+'Okanogan Pgs 48-49'!C51+'Pacific Pgs 50-51'!C51+'San Juan Pgs 52-53'!C51+'Skagit Pgs 56-57'!C51+'Skamania Pgs 58-59'!C51+'Snohomish Pgs 60-61'!C51+'Spokane Pgs 62-63'!C51+'Tacoma-Pierce Pgs 64-65'!C51+'Thurston Pgs 66-67'!C51+'Wahkiakum Pgs 68-69'!C51+'Walla Walla Pgs 70-71'!C51+'Whatcom Pgs 72-73'!C51+'Whitman Pgs 74-75'!C51+'Yakima Pgs 76-77'!C51+'Seattle-King Pgs 54-55'!C51</f>
        <v>4116715</v>
      </c>
      <c r="D51" s="102">
        <f>'Adams Pgs 8-9'!D51+'Asotin Pgs 10-11'!D51+'Benton-Franklin Pgs 12-13'!D51+'Chelan-Douglas Pgs 14-15'!D51+'Clallam Pgs 16-17'!D51+'Clark Pgs 18-19'!D51+'Columbia Pgs 20-21'!D51+'Cowlitz Pgs 22-23'!D51+'Garfield Pgs 24-25'!D51+'Grant Pgs 26-27'!D51+'Grays Harbor Pgs 28-29'!D51+'Island Pgs 30-31'!D51+'Jefferson Pgs 32-33'!D51+'Kitsap Pgs 34-35'!D51+'Kittitas Pgs 36-37'!D51+'Klickitat Pgs 38-39'!D51+'Lewis Pgs 40-41'!D51+'Lincoln Pgs 42-43'!D51+'Mason Pgs 44-45'!D51+'Northeast Tri Pgs 46-47'!D51+'Okanogan Pgs 48-49'!D51+'Pacific Pgs 50-51'!D51+'San Juan Pgs 52-53'!D51+'Skagit Pgs 56-57'!D51+'Skamania Pgs 58-59'!D51+'Snohomish Pgs 60-61'!D51+'Spokane Pgs 62-63'!D51+'Tacoma-Pierce Pgs 64-65'!D51+'Thurston Pgs 66-67'!D51+'Wahkiakum Pgs 68-69'!D51+'Walla Walla Pgs 70-71'!D51+'Whatcom Pgs 72-73'!D51+'Whitman Pgs 74-75'!D51+'Yakima Pgs 76-77'!D51+'Seattle-King Pgs 54-55'!D51</f>
        <v>1084336</v>
      </c>
      <c r="E51" s="100">
        <f>'Adams Pgs 8-9'!E51+'Asotin Pgs 10-11'!E51+'Benton-Franklin Pgs 12-13'!E51+'Chelan-Douglas Pgs 14-15'!E51+'Clallam Pgs 16-17'!E51+'Clark Pgs 18-19'!E51+'Columbia Pgs 20-21'!E51+'Cowlitz Pgs 22-23'!E51+'Garfield Pgs 24-25'!E51+'Grant Pgs 26-27'!E51+'Grays Harbor Pgs 28-29'!E51+'Island Pgs 30-31'!E51+'Jefferson Pgs 32-33'!E51+'Kitsap Pgs 34-35'!E51+'Kittitas Pgs 36-37'!E51+'Klickitat Pgs 38-39'!E51+'Lewis Pgs 40-41'!E51+'Lincoln Pgs 42-43'!E51+'Mason Pgs 44-45'!E51+'Northeast Tri Pgs 46-47'!E51+'Okanogan Pgs 48-49'!E51+'Pacific Pgs 50-51'!E51+'San Juan Pgs 52-53'!E51+'Skagit Pgs 56-57'!E51+'Skamania Pgs 58-59'!E51+'Snohomish Pgs 60-61'!E51+'Spokane Pgs 62-63'!E51+'Tacoma-Pierce Pgs 64-65'!E51+'Thurston Pgs 66-67'!E51+'Wahkiakum Pgs 68-69'!E51+'Walla Walla Pgs 70-71'!E51+'Whatcom Pgs 72-73'!E51+'Whitman Pgs 74-75'!E51+'Yakima Pgs 76-77'!E51+'Seattle-King Pgs 54-55'!E51</f>
        <v>0</v>
      </c>
      <c r="F51" s="101">
        <f>'Adams Pgs 8-9'!F51+'Asotin Pgs 10-11'!F51+'Benton-Franklin Pgs 12-13'!F51+'Chelan-Douglas Pgs 14-15'!F51+'Clallam Pgs 16-17'!F51+'Clark Pgs 18-19'!F51+'Columbia Pgs 20-21'!F51+'Cowlitz Pgs 22-23'!F51+'Garfield Pgs 24-25'!F51+'Grant Pgs 26-27'!F51+'Grays Harbor Pgs 28-29'!F51+'Island Pgs 30-31'!F51+'Jefferson Pgs 32-33'!F51+'Kitsap Pgs 34-35'!F51+'Kittitas Pgs 36-37'!F51+'Klickitat Pgs 38-39'!F51+'Lewis Pgs 40-41'!F51+'Lincoln Pgs 42-43'!F51+'Mason Pgs 44-45'!F51+'Northeast Tri Pgs 46-47'!F51+'Okanogan Pgs 48-49'!F51+'Pacific Pgs 50-51'!F51+'San Juan Pgs 52-53'!F51+'Skagit Pgs 56-57'!F51+'Skamania Pgs 58-59'!F51+'Snohomish Pgs 60-61'!F51+'Spokane Pgs 62-63'!F51+'Tacoma-Pierce Pgs 64-65'!F51+'Thurston Pgs 66-67'!F51+'Wahkiakum Pgs 68-69'!F51+'Walla Walla Pgs 70-71'!F51+'Whatcom Pgs 72-73'!F51+'Whitman Pgs 74-75'!F51+'Yakima Pgs 76-77'!F51+'Seattle-King Pgs 54-55'!F51</f>
        <v>0</v>
      </c>
      <c r="G51" s="102">
        <f>'Adams Pgs 8-9'!G51+'Asotin Pgs 10-11'!G51+'Benton-Franklin Pgs 12-13'!G51+'Chelan-Douglas Pgs 14-15'!G51+'Clallam Pgs 16-17'!G51+'Clark Pgs 18-19'!G51+'Columbia Pgs 20-21'!G51+'Cowlitz Pgs 22-23'!G51+'Garfield Pgs 24-25'!G51+'Grant Pgs 26-27'!G51+'Grays Harbor Pgs 28-29'!G51+'Island Pgs 30-31'!G51+'Jefferson Pgs 32-33'!G51+'Kitsap Pgs 34-35'!G51+'Kittitas Pgs 36-37'!G51+'Klickitat Pgs 38-39'!G51+'Lewis Pgs 40-41'!G51+'Lincoln Pgs 42-43'!G51+'Mason Pgs 44-45'!G51+'Northeast Tri Pgs 46-47'!G51+'Okanogan Pgs 48-49'!G51+'Pacific Pgs 50-51'!G51+'San Juan Pgs 52-53'!G51+'Skagit Pgs 56-57'!G51+'Skamania Pgs 58-59'!G51+'Snohomish Pgs 60-61'!G51+'Spokane Pgs 62-63'!G51+'Tacoma-Pierce Pgs 64-65'!G51+'Thurston Pgs 66-67'!G51+'Wahkiakum Pgs 68-69'!G51+'Walla Walla Pgs 70-71'!G51+'Whatcom Pgs 72-73'!G51+'Whitman Pgs 74-75'!G51+'Yakima Pgs 76-77'!G51+'Seattle-King Pgs 54-55'!G51</f>
        <v>586610</v>
      </c>
      <c r="H51" s="100">
        <f>'Adams Pgs 8-9'!H51+'Asotin Pgs 10-11'!H51+'Benton-Franklin Pgs 12-13'!H51+'Chelan-Douglas Pgs 14-15'!H51+'Clallam Pgs 16-17'!H51+'Clark Pgs 18-19'!H51+'Columbia Pgs 20-21'!H51+'Cowlitz Pgs 22-23'!H51+'Garfield Pgs 24-25'!H51+'Grant Pgs 26-27'!H51+'Grays Harbor Pgs 28-29'!H51+'Island Pgs 30-31'!H51+'Jefferson Pgs 32-33'!H51+'Kitsap Pgs 34-35'!H51+'Kittitas Pgs 36-37'!H51+'Klickitat Pgs 38-39'!H51+'Lewis Pgs 40-41'!H51+'Lincoln Pgs 42-43'!H51+'Mason Pgs 44-45'!H51+'Northeast Tri Pgs 46-47'!H51+'Okanogan Pgs 48-49'!H51+'Pacific Pgs 50-51'!H51+'San Juan Pgs 52-53'!H51+'Skagit Pgs 56-57'!H51+'Skamania Pgs 58-59'!H51+'Snohomish Pgs 60-61'!H51+'Spokane Pgs 62-63'!H51+'Tacoma-Pierce Pgs 64-65'!H51+'Thurston Pgs 66-67'!H51+'Wahkiakum Pgs 68-69'!H51+'Walla Walla Pgs 70-71'!H51+'Whatcom Pgs 72-73'!H51+'Whitman Pgs 74-75'!H51+'Yakima Pgs 76-77'!H51+'Seattle-King Pgs 54-55'!H51</f>
        <v>0</v>
      </c>
      <c r="I51" s="102">
        <f>'Adams Pgs 8-9'!I51+'Asotin Pgs 10-11'!I51+'Benton-Franklin Pgs 12-13'!I51+'Chelan-Douglas Pgs 14-15'!I51+'Clallam Pgs 16-17'!I51+'Clark Pgs 18-19'!I51+'Columbia Pgs 20-21'!I51+'Cowlitz Pgs 22-23'!I51+'Garfield Pgs 24-25'!I51+'Grant Pgs 26-27'!I51+'Grays Harbor Pgs 28-29'!I51+'Island Pgs 30-31'!I51+'Jefferson Pgs 32-33'!I51+'Kitsap Pgs 34-35'!I51+'Kittitas Pgs 36-37'!I51+'Klickitat Pgs 38-39'!I51+'Lewis Pgs 40-41'!I51+'Lincoln Pgs 42-43'!I51+'Mason Pgs 44-45'!I51+'Northeast Tri Pgs 46-47'!I51+'Okanogan Pgs 48-49'!I51+'Pacific Pgs 50-51'!I51+'San Juan Pgs 52-53'!I51+'Skagit Pgs 56-57'!I51+'Skamania Pgs 58-59'!I51+'Snohomish Pgs 60-61'!I51+'Spokane Pgs 62-63'!I51+'Tacoma-Pierce Pgs 64-65'!I51+'Thurston Pgs 66-67'!I51+'Wahkiakum Pgs 68-69'!I51+'Walla Walla Pgs 70-71'!I51+'Whatcom Pgs 72-73'!I51+'Whitman Pgs 74-75'!I51+'Yakima Pgs 76-77'!I51+'Seattle-King Pgs 54-55'!I51</f>
        <v>0</v>
      </c>
      <c r="J51" s="104">
        <f>'Adams Pgs 8-9'!J51+'Asotin Pgs 10-11'!J51+'Benton-Franklin Pgs 12-13'!J51+'Chelan-Douglas Pgs 14-15'!J51+'Clallam Pgs 16-17'!J51+'Clark Pgs 18-19'!J51+'Columbia Pgs 20-21'!J51+'Cowlitz Pgs 22-23'!J51+'Garfield Pgs 24-25'!J51+'Grant Pgs 26-27'!J51+'Grays Harbor Pgs 28-29'!J51+'Island Pgs 30-31'!J51+'Jefferson Pgs 32-33'!J51+'Kitsap Pgs 34-35'!J51+'Kittitas Pgs 36-37'!J51+'Klickitat Pgs 38-39'!J51+'Lewis Pgs 40-41'!J51+'Lincoln Pgs 42-43'!J51+'Mason Pgs 44-45'!J51+'Northeast Tri Pgs 46-47'!J51+'Okanogan Pgs 48-49'!J51+'Pacific Pgs 50-51'!J51+'San Juan Pgs 52-53'!J51+'Skagit Pgs 56-57'!J51+'Skamania Pgs 58-59'!J51+'Snohomish Pgs 60-61'!J51+'Spokane Pgs 62-63'!J51+'Tacoma-Pierce Pgs 64-65'!J51+'Thurston Pgs 66-67'!J51+'Wahkiakum Pgs 68-69'!J51+'Walla Walla Pgs 70-71'!J51+'Whatcom Pgs 72-73'!J51+'Whitman Pgs 74-75'!J51+'Yakima Pgs 76-77'!J51+'Seattle-King Pgs 54-55'!J51</f>
        <v>-1</v>
      </c>
      <c r="K51" s="129">
        <f t="shared" si="2"/>
        <v>5787660</v>
      </c>
      <c r="L51"/>
    </row>
    <row r="52" spans="1:12" x14ac:dyDescent="0.35">
      <c r="A52" s="93">
        <v>564</v>
      </c>
      <c r="B52" s="16" t="s">
        <v>37</v>
      </c>
      <c r="C52" s="103">
        <f>'Adams Pgs 8-9'!C52+'Asotin Pgs 10-11'!C52+'Benton-Franklin Pgs 12-13'!C52+'Chelan-Douglas Pgs 14-15'!C52+'Clallam Pgs 16-17'!C52+'Clark Pgs 18-19'!C52+'Columbia Pgs 20-21'!C52+'Cowlitz Pgs 22-23'!C52+'Garfield Pgs 24-25'!C52+'Grant Pgs 26-27'!C52+'Grays Harbor Pgs 28-29'!C52+'Island Pgs 30-31'!C52+'Jefferson Pgs 32-33'!C52+'Kitsap Pgs 34-35'!C52+'Kittitas Pgs 36-37'!C52+'Klickitat Pgs 38-39'!C52+'Lewis Pgs 40-41'!C52+'Lincoln Pgs 42-43'!C52+'Mason Pgs 44-45'!C52+'Northeast Tri Pgs 46-47'!C52+'Okanogan Pgs 48-49'!C52+'Pacific Pgs 50-51'!C52+'San Juan Pgs 52-53'!C52+'Skagit Pgs 56-57'!C52+'Skamania Pgs 58-59'!C52+'Snohomish Pgs 60-61'!C52+'Spokane Pgs 62-63'!C52+'Tacoma-Pierce Pgs 64-65'!C52+'Thurston Pgs 66-67'!C52+'Wahkiakum Pgs 68-69'!C52+'Walla Walla Pgs 70-71'!C52+'Whatcom Pgs 72-73'!C52+'Whitman Pgs 74-75'!C52+'Yakima Pgs 76-77'!C52+'Seattle-King Pgs 54-55'!C52</f>
        <v>583015</v>
      </c>
      <c r="D52" s="102">
        <f>'Adams Pgs 8-9'!D52+'Asotin Pgs 10-11'!D52+'Benton-Franklin Pgs 12-13'!D52+'Chelan-Douglas Pgs 14-15'!D52+'Clallam Pgs 16-17'!D52+'Clark Pgs 18-19'!D52+'Columbia Pgs 20-21'!D52+'Cowlitz Pgs 22-23'!D52+'Garfield Pgs 24-25'!D52+'Grant Pgs 26-27'!D52+'Grays Harbor Pgs 28-29'!D52+'Island Pgs 30-31'!D52+'Jefferson Pgs 32-33'!D52+'Kitsap Pgs 34-35'!D52+'Kittitas Pgs 36-37'!D52+'Klickitat Pgs 38-39'!D52+'Lewis Pgs 40-41'!D52+'Lincoln Pgs 42-43'!D52+'Mason Pgs 44-45'!D52+'Northeast Tri Pgs 46-47'!D52+'Okanogan Pgs 48-49'!D52+'Pacific Pgs 50-51'!D52+'San Juan Pgs 52-53'!D52+'Skagit Pgs 56-57'!D52+'Skamania Pgs 58-59'!D52+'Snohomish Pgs 60-61'!D52+'Spokane Pgs 62-63'!D52+'Tacoma-Pierce Pgs 64-65'!D52+'Thurston Pgs 66-67'!D52+'Wahkiakum Pgs 68-69'!D52+'Walla Walla Pgs 70-71'!D52+'Whatcom Pgs 72-73'!D52+'Whitman Pgs 74-75'!D52+'Yakima Pgs 76-77'!D52+'Seattle-King Pgs 54-55'!D52</f>
        <v>4740300</v>
      </c>
      <c r="E52" s="100">
        <f>'Adams Pgs 8-9'!E52+'Asotin Pgs 10-11'!E52+'Benton-Franklin Pgs 12-13'!E52+'Chelan-Douglas Pgs 14-15'!E52+'Clallam Pgs 16-17'!E52+'Clark Pgs 18-19'!E52+'Columbia Pgs 20-21'!E52+'Cowlitz Pgs 22-23'!E52+'Garfield Pgs 24-25'!E52+'Grant Pgs 26-27'!E52+'Grays Harbor Pgs 28-29'!E52+'Island Pgs 30-31'!E52+'Jefferson Pgs 32-33'!E52+'Kitsap Pgs 34-35'!E52+'Kittitas Pgs 36-37'!E52+'Klickitat Pgs 38-39'!E52+'Lewis Pgs 40-41'!E52+'Lincoln Pgs 42-43'!E52+'Mason Pgs 44-45'!E52+'Northeast Tri Pgs 46-47'!E52+'Okanogan Pgs 48-49'!E52+'Pacific Pgs 50-51'!E52+'San Juan Pgs 52-53'!E52+'Skagit Pgs 56-57'!E52+'Skamania Pgs 58-59'!E52+'Snohomish Pgs 60-61'!E52+'Spokane Pgs 62-63'!E52+'Tacoma-Pierce Pgs 64-65'!E52+'Thurston Pgs 66-67'!E52+'Wahkiakum Pgs 68-69'!E52+'Walla Walla Pgs 70-71'!E52+'Whatcom Pgs 72-73'!E52+'Whitman Pgs 74-75'!E52+'Yakima Pgs 76-77'!E52+'Seattle-King Pgs 54-55'!E52</f>
        <v>0</v>
      </c>
      <c r="F52" s="101">
        <f>'Adams Pgs 8-9'!F52+'Asotin Pgs 10-11'!F52+'Benton-Franklin Pgs 12-13'!F52+'Chelan-Douglas Pgs 14-15'!F52+'Clallam Pgs 16-17'!F52+'Clark Pgs 18-19'!F52+'Columbia Pgs 20-21'!F52+'Cowlitz Pgs 22-23'!F52+'Garfield Pgs 24-25'!F52+'Grant Pgs 26-27'!F52+'Grays Harbor Pgs 28-29'!F52+'Island Pgs 30-31'!F52+'Jefferson Pgs 32-33'!F52+'Kitsap Pgs 34-35'!F52+'Kittitas Pgs 36-37'!F52+'Klickitat Pgs 38-39'!F52+'Lewis Pgs 40-41'!F52+'Lincoln Pgs 42-43'!F52+'Mason Pgs 44-45'!F52+'Northeast Tri Pgs 46-47'!F52+'Okanogan Pgs 48-49'!F52+'Pacific Pgs 50-51'!F52+'San Juan Pgs 52-53'!F52+'Skagit Pgs 56-57'!F52+'Skamania Pgs 58-59'!F52+'Snohomish Pgs 60-61'!F52+'Spokane Pgs 62-63'!F52+'Tacoma-Pierce Pgs 64-65'!F52+'Thurston Pgs 66-67'!F52+'Wahkiakum Pgs 68-69'!F52+'Walla Walla Pgs 70-71'!F52+'Whatcom Pgs 72-73'!F52+'Whitman Pgs 74-75'!F52+'Yakima Pgs 76-77'!F52+'Seattle-King Pgs 54-55'!F52</f>
        <v>0</v>
      </c>
      <c r="G52" s="102">
        <f>'Adams Pgs 8-9'!G52+'Asotin Pgs 10-11'!G52+'Benton-Franklin Pgs 12-13'!G52+'Chelan-Douglas Pgs 14-15'!G52+'Clallam Pgs 16-17'!G52+'Clark Pgs 18-19'!G52+'Columbia Pgs 20-21'!G52+'Cowlitz Pgs 22-23'!G52+'Garfield Pgs 24-25'!G52+'Grant Pgs 26-27'!G52+'Grays Harbor Pgs 28-29'!G52+'Island Pgs 30-31'!G52+'Jefferson Pgs 32-33'!G52+'Kitsap Pgs 34-35'!G52+'Kittitas Pgs 36-37'!G52+'Klickitat Pgs 38-39'!G52+'Lewis Pgs 40-41'!G52+'Lincoln Pgs 42-43'!G52+'Mason Pgs 44-45'!G52+'Northeast Tri Pgs 46-47'!G52+'Okanogan Pgs 48-49'!G52+'Pacific Pgs 50-51'!G52+'San Juan Pgs 52-53'!G52+'Skagit Pgs 56-57'!G52+'Skamania Pgs 58-59'!G52+'Snohomish Pgs 60-61'!G52+'Spokane Pgs 62-63'!G52+'Tacoma-Pierce Pgs 64-65'!G52+'Thurston Pgs 66-67'!G52+'Wahkiakum Pgs 68-69'!G52+'Walla Walla Pgs 70-71'!G52+'Whatcom Pgs 72-73'!G52+'Whitman Pgs 74-75'!G52+'Yakima Pgs 76-77'!G52+'Seattle-King Pgs 54-55'!G52</f>
        <v>266101</v>
      </c>
      <c r="H52" s="100">
        <f>'Adams Pgs 8-9'!H52+'Asotin Pgs 10-11'!H52+'Benton-Franklin Pgs 12-13'!H52+'Chelan-Douglas Pgs 14-15'!H52+'Clallam Pgs 16-17'!H52+'Clark Pgs 18-19'!H52+'Columbia Pgs 20-21'!H52+'Cowlitz Pgs 22-23'!H52+'Garfield Pgs 24-25'!H52+'Grant Pgs 26-27'!H52+'Grays Harbor Pgs 28-29'!H52+'Island Pgs 30-31'!H52+'Jefferson Pgs 32-33'!H52+'Kitsap Pgs 34-35'!H52+'Kittitas Pgs 36-37'!H52+'Klickitat Pgs 38-39'!H52+'Lewis Pgs 40-41'!H52+'Lincoln Pgs 42-43'!H52+'Mason Pgs 44-45'!H52+'Northeast Tri Pgs 46-47'!H52+'Okanogan Pgs 48-49'!H52+'Pacific Pgs 50-51'!H52+'San Juan Pgs 52-53'!H52+'Skagit Pgs 56-57'!H52+'Skamania Pgs 58-59'!H52+'Snohomish Pgs 60-61'!H52+'Spokane Pgs 62-63'!H52+'Tacoma-Pierce Pgs 64-65'!H52+'Thurston Pgs 66-67'!H52+'Wahkiakum Pgs 68-69'!H52+'Walla Walla Pgs 70-71'!H52+'Whatcom Pgs 72-73'!H52+'Whitman Pgs 74-75'!H52+'Yakima Pgs 76-77'!H52+'Seattle-King Pgs 54-55'!H52</f>
        <v>0</v>
      </c>
      <c r="I52" s="102">
        <f>'Adams Pgs 8-9'!I52+'Asotin Pgs 10-11'!I52+'Benton-Franklin Pgs 12-13'!I52+'Chelan-Douglas Pgs 14-15'!I52+'Clallam Pgs 16-17'!I52+'Clark Pgs 18-19'!I52+'Columbia Pgs 20-21'!I52+'Cowlitz Pgs 22-23'!I52+'Garfield Pgs 24-25'!I52+'Grant Pgs 26-27'!I52+'Grays Harbor Pgs 28-29'!I52+'Island Pgs 30-31'!I52+'Jefferson Pgs 32-33'!I52+'Kitsap Pgs 34-35'!I52+'Kittitas Pgs 36-37'!I52+'Klickitat Pgs 38-39'!I52+'Lewis Pgs 40-41'!I52+'Lincoln Pgs 42-43'!I52+'Mason Pgs 44-45'!I52+'Northeast Tri Pgs 46-47'!I52+'Okanogan Pgs 48-49'!I52+'Pacific Pgs 50-51'!I52+'San Juan Pgs 52-53'!I52+'Skagit Pgs 56-57'!I52+'Skamania Pgs 58-59'!I52+'Snohomish Pgs 60-61'!I52+'Spokane Pgs 62-63'!I52+'Tacoma-Pierce Pgs 64-65'!I52+'Thurston Pgs 66-67'!I52+'Wahkiakum Pgs 68-69'!I52+'Walla Walla Pgs 70-71'!I52+'Whatcom Pgs 72-73'!I52+'Whitman Pgs 74-75'!I52+'Yakima Pgs 76-77'!I52+'Seattle-King Pgs 54-55'!I52</f>
        <v>30000</v>
      </c>
      <c r="J52" s="104">
        <f>'Adams Pgs 8-9'!J52+'Asotin Pgs 10-11'!J52+'Benton-Franklin Pgs 12-13'!J52+'Chelan-Douglas Pgs 14-15'!J52+'Clallam Pgs 16-17'!J52+'Clark Pgs 18-19'!J52+'Columbia Pgs 20-21'!J52+'Cowlitz Pgs 22-23'!J52+'Garfield Pgs 24-25'!J52+'Grant Pgs 26-27'!J52+'Grays Harbor Pgs 28-29'!J52+'Island Pgs 30-31'!J52+'Jefferson Pgs 32-33'!J52+'Kitsap Pgs 34-35'!J52+'Kittitas Pgs 36-37'!J52+'Klickitat Pgs 38-39'!J52+'Lewis Pgs 40-41'!J52+'Lincoln Pgs 42-43'!J52+'Mason Pgs 44-45'!J52+'Northeast Tri Pgs 46-47'!J52+'Okanogan Pgs 48-49'!J52+'Pacific Pgs 50-51'!J52+'San Juan Pgs 52-53'!J52+'Skagit Pgs 56-57'!J52+'Skamania Pgs 58-59'!J52+'Snohomish Pgs 60-61'!J52+'Spokane Pgs 62-63'!J52+'Tacoma-Pierce Pgs 64-65'!J52+'Thurston Pgs 66-67'!J52+'Wahkiakum Pgs 68-69'!J52+'Walla Walla Pgs 70-71'!J52+'Whatcom Pgs 72-73'!J52+'Whitman Pgs 74-75'!J52+'Yakima Pgs 76-77'!J52+'Seattle-King Pgs 54-55'!J52</f>
        <v>330232</v>
      </c>
      <c r="K52" s="129">
        <f t="shared" si="2"/>
        <v>5949648</v>
      </c>
      <c r="L52"/>
    </row>
    <row r="53" spans="1:12" x14ac:dyDescent="0.35">
      <c r="A53" s="93">
        <v>566</v>
      </c>
      <c r="B53" s="16" t="s">
        <v>38</v>
      </c>
      <c r="C53" s="103">
        <f>'Adams Pgs 8-9'!C53+'Asotin Pgs 10-11'!C53+'Benton-Franklin Pgs 12-13'!C53+'Chelan-Douglas Pgs 14-15'!C53+'Clallam Pgs 16-17'!C53+'Clark Pgs 18-19'!C53+'Columbia Pgs 20-21'!C53+'Cowlitz Pgs 22-23'!C53+'Garfield Pgs 24-25'!C53+'Grant Pgs 26-27'!C53+'Grays Harbor Pgs 28-29'!C53+'Island Pgs 30-31'!C53+'Jefferson Pgs 32-33'!C53+'Kitsap Pgs 34-35'!C53+'Kittitas Pgs 36-37'!C53+'Klickitat Pgs 38-39'!C53+'Lewis Pgs 40-41'!C53+'Lincoln Pgs 42-43'!C53+'Mason Pgs 44-45'!C53+'Northeast Tri Pgs 46-47'!C53+'Okanogan Pgs 48-49'!C53+'Pacific Pgs 50-51'!C53+'San Juan Pgs 52-53'!C53+'Skagit Pgs 56-57'!C53+'Skamania Pgs 58-59'!C53+'Snohomish Pgs 60-61'!C53+'Spokane Pgs 62-63'!C53+'Tacoma-Pierce Pgs 64-65'!C53+'Thurston Pgs 66-67'!C53+'Wahkiakum Pgs 68-69'!C53+'Walla Walla Pgs 70-71'!C53+'Whatcom Pgs 72-73'!C53+'Whitman Pgs 74-75'!C53+'Yakima Pgs 76-77'!C53+'Seattle-King Pgs 54-55'!C53</f>
        <v>115210</v>
      </c>
      <c r="D53" s="102">
        <f>'Adams Pgs 8-9'!D53+'Asotin Pgs 10-11'!D53+'Benton-Franklin Pgs 12-13'!D53+'Chelan-Douglas Pgs 14-15'!D53+'Clallam Pgs 16-17'!D53+'Clark Pgs 18-19'!D53+'Columbia Pgs 20-21'!D53+'Cowlitz Pgs 22-23'!D53+'Garfield Pgs 24-25'!D53+'Grant Pgs 26-27'!D53+'Grays Harbor Pgs 28-29'!D53+'Island Pgs 30-31'!D53+'Jefferson Pgs 32-33'!D53+'Kitsap Pgs 34-35'!D53+'Kittitas Pgs 36-37'!D53+'Klickitat Pgs 38-39'!D53+'Lewis Pgs 40-41'!D53+'Lincoln Pgs 42-43'!D53+'Mason Pgs 44-45'!D53+'Northeast Tri Pgs 46-47'!D53+'Okanogan Pgs 48-49'!D53+'Pacific Pgs 50-51'!D53+'San Juan Pgs 52-53'!D53+'Skagit Pgs 56-57'!D53+'Skamania Pgs 58-59'!D53+'Snohomish Pgs 60-61'!D53+'Spokane Pgs 62-63'!D53+'Tacoma-Pierce Pgs 64-65'!D53+'Thurston Pgs 66-67'!D53+'Wahkiakum Pgs 68-69'!D53+'Walla Walla Pgs 70-71'!D53+'Whatcom Pgs 72-73'!D53+'Whitman Pgs 74-75'!D53+'Yakima Pgs 76-77'!D53+'Seattle-King Pgs 54-55'!D53</f>
        <v>8241837</v>
      </c>
      <c r="E53" s="100">
        <f>'Adams Pgs 8-9'!E53+'Asotin Pgs 10-11'!E53+'Benton-Franklin Pgs 12-13'!E53+'Chelan-Douglas Pgs 14-15'!E53+'Clallam Pgs 16-17'!E53+'Clark Pgs 18-19'!E53+'Columbia Pgs 20-21'!E53+'Cowlitz Pgs 22-23'!E53+'Garfield Pgs 24-25'!E53+'Grant Pgs 26-27'!E53+'Grays Harbor Pgs 28-29'!E53+'Island Pgs 30-31'!E53+'Jefferson Pgs 32-33'!E53+'Kitsap Pgs 34-35'!E53+'Kittitas Pgs 36-37'!E53+'Klickitat Pgs 38-39'!E53+'Lewis Pgs 40-41'!E53+'Lincoln Pgs 42-43'!E53+'Mason Pgs 44-45'!E53+'Northeast Tri Pgs 46-47'!E53+'Okanogan Pgs 48-49'!E53+'Pacific Pgs 50-51'!E53+'San Juan Pgs 52-53'!E53+'Skagit Pgs 56-57'!E53+'Skamania Pgs 58-59'!E53+'Snohomish Pgs 60-61'!E53+'Spokane Pgs 62-63'!E53+'Tacoma-Pierce Pgs 64-65'!E53+'Thurston Pgs 66-67'!E53+'Wahkiakum Pgs 68-69'!E53+'Walla Walla Pgs 70-71'!E53+'Whatcom Pgs 72-73'!E53+'Whitman Pgs 74-75'!E53+'Yakima Pgs 76-77'!E53+'Seattle-King Pgs 54-55'!E53</f>
        <v>0</v>
      </c>
      <c r="F53" s="101">
        <f>'Adams Pgs 8-9'!F53+'Asotin Pgs 10-11'!F53+'Benton-Franklin Pgs 12-13'!F53+'Chelan-Douglas Pgs 14-15'!F53+'Clallam Pgs 16-17'!F53+'Clark Pgs 18-19'!F53+'Columbia Pgs 20-21'!F53+'Cowlitz Pgs 22-23'!F53+'Garfield Pgs 24-25'!F53+'Grant Pgs 26-27'!F53+'Grays Harbor Pgs 28-29'!F53+'Island Pgs 30-31'!F53+'Jefferson Pgs 32-33'!F53+'Kitsap Pgs 34-35'!F53+'Kittitas Pgs 36-37'!F53+'Klickitat Pgs 38-39'!F53+'Lewis Pgs 40-41'!F53+'Lincoln Pgs 42-43'!F53+'Mason Pgs 44-45'!F53+'Northeast Tri Pgs 46-47'!F53+'Okanogan Pgs 48-49'!F53+'Pacific Pgs 50-51'!F53+'San Juan Pgs 52-53'!F53+'Skagit Pgs 56-57'!F53+'Skamania Pgs 58-59'!F53+'Snohomish Pgs 60-61'!F53+'Spokane Pgs 62-63'!F53+'Tacoma-Pierce Pgs 64-65'!F53+'Thurston Pgs 66-67'!F53+'Wahkiakum Pgs 68-69'!F53+'Walla Walla Pgs 70-71'!F53+'Whatcom Pgs 72-73'!F53+'Whitman Pgs 74-75'!F53+'Yakima Pgs 76-77'!F53+'Seattle-King Pgs 54-55'!F53</f>
        <v>0</v>
      </c>
      <c r="G53" s="102">
        <f>'Adams Pgs 8-9'!G53+'Asotin Pgs 10-11'!G53+'Benton-Franklin Pgs 12-13'!G53+'Chelan-Douglas Pgs 14-15'!G53+'Clallam Pgs 16-17'!G53+'Clark Pgs 18-19'!G53+'Columbia Pgs 20-21'!G53+'Cowlitz Pgs 22-23'!G53+'Garfield Pgs 24-25'!G53+'Grant Pgs 26-27'!G53+'Grays Harbor Pgs 28-29'!G53+'Island Pgs 30-31'!G53+'Jefferson Pgs 32-33'!G53+'Kitsap Pgs 34-35'!G53+'Kittitas Pgs 36-37'!G53+'Klickitat Pgs 38-39'!G53+'Lewis Pgs 40-41'!G53+'Lincoln Pgs 42-43'!G53+'Mason Pgs 44-45'!G53+'Northeast Tri Pgs 46-47'!G53+'Okanogan Pgs 48-49'!G53+'Pacific Pgs 50-51'!G53+'San Juan Pgs 52-53'!G53+'Skagit Pgs 56-57'!G53+'Skamania Pgs 58-59'!G53+'Snohomish Pgs 60-61'!G53+'Spokane Pgs 62-63'!G53+'Tacoma-Pierce Pgs 64-65'!G53+'Thurston Pgs 66-67'!G53+'Wahkiakum Pgs 68-69'!G53+'Walla Walla Pgs 70-71'!G53+'Whatcom Pgs 72-73'!G53+'Whitman Pgs 74-75'!G53+'Yakima Pgs 76-77'!G53+'Seattle-King Pgs 54-55'!G53</f>
        <v>558393</v>
      </c>
      <c r="H53" s="100">
        <f>'Adams Pgs 8-9'!H53+'Asotin Pgs 10-11'!H53+'Benton-Franklin Pgs 12-13'!H53+'Chelan-Douglas Pgs 14-15'!H53+'Clallam Pgs 16-17'!H53+'Clark Pgs 18-19'!H53+'Columbia Pgs 20-21'!H53+'Cowlitz Pgs 22-23'!H53+'Garfield Pgs 24-25'!H53+'Grant Pgs 26-27'!H53+'Grays Harbor Pgs 28-29'!H53+'Island Pgs 30-31'!H53+'Jefferson Pgs 32-33'!H53+'Kitsap Pgs 34-35'!H53+'Kittitas Pgs 36-37'!H53+'Klickitat Pgs 38-39'!H53+'Lewis Pgs 40-41'!H53+'Lincoln Pgs 42-43'!H53+'Mason Pgs 44-45'!H53+'Northeast Tri Pgs 46-47'!H53+'Okanogan Pgs 48-49'!H53+'Pacific Pgs 50-51'!H53+'San Juan Pgs 52-53'!H53+'Skagit Pgs 56-57'!H53+'Skamania Pgs 58-59'!H53+'Snohomish Pgs 60-61'!H53+'Spokane Pgs 62-63'!H53+'Tacoma-Pierce Pgs 64-65'!H53+'Thurston Pgs 66-67'!H53+'Wahkiakum Pgs 68-69'!H53+'Walla Walla Pgs 70-71'!H53+'Whatcom Pgs 72-73'!H53+'Whitman Pgs 74-75'!H53+'Yakima Pgs 76-77'!H53+'Seattle-King Pgs 54-55'!H53</f>
        <v>383</v>
      </c>
      <c r="I53" s="102">
        <f>'Adams Pgs 8-9'!I53+'Asotin Pgs 10-11'!I53+'Benton-Franklin Pgs 12-13'!I53+'Chelan-Douglas Pgs 14-15'!I53+'Clallam Pgs 16-17'!I53+'Clark Pgs 18-19'!I53+'Columbia Pgs 20-21'!I53+'Cowlitz Pgs 22-23'!I53+'Garfield Pgs 24-25'!I53+'Grant Pgs 26-27'!I53+'Grays Harbor Pgs 28-29'!I53+'Island Pgs 30-31'!I53+'Jefferson Pgs 32-33'!I53+'Kitsap Pgs 34-35'!I53+'Kittitas Pgs 36-37'!I53+'Klickitat Pgs 38-39'!I53+'Lewis Pgs 40-41'!I53+'Lincoln Pgs 42-43'!I53+'Mason Pgs 44-45'!I53+'Northeast Tri Pgs 46-47'!I53+'Okanogan Pgs 48-49'!I53+'Pacific Pgs 50-51'!I53+'San Juan Pgs 52-53'!I53+'Skagit Pgs 56-57'!I53+'Skamania Pgs 58-59'!I53+'Snohomish Pgs 60-61'!I53+'Spokane Pgs 62-63'!I53+'Tacoma-Pierce Pgs 64-65'!I53+'Thurston Pgs 66-67'!I53+'Wahkiakum Pgs 68-69'!I53+'Walla Walla Pgs 70-71'!I53+'Whatcom Pgs 72-73'!I53+'Whitman Pgs 74-75'!I53+'Yakima Pgs 76-77'!I53+'Seattle-King Pgs 54-55'!I53</f>
        <v>484416</v>
      </c>
      <c r="J53" s="104">
        <f>'Adams Pgs 8-9'!J53+'Asotin Pgs 10-11'!J53+'Benton-Franklin Pgs 12-13'!J53+'Chelan-Douglas Pgs 14-15'!J53+'Clallam Pgs 16-17'!J53+'Clark Pgs 18-19'!J53+'Columbia Pgs 20-21'!J53+'Cowlitz Pgs 22-23'!J53+'Garfield Pgs 24-25'!J53+'Grant Pgs 26-27'!J53+'Grays Harbor Pgs 28-29'!J53+'Island Pgs 30-31'!J53+'Jefferson Pgs 32-33'!J53+'Kitsap Pgs 34-35'!J53+'Kittitas Pgs 36-37'!J53+'Klickitat Pgs 38-39'!J53+'Lewis Pgs 40-41'!J53+'Lincoln Pgs 42-43'!J53+'Mason Pgs 44-45'!J53+'Northeast Tri Pgs 46-47'!J53+'Okanogan Pgs 48-49'!J53+'Pacific Pgs 50-51'!J53+'San Juan Pgs 52-53'!J53+'Skagit Pgs 56-57'!J53+'Skamania Pgs 58-59'!J53+'Snohomish Pgs 60-61'!J53+'Spokane Pgs 62-63'!J53+'Tacoma-Pierce Pgs 64-65'!J53+'Thurston Pgs 66-67'!J53+'Wahkiakum Pgs 68-69'!J53+'Walla Walla Pgs 70-71'!J53+'Whatcom Pgs 72-73'!J53+'Whitman Pgs 74-75'!J53+'Yakima Pgs 76-77'!J53+'Seattle-King Pgs 54-55'!J53</f>
        <v>-3904</v>
      </c>
      <c r="K53" s="129">
        <f t="shared" si="2"/>
        <v>9396335</v>
      </c>
      <c r="L53"/>
    </row>
    <row r="54" spans="1:12" x14ac:dyDescent="0.35">
      <c r="A54" s="93">
        <v>568</v>
      </c>
      <c r="B54" s="16" t="s">
        <v>39</v>
      </c>
      <c r="C54" s="103">
        <f>'Adams Pgs 8-9'!C54+'Asotin Pgs 10-11'!C54+'Benton-Franklin Pgs 12-13'!C54+'Chelan-Douglas Pgs 14-15'!C54+'Clallam Pgs 16-17'!C54+'Clark Pgs 18-19'!C54+'Columbia Pgs 20-21'!C54+'Cowlitz Pgs 22-23'!C54+'Garfield Pgs 24-25'!C54+'Grant Pgs 26-27'!C54+'Grays Harbor Pgs 28-29'!C54+'Island Pgs 30-31'!C54+'Jefferson Pgs 32-33'!C54+'Kitsap Pgs 34-35'!C54+'Kittitas Pgs 36-37'!C54+'Klickitat Pgs 38-39'!C54+'Lewis Pgs 40-41'!C54+'Lincoln Pgs 42-43'!C54+'Mason Pgs 44-45'!C54+'Northeast Tri Pgs 46-47'!C54+'Okanogan Pgs 48-49'!C54+'Pacific Pgs 50-51'!C54+'San Juan Pgs 52-53'!C54+'Skagit Pgs 56-57'!C54+'Skamania Pgs 58-59'!C54+'Snohomish Pgs 60-61'!C54+'Spokane Pgs 62-63'!C54+'Tacoma-Pierce Pgs 64-65'!C54+'Thurston Pgs 66-67'!C54+'Wahkiakum Pgs 68-69'!C54+'Walla Walla Pgs 70-71'!C54+'Whatcom Pgs 72-73'!C54+'Whitman Pgs 74-75'!C54+'Yakima Pgs 76-77'!C54+'Seattle-King Pgs 54-55'!C54</f>
        <v>75165</v>
      </c>
      <c r="D54" s="102">
        <f>'Adams Pgs 8-9'!D54+'Asotin Pgs 10-11'!D54+'Benton-Franklin Pgs 12-13'!D54+'Chelan-Douglas Pgs 14-15'!D54+'Clallam Pgs 16-17'!D54+'Clark Pgs 18-19'!D54+'Columbia Pgs 20-21'!D54+'Cowlitz Pgs 22-23'!D54+'Garfield Pgs 24-25'!D54+'Grant Pgs 26-27'!D54+'Grays Harbor Pgs 28-29'!D54+'Island Pgs 30-31'!D54+'Jefferson Pgs 32-33'!D54+'Kitsap Pgs 34-35'!D54+'Kittitas Pgs 36-37'!D54+'Klickitat Pgs 38-39'!D54+'Lewis Pgs 40-41'!D54+'Lincoln Pgs 42-43'!D54+'Mason Pgs 44-45'!D54+'Northeast Tri Pgs 46-47'!D54+'Okanogan Pgs 48-49'!D54+'Pacific Pgs 50-51'!D54+'San Juan Pgs 52-53'!D54+'Skagit Pgs 56-57'!D54+'Skamania Pgs 58-59'!D54+'Snohomish Pgs 60-61'!D54+'Spokane Pgs 62-63'!D54+'Tacoma-Pierce Pgs 64-65'!D54+'Thurston Pgs 66-67'!D54+'Wahkiakum Pgs 68-69'!D54+'Walla Walla Pgs 70-71'!D54+'Whatcom Pgs 72-73'!D54+'Whitman Pgs 74-75'!D54+'Yakima Pgs 76-77'!D54+'Seattle-King Pgs 54-55'!D54</f>
        <v>3439712</v>
      </c>
      <c r="E54" s="100">
        <f>'Adams Pgs 8-9'!E54+'Asotin Pgs 10-11'!E54+'Benton-Franklin Pgs 12-13'!E54+'Chelan-Douglas Pgs 14-15'!E54+'Clallam Pgs 16-17'!E54+'Clark Pgs 18-19'!E54+'Columbia Pgs 20-21'!E54+'Cowlitz Pgs 22-23'!E54+'Garfield Pgs 24-25'!E54+'Grant Pgs 26-27'!E54+'Grays Harbor Pgs 28-29'!E54+'Island Pgs 30-31'!E54+'Jefferson Pgs 32-33'!E54+'Kitsap Pgs 34-35'!E54+'Kittitas Pgs 36-37'!E54+'Klickitat Pgs 38-39'!E54+'Lewis Pgs 40-41'!E54+'Lincoln Pgs 42-43'!E54+'Mason Pgs 44-45'!E54+'Northeast Tri Pgs 46-47'!E54+'Okanogan Pgs 48-49'!E54+'Pacific Pgs 50-51'!E54+'San Juan Pgs 52-53'!E54+'Skagit Pgs 56-57'!E54+'Skamania Pgs 58-59'!E54+'Snohomish Pgs 60-61'!E54+'Spokane Pgs 62-63'!E54+'Tacoma-Pierce Pgs 64-65'!E54+'Thurston Pgs 66-67'!E54+'Wahkiakum Pgs 68-69'!E54+'Walla Walla Pgs 70-71'!E54+'Whatcom Pgs 72-73'!E54+'Whitman Pgs 74-75'!E54+'Yakima Pgs 76-77'!E54+'Seattle-King Pgs 54-55'!E54</f>
        <v>0</v>
      </c>
      <c r="F54" s="101">
        <f>'Adams Pgs 8-9'!F54+'Asotin Pgs 10-11'!F54+'Benton-Franklin Pgs 12-13'!F54+'Chelan-Douglas Pgs 14-15'!F54+'Clallam Pgs 16-17'!F54+'Clark Pgs 18-19'!F54+'Columbia Pgs 20-21'!F54+'Cowlitz Pgs 22-23'!F54+'Garfield Pgs 24-25'!F54+'Grant Pgs 26-27'!F54+'Grays Harbor Pgs 28-29'!F54+'Island Pgs 30-31'!F54+'Jefferson Pgs 32-33'!F54+'Kitsap Pgs 34-35'!F54+'Kittitas Pgs 36-37'!F54+'Klickitat Pgs 38-39'!F54+'Lewis Pgs 40-41'!F54+'Lincoln Pgs 42-43'!F54+'Mason Pgs 44-45'!F54+'Northeast Tri Pgs 46-47'!F54+'Okanogan Pgs 48-49'!F54+'Pacific Pgs 50-51'!F54+'San Juan Pgs 52-53'!F54+'Skagit Pgs 56-57'!F54+'Skamania Pgs 58-59'!F54+'Snohomish Pgs 60-61'!F54+'Spokane Pgs 62-63'!F54+'Tacoma-Pierce Pgs 64-65'!F54+'Thurston Pgs 66-67'!F54+'Wahkiakum Pgs 68-69'!F54+'Walla Walla Pgs 70-71'!F54+'Whatcom Pgs 72-73'!F54+'Whitman Pgs 74-75'!F54+'Yakima Pgs 76-77'!F54+'Seattle-King Pgs 54-55'!F54</f>
        <v>0</v>
      </c>
      <c r="G54" s="102">
        <f>'Adams Pgs 8-9'!G54+'Asotin Pgs 10-11'!G54+'Benton-Franklin Pgs 12-13'!G54+'Chelan-Douglas Pgs 14-15'!G54+'Clallam Pgs 16-17'!G54+'Clark Pgs 18-19'!G54+'Columbia Pgs 20-21'!G54+'Cowlitz Pgs 22-23'!G54+'Garfield Pgs 24-25'!G54+'Grant Pgs 26-27'!G54+'Grays Harbor Pgs 28-29'!G54+'Island Pgs 30-31'!G54+'Jefferson Pgs 32-33'!G54+'Kitsap Pgs 34-35'!G54+'Kittitas Pgs 36-37'!G54+'Klickitat Pgs 38-39'!G54+'Lewis Pgs 40-41'!G54+'Lincoln Pgs 42-43'!G54+'Mason Pgs 44-45'!G54+'Northeast Tri Pgs 46-47'!G54+'Okanogan Pgs 48-49'!G54+'Pacific Pgs 50-51'!G54+'San Juan Pgs 52-53'!G54+'Skagit Pgs 56-57'!G54+'Skamania Pgs 58-59'!G54+'Snohomish Pgs 60-61'!G54+'Spokane Pgs 62-63'!G54+'Tacoma-Pierce Pgs 64-65'!G54+'Thurston Pgs 66-67'!G54+'Wahkiakum Pgs 68-69'!G54+'Walla Walla Pgs 70-71'!G54+'Whatcom Pgs 72-73'!G54+'Whitman Pgs 74-75'!G54+'Yakima Pgs 76-77'!G54+'Seattle-King Pgs 54-55'!G54</f>
        <v>3083723</v>
      </c>
      <c r="H54" s="100">
        <f>'Adams Pgs 8-9'!H54+'Asotin Pgs 10-11'!H54+'Benton-Franklin Pgs 12-13'!H54+'Chelan-Douglas Pgs 14-15'!H54+'Clallam Pgs 16-17'!H54+'Clark Pgs 18-19'!H54+'Columbia Pgs 20-21'!H54+'Cowlitz Pgs 22-23'!H54+'Garfield Pgs 24-25'!H54+'Grant Pgs 26-27'!H54+'Grays Harbor Pgs 28-29'!H54+'Island Pgs 30-31'!H54+'Jefferson Pgs 32-33'!H54+'Kitsap Pgs 34-35'!H54+'Kittitas Pgs 36-37'!H54+'Klickitat Pgs 38-39'!H54+'Lewis Pgs 40-41'!H54+'Lincoln Pgs 42-43'!H54+'Mason Pgs 44-45'!H54+'Northeast Tri Pgs 46-47'!H54+'Okanogan Pgs 48-49'!H54+'Pacific Pgs 50-51'!H54+'San Juan Pgs 52-53'!H54+'Skagit Pgs 56-57'!H54+'Skamania Pgs 58-59'!H54+'Snohomish Pgs 60-61'!H54+'Spokane Pgs 62-63'!H54+'Tacoma-Pierce Pgs 64-65'!H54+'Thurston Pgs 66-67'!H54+'Wahkiakum Pgs 68-69'!H54+'Walla Walla Pgs 70-71'!H54+'Whatcom Pgs 72-73'!H54+'Whitman Pgs 74-75'!H54+'Yakima Pgs 76-77'!H54+'Seattle-King Pgs 54-55'!H54</f>
        <v>0</v>
      </c>
      <c r="I54" s="102">
        <f>'Adams Pgs 8-9'!I54+'Asotin Pgs 10-11'!I54+'Benton-Franklin Pgs 12-13'!I54+'Chelan-Douglas Pgs 14-15'!I54+'Clallam Pgs 16-17'!I54+'Clark Pgs 18-19'!I54+'Columbia Pgs 20-21'!I54+'Cowlitz Pgs 22-23'!I54+'Garfield Pgs 24-25'!I54+'Grant Pgs 26-27'!I54+'Grays Harbor Pgs 28-29'!I54+'Island Pgs 30-31'!I54+'Jefferson Pgs 32-33'!I54+'Kitsap Pgs 34-35'!I54+'Kittitas Pgs 36-37'!I54+'Klickitat Pgs 38-39'!I54+'Lewis Pgs 40-41'!I54+'Lincoln Pgs 42-43'!I54+'Mason Pgs 44-45'!I54+'Northeast Tri Pgs 46-47'!I54+'Okanogan Pgs 48-49'!I54+'Pacific Pgs 50-51'!I54+'San Juan Pgs 52-53'!I54+'Skagit Pgs 56-57'!I54+'Skamania Pgs 58-59'!I54+'Snohomish Pgs 60-61'!I54+'Spokane Pgs 62-63'!I54+'Tacoma-Pierce Pgs 64-65'!I54+'Thurston Pgs 66-67'!I54+'Wahkiakum Pgs 68-69'!I54+'Walla Walla Pgs 70-71'!I54+'Whatcom Pgs 72-73'!I54+'Whitman Pgs 74-75'!I54+'Yakima Pgs 76-77'!I54+'Seattle-King Pgs 54-55'!I54</f>
        <v>0</v>
      </c>
      <c r="J54" s="104">
        <f>'Adams Pgs 8-9'!J54+'Asotin Pgs 10-11'!J54+'Benton-Franklin Pgs 12-13'!J54+'Chelan-Douglas Pgs 14-15'!J54+'Clallam Pgs 16-17'!J54+'Clark Pgs 18-19'!J54+'Columbia Pgs 20-21'!J54+'Cowlitz Pgs 22-23'!J54+'Garfield Pgs 24-25'!J54+'Grant Pgs 26-27'!J54+'Grays Harbor Pgs 28-29'!J54+'Island Pgs 30-31'!J54+'Jefferson Pgs 32-33'!J54+'Kitsap Pgs 34-35'!J54+'Kittitas Pgs 36-37'!J54+'Klickitat Pgs 38-39'!J54+'Lewis Pgs 40-41'!J54+'Lincoln Pgs 42-43'!J54+'Mason Pgs 44-45'!J54+'Northeast Tri Pgs 46-47'!J54+'Okanogan Pgs 48-49'!J54+'Pacific Pgs 50-51'!J54+'San Juan Pgs 52-53'!J54+'Skagit Pgs 56-57'!J54+'Skamania Pgs 58-59'!J54+'Snohomish Pgs 60-61'!J54+'Spokane Pgs 62-63'!J54+'Tacoma-Pierce Pgs 64-65'!J54+'Thurston Pgs 66-67'!J54+'Wahkiakum Pgs 68-69'!J54+'Walla Walla Pgs 70-71'!J54+'Whatcom Pgs 72-73'!J54+'Whitman Pgs 74-75'!J54+'Yakima Pgs 76-77'!J54+'Seattle-King Pgs 54-55'!J54</f>
        <v>8226</v>
      </c>
      <c r="K54" s="129">
        <f t="shared" si="2"/>
        <v>6606826</v>
      </c>
      <c r="L54"/>
    </row>
    <row r="55" spans="1:12" x14ac:dyDescent="0.35">
      <c r="A55" s="95">
        <v>500</v>
      </c>
      <c r="B55" s="14" t="s">
        <v>68</v>
      </c>
      <c r="C55" s="121">
        <f>'Adams Pgs 8-9'!C55+'Asotin Pgs 10-11'!C55+'Benton-Franklin Pgs 12-13'!C55+'Chelan-Douglas Pgs 14-15'!C55+'Clallam Pgs 16-17'!C55+'Clark Pgs 18-19'!C55+'Columbia Pgs 20-21'!C55+'Cowlitz Pgs 22-23'!C55+'Garfield Pgs 24-25'!C55+'Grant Pgs 26-27'!C55+'Grays Harbor Pgs 28-29'!C55+'Island Pgs 30-31'!C55+'Jefferson Pgs 32-33'!C55+'Kitsap Pgs 34-35'!C55+'Kittitas Pgs 36-37'!C55+'Klickitat Pgs 38-39'!C55+'Lewis Pgs 40-41'!C55+'Lincoln Pgs 42-43'!C55+'Mason Pgs 44-45'!C55+'Northeast Tri Pgs 46-47'!C55+'Okanogan Pgs 48-49'!C55+'Pacific Pgs 50-51'!C55+'San Juan Pgs 52-53'!C55+'Skagit Pgs 56-57'!C55+'Skamania Pgs 58-59'!C55+'Snohomish Pgs 60-61'!C55+'Spokane Pgs 62-63'!C55+'Tacoma-Pierce Pgs 64-65'!C55+'Thurston Pgs 66-67'!C55+'Wahkiakum Pgs 68-69'!C55+'Walla Walla Pgs 70-71'!C55+'Whatcom Pgs 72-73'!C55+'Whitman Pgs 74-75'!C55+'Yakima Pgs 76-77'!C55+'Seattle-King Pgs 54-55'!C55</f>
        <v>85331</v>
      </c>
      <c r="D55" s="109">
        <f>'Adams Pgs 8-9'!D55+'Asotin Pgs 10-11'!D55+'Benton-Franklin Pgs 12-13'!D55+'Chelan-Douglas Pgs 14-15'!D55+'Clallam Pgs 16-17'!D55+'Clark Pgs 18-19'!D55+'Columbia Pgs 20-21'!D55+'Cowlitz Pgs 22-23'!D55+'Garfield Pgs 24-25'!D55+'Grant Pgs 26-27'!D55+'Grays Harbor Pgs 28-29'!D55+'Island Pgs 30-31'!D55+'Jefferson Pgs 32-33'!D55+'Kitsap Pgs 34-35'!D55+'Kittitas Pgs 36-37'!D55+'Klickitat Pgs 38-39'!D55+'Lewis Pgs 40-41'!D55+'Lincoln Pgs 42-43'!D55+'Mason Pgs 44-45'!D55+'Northeast Tri Pgs 46-47'!D55+'Okanogan Pgs 48-49'!D55+'Pacific Pgs 50-51'!D55+'San Juan Pgs 52-53'!D55+'Skagit Pgs 56-57'!D55+'Skamania Pgs 58-59'!D55+'Snohomish Pgs 60-61'!D55+'Spokane Pgs 62-63'!D55+'Tacoma-Pierce Pgs 64-65'!D55+'Thurston Pgs 66-67'!D55+'Wahkiakum Pgs 68-69'!D55+'Walla Walla Pgs 70-71'!D55+'Whatcom Pgs 72-73'!D55+'Whitman Pgs 74-75'!D55+'Yakima Pgs 76-77'!D55+'Seattle-King Pgs 54-55'!D55</f>
        <v>2432390</v>
      </c>
      <c r="E55" s="107">
        <f>'Adams Pgs 8-9'!E55+'Asotin Pgs 10-11'!E55+'Benton-Franklin Pgs 12-13'!E55+'Chelan-Douglas Pgs 14-15'!E55+'Clallam Pgs 16-17'!E55+'Clark Pgs 18-19'!E55+'Columbia Pgs 20-21'!E55+'Cowlitz Pgs 22-23'!E55+'Garfield Pgs 24-25'!E55+'Grant Pgs 26-27'!E55+'Grays Harbor Pgs 28-29'!E55+'Island Pgs 30-31'!E55+'Jefferson Pgs 32-33'!E55+'Kitsap Pgs 34-35'!E55+'Kittitas Pgs 36-37'!E55+'Klickitat Pgs 38-39'!E55+'Lewis Pgs 40-41'!E55+'Lincoln Pgs 42-43'!E55+'Mason Pgs 44-45'!E55+'Northeast Tri Pgs 46-47'!E55+'Okanogan Pgs 48-49'!E55+'Pacific Pgs 50-51'!E55+'San Juan Pgs 52-53'!E55+'Skagit Pgs 56-57'!E55+'Skamania Pgs 58-59'!E55+'Snohomish Pgs 60-61'!E55+'Spokane Pgs 62-63'!E55+'Tacoma-Pierce Pgs 64-65'!E55+'Thurston Pgs 66-67'!E55+'Wahkiakum Pgs 68-69'!E55+'Walla Walla Pgs 70-71'!E55+'Whatcom Pgs 72-73'!E55+'Whitman Pgs 74-75'!E55+'Yakima Pgs 76-77'!E55+'Seattle-King Pgs 54-55'!E55</f>
        <v>0</v>
      </c>
      <c r="F55" s="108">
        <f>'Adams Pgs 8-9'!F55+'Asotin Pgs 10-11'!F55+'Benton-Franklin Pgs 12-13'!F55+'Chelan-Douglas Pgs 14-15'!F55+'Clallam Pgs 16-17'!F55+'Clark Pgs 18-19'!F55+'Columbia Pgs 20-21'!F55+'Cowlitz Pgs 22-23'!F55+'Garfield Pgs 24-25'!F55+'Grant Pgs 26-27'!F55+'Grays Harbor Pgs 28-29'!F55+'Island Pgs 30-31'!F55+'Jefferson Pgs 32-33'!F55+'Kitsap Pgs 34-35'!F55+'Kittitas Pgs 36-37'!F55+'Klickitat Pgs 38-39'!F55+'Lewis Pgs 40-41'!F55+'Lincoln Pgs 42-43'!F55+'Mason Pgs 44-45'!F55+'Northeast Tri Pgs 46-47'!F55+'Okanogan Pgs 48-49'!F55+'Pacific Pgs 50-51'!F55+'San Juan Pgs 52-53'!F55+'Skagit Pgs 56-57'!F55+'Skamania Pgs 58-59'!F55+'Snohomish Pgs 60-61'!F55+'Spokane Pgs 62-63'!F55+'Tacoma-Pierce Pgs 64-65'!F55+'Thurston Pgs 66-67'!F55+'Wahkiakum Pgs 68-69'!F55+'Walla Walla Pgs 70-71'!F55+'Whatcom Pgs 72-73'!F55+'Whitman Pgs 74-75'!F55+'Yakima Pgs 76-77'!F55+'Seattle-King Pgs 54-55'!F55</f>
        <v>0</v>
      </c>
      <c r="G55" s="109">
        <f>'Adams Pgs 8-9'!G55+'Asotin Pgs 10-11'!G55+'Benton-Franklin Pgs 12-13'!G55+'Chelan-Douglas Pgs 14-15'!G55+'Clallam Pgs 16-17'!G55+'Clark Pgs 18-19'!G55+'Columbia Pgs 20-21'!G55+'Cowlitz Pgs 22-23'!G55+'Garfield Pgs 24-25'!G55+'Grant Pgs 26-27'!G55+'Grays Harbor Pgs 28-29'!G55+'Island Pgs 30-31'!G55+'Jefferson Pgs 32-33'!G55+'Kitsap Pgs 34-35'!G55+'Kittitas Pgs 36-37'!G55+'Klickitat Pgs 38-39'!G55+'Lewis Pgs 40-41'!G55+'Lincoln Pgs 42-43'!G55+'Mason Pgs 44-45'!G55+'Northeast Tri Pgs 46-47'!G55+'Okanogan Pgs 48-49'!G55+'Pacific Pgs 50-51'!G55+'San Juan Pgs 52-53'!G55+'Skagit Pgs 56-57'!G55+'Skamania Pgs 58-59'!G55+'Snohomish Pgs 60-61'!G55+'Spokane Pgs 62-63'!G55+'Tacoma-Pierce Pgs 64-65'!G55+'Thurston Pgs 66-67'!G55+'Wahkiakum Pgs 68-69'!G55+'Walla Walla Pgs 70-71'!G55+'Whatcom Pgs 72-73'!G55+'Whitman Pgs 74-75'!G55+'Yakima Pgs 76-77'!G55+'Seattle-King Pgs 54-55'!G55</f>
        <v>2456817</v>
      </c>
      <c r="H55" s="107">
        <f>'Adams Pgs 8-9'!H55+'Asotin Pgs 10-11'!H55+'Benton-Franklin Pgs 12-13'!H55+'Chelan-Douglas Pgs 14-15'!H55+'Clallam Pgs 16-17'!H55+'Clark Pgs 18-19'!H55+'Columbia Pgs 20-21'!H55+'Cowlitz Pgs 22-23'!H55+'Garfield Pgs 24-25'!H55+'Grant Pgs 26-27'!H55+'Grays Harbor Pgs 28-29'!H55+'Island Pgs 30-31'!H55+'Jefferson Pgs 32-33'!H55+'Kitsap Pgs 34-35'!H55+'Kittitas Pgs 36-37'!H55+'Klickitat Pgs 38-39'!H55+'Lewis Pgs 40-41'!H55+'Lincoln Pgs 42-43'!H55+'Mason Pgs 44-45'!H55+'Northeast Tri Pgs 46-47'!H55+'Okanogan Pgs 48-49'!H55+'Pacific Pgs 50-51'!H55+'San Juan Pgs 52-53'!H55+'Skagit Pgs 56-57'!H55+'Skamania Pgs 58-59'!H55+'Snohomish Pgs 60-61'!H55+'Spokane Pgs 62-63'!H55+'Tacoma-Pierce Pgs 64-65'!H55+'Thurston Pgs 66-67'!H55+'Wahkiakum Pgs 68-69'!H55+'Walla Walla Pgs 70-71'!H55+'Whatcom Pgs 72-73'!H55+'Whitman Pgs 74-75'!H55+'Yakima Pgs 76-77'!H55+'Seattle-King Pgs 54-55'!H55</f>
        <v>0</v>
      </c>
      <c r="I55" s="109">
        <f>'Adams Pgs 8-9'!I55+'Asotin Pgs 10-11'!I55+'Benton-Franklin Pgs 12-13'!I55+'Chelan-Douglas Pgs 14-15'!I55+'Clallam Pgs 16-17'!I55+'Clark Pgs 18-19'!I55+'Columbia Pgs 20-21'!I55+'Cowlitz Pgs 22-23'!I55+'Garfield Pgs 24-25'!I55+'Grant Pgs 26-27'!I55+'Grays Harbor Pgs 28-29'!I55+'Island Pgs 30-31'!I55+'Jefferson Pgs 32-33'!I55+'Kitsap Pgs 34-35'!I55+'Kittitas Pgs 36-37'!I55+'Klickitat Pgs 38-39'!I55+'Lewis Pgs 40-41'!I55+'Lincoln Pgs 42-43'!I55+'Mason Pgs 44-45'!I55+'Northeast Tri Pgs 46-47'!I55+'Okanogan Pgs 48-49'!I55+'Pacific Pgs 50-51'!I55+'San Juan Pgs 52-53'!I55+'Skagit Pgs 56-57'!I55+'Skamania Pgs 58-59'!I55+'Snohomish Pgs 60-61'!I55+'Spokane Pgs 62-63'!I55+'Tacoma-Pierce Pgs 64-65'!I55+'Thurston Pgs 66-67'!I55+'Wahkiakum Pgs 68-69'!I55+'Walla Walla Pgs 70-71'!I55+'Whatcom Pgs 72-73'!I55+'Whitman Pgs 74-75'!I55+'Yakima Pgs 76-77'!I55+'Seattle-King Pgs 54-55'!I55</f>
        <v>1009347</v>
      </c>
      <c r="J55" s="110">
        <f>'Adams Pgs 8-9'!J55+'Asotin Pgs 10-11'!J55+'Benton-Franklin Pgs 12-13'!J55+'Chelan-Douglas Pgs 14-15'!J55+'Clallam Pgs 16-17'!J55+'Clark Pgs 18-19'!J55+'Columbia Pgs 20-21'!J55+'Cowlitz Pgs 22-23'!J55+'Garfield Pgs 24-25'!J55+'Grant Pgs 26-27'!J55+'Grays Harbor Pgs 28-29'!J55+'Island Pgs 30-31'!J55+'Jefferson Pgs 32-33'!J55+'Kitsap Pgs 34-35'!J55+'Kittitas Pgs 36-37'!J55+'Klickitat Pgs 38-39'!J55+'Lewis Pgs 40-41'!J55+'Lincoln Pgs 42-43'!J55+'Mason Pgs 44-45'!J55+'Northeast Tri Pgs 46-47'!J55+'Okanogan Pgs 48-49'!J55+'Pacific Pgs 50-51'!J55+'San Juan Pgs 52-53'!J55+'Skagit Pgs 56-57'!J55+'Skamania Pgs 58-59'!J55+'Snohomish Pgs 60-61'!J55+'Spokane Pgs 62-63'!J55+'Tacoma-Pierce Pgs 64-65'!J55+'Thurston Pgs 66-67'!J55+'Wahkiakum Pgs 68-69'!J55+'Walla Walla Pgs 70-71'!J55+'Whatcom Pgs 72-73'!J55+'Whitman Pgs 74-75'!J55+'Yakima Pgs 76-77'!J55+'Seattle-King Pgs 54-55'!J55</f>
        <v>13763</v>
      </c>
      <c r="K55" s="131">
        <f t="shared" si="2"/>
        <v>5997648</v>
      </c>
      <c r="L55"/>
    </row>
    <row r="56" spans="1:12" ht="15" thickBot="1" x14ac:dyDescent="0.4">
      <c r="A56" s="97"/>
      <c r="B56" s="29" t="s">
        <v>42</v>
      </c>
      <c r="C56" s="126">
        <f>SUM(C44:C55)</f>
        <v>86381447.349999994</v>
      </c>
      <c r="D56" s="127">
        <f>SUM(D44:D55)</f>
        <v>147056460</v>
      </c>
      <c r="E56" s="122">
        <f t="shared" ref="E56:J56" si="3">SUM(E44:E55)</f>
        <v>10850512</v>
      </c>
      <c r="F56" s="123">
        <f t="shared" si="3"/>
        <v>36060026</v>
      </c>
      <c r="G56" s="124">
        <f t="shared" si="3"/>
        <v>22564717</v>
      </c>
      <c r="H56" s="122">
        <f t="shared" si="3"/>
        <v>43718046</v>
      </c>
      <c r="I56" s="125">
        <f t="shared" si="3"/>
        <v>43725989.869999997</v>
      </c>
      <c r="J56" s="128">
        <f t="shared" si="3"/>
        <v>12314661</v>
      </c>
      <c r="K56" s="132">
        <f>SUM(C56:J56)</f>
        <v>402671859.22000003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31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4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5">
        <f>C56</f>
        <v>86381447.349999994</v>
      </c>
      <c r="D62" s="7">
        <f>C56/K56</f>
        <v>0.2145206956287587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9">
        <f>D56</f>
        <v>147056460</v>
      </c>
      <c r="D63" s="10">
        <f>D56/K56</f>
        <v>0.36520173096987046</v>
      </c>
      <c r="E63" s="42"/>
      <c r="F63" s="42"/>
      <c r="H63"/>
      <c r="I63"/>
      <c r="J63" s="42"/>
      <c r="L63"/>
    </row>
    <row r="64" spans="1:12" ht="15" thickBot="1" x14ac:dyDescent="0.4">
      <c r="B64" s="142" t="s">
        <v>75</v>
      </c>
      <c r="C64" s="146">
        <f>SUM(C62:C63)</f>
        <v>233437907.34999999</v>
      </c>
      <c r="D64" s="145">
        <f>SUM(D62:D63)</f>
        <v>0.57972242659862916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1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19">
        <f>E56</f>
        <v>10850512</v>
      </c>
      <c r="D66" s="20">
        <f>E56/$K56</f>
        <v>2.6946288278048791E-2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1">
        <f>F56</f>
        <v>36060026</v>
      </c>
      <c r="D67" s="20">
        <f>F56/$K56</f>
        <v>8.9551889893300402E-2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2">
        <f>G56</f>
        <v>22564717</v>
      </c>
      <c r="D68" s="55">
        <f>G56/$K56</f>
        <v>5.6037481843675976E-2</v>
      </c>
      <c r="E68" s="42"/>
      <c r="F68" s="42"/>
      <c r="H68"/>
      <c r="I68"/>
      <c r="J68" s="42"/>
      <c r="L68"/>
    </row>
    <row r="69" spans="2:12" ht="15" thickBot="1" x14ac:dyDescent="0.4">
      <c r="B69" s="142" t="s">
        <v>73</v>
      </c>
      <c r="C69" s="144">
        <f>SUM(C66:C68)</f>
        <v>69475255</v>
      </c>
      <c r="D69" s="145">
        <f>SUM(D66:D68)</f>
        <v>0.17253566001502518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11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5">
        <f>H56</f>
        <v>43718046</v>
      </c>
      <c r="D71" s="7">
        <f>H56/K56</f>
        <v>0.10856990623751191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9">
        <f>I56</f>
        <v>43725989.869999997</v>
      </c>
      <c r="D72" s="10">
        <f>I56/K56</f>
        <v>0.10858963413708599</v>
      </c>
      <c r="E72" s="42"/>
      <c r="F72" s="42"/>
      <c r="H72"/>
      <c r="I72"/>
      <c r="J72" s="42"/>
      <c r="L72"/>
    </row>
    <row r="73" spans="2:12" ht="15" thickBot="1" x14ac:dyDescent="0.4">
      <c r="B73" s="142" t="s">
        <v>74</v>
      </c>
      <c r="C73" s="144">
        <f>SUM(C71:C72)</f>
        <v>87444035.870000005</v>
      </c>
      <c r="D73" s="145">
        <f>SUM(D71:D72)</f>
        <v>0.21715954037459789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53"/>
      <c r="D74" s="54"/>
      <c r="E74" s="42"/>
      <c r="F74" s="42"/>
      <c r="H74"/>
      <c r="I74"/>
      <c r="J74" s="42"/>
      <c r="L74"/>
    </row>
    <row r="75" spans="2:12" ht="15" thickBot="1" x14ac:dyDescent="0.4">
      <c r="B75" s="143" t="s">
        <v>77</v>
      </c>
      <c r="C75" s="144">
        <f>J56</f>
        <v>12314661</v>
      </c>
      <c r="D75" s="145">
        <f>J56/K56</f>
        <v>3.0582373011747703E-2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402671859.22000003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107" priority="3">
      <formula>ROW()=EVEN(ROW())</formula>
    </cfRule>
  </conditionalFormatting>
  <conditionalFormatting sqref="K45:K55">
    <cfRule type="expression" dxfId="106" priority="1">
      <formula>ROW()=EVEN(ROW())</formula>
    </cfRule>
  </conditionalFormatting>
  <conditionalFormatting sqref="K5:K44">
    <cfRule type="expression" dxfId="10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&amp;C&amp;"-,Bold"&amp;20Expenditures by Expenditure Code and Revenue Source
2016
All Local Health Jurisdictions
</oddHeader>
  </headerFooter>
  <rowBreaks count="1" manualBreakCount="1">
    <brk id="44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19510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8.75</v>
      </c>
      <c r="D2" s="56"/>
      <c r="F2" s="2"/>
      <c r="G2" s="40"/>
      <c r="H2" s="40"/>
      <c r="I2" s="40"/>
      <c r="J2" s="89" t="s">
        <v>187</v>
      </c>
      <c r="K2" s="296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15">
        <v>20</v>
      </c>
      <c r="D5" s="216"/>
      <c r="E5" s="217"/>
      <c r="F5" s="218"/>
      <c r="G5" s="216"/>
      <c r="H5" s="217"/>
      <c r="I5" s="216">
        <v>15031</v>
      </c>
      <c r="J5" s="219">
        <v>140000</v>
      </c>
      <c r="K5" s="220">
        <f>SUM(C5:J5)</f>
        <v>155051</v>
      </c>
      <c r="L5"/>
    </row>
    <row r="6" spans="1:12" x14ac:dyDescent="0.35">
      <c r="A6" s="93">
        <v>562.21</v>
      </c>
      <c r="B6" s="16" t="s">
        <v>10</v>
      </c>
      <c r="C6" s="215"/>
      <c r="D6" s="216"/>
      <c r="E6" s="217"/>
      <c r="F6" s="218"/>
      <c r="G6" s="216"/>
      <c r="H6" s="217"/>
      <c r="I6" s="216"/>
      <c r="J6" s="219"/>
      <c r="K6" s="221">
        <f t="shared" ref="K6:K56" si="0">SUM(C6:J6)</f>
        <v>0</v>
      </c>
      <c r="L6"/>
    </row>
    <row r="7" spans="1:12" x14ac:dyDescent="0.35">
      <c r="A7" s="93">
        <v>562.22</v>
      </c>
      <c r="B7" s="28" t="s">
        <v>52</v>
      </c>
      <c r="C7" s="215"/>
      <c r="D7" s="216"/>
      <c r="E7" s="217"/>
      <c r="F7" s="218"/>
      <c r="G7" s="216"/>
      <c r="H7" s="217">
        <v>5278</v>
      </c>
      <c r="I7" s="216"/>
      <c r="J7" s="219"/>
      <c r="K7" s="220">
        <f t="shared" si="0"/>
        <v>5278</v>
      </c>
      <c r="L7"/>
    </row>
    <row r="8" spans="1:12" x14ac:dyDescent="0.35">
      <c r="A8" s="93">
        <v>562.24</v>
      </c>
      <c r="B8" s="16" t="s">
        <v>11</v>
      </c>
      <c r="C8" s="215"/>
      <c r="D8" s="216"/>
      <c r="E8" s="217"/>
      <c r="F8" s="218"/>
      <c r="G8" s="216">
        <v>12310</v>
      </c>
      <c r="H8" s="222"/>
      <c r="I8" s="223">
        <v>12310</v>
      </c>
      <c r="J8" s="219"/>
      <c r="K8" s="220">
        <f t="shared" si="0"/>
        <v>24620</v>
      </c>
      <c r="L8"/>
    </row>
    <row r="9" spans="1:12" x14ac:dyDescent="0.35">
      <c r="A9" s="93">
        <v>562.25</v>
      </c>
      <c r="B9" s="28" t="s">
        <v>53</v>
      </c>
      <c r="C9" s="215"/>
      <c r="D9" s="216"/>
      <c r="E9" s="217"/>
      <c r="F9" s="218">
        <v>17713</v>
      </c>
      <c r="G9" s="216"/>
      <c r="H9" s="217">
        <v>53399</v>
      </c>
      <c r="I9" s="216"/>
      <c r="J9" s="219"/>
      <c r="K9" s="220">
        <f t="shared" si="0"/>
        <v>71112</v>
      </c>
      <c r="L9"/>
    </row>
    <row r="10" spans="1:12" x14ac:dyDescent="0.35">
      <c r="A10" s="93">
        <v>562.26</v>
      </c>
      <c r="B10" s="28" t="s">
        <v>44</v>
      </c>
      <c r="C10" s="215"/>
      <c r="D10" s="216"/>
      <c r="E10" s="217"/>
      <c r="F10" s="218"/>
      <c r="G10" s="216"/>
      <c r="H10" s="217"/>
      <c r="I10" s="216"/>
      <c r="J10" s="219"/>
      <c r="K10" s="220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15"/>
      <c r="D11" s="216"/>
      <c r="E11" s="217"/>
      <c r="F11" s="218"/>
      <c r="G11" s="216"/>
      <c r="H11" s="217"/>
      <c r="I11" s="216"/>
      <c r="J11" s="219"/>
      <c r="K11" s="220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15"/>
      <c r="D12" s="216"/>
      <c r="E12" s="217"/>
      <c r="F12" s="218">
        <v>8997</v>
      </c>
      <c r="G12" s="216"/>
      <c r="H12" s="217">
        <f>80424+125</f>
        <v>80549</v>
      </c>
      <c r="I12" s="216"/>
      <c r="J12" s="219"/>
      <c r="K12" s="220">
        <f t="shared" si="0"/>
        <v>89546</v>
      </c>
      <c r="L12"/>
    </row>
    <row r="13" spans="1:12" x14ac:dyDescent="0.35">
      <c r="A13" s="93">
        <v>562.29</v>
      </c>
      <c r="B13" s="28" t="s">
        <v>46</v>
      </c>
      <c r="C13" s="215"/>
      <c r="D13" s="216"/>
      <c r="E13" s="217"/>
      <c r="F13" s="218"/>
      <c r="G13" s="216">
        <v>1125</v>
      </c>
      <c r="H13" s="217"/>
      <c r="I13" s="216"/>
      <c r="J13" s="219"/>
      <c r="K13" s="220">
        <f t="shared" si="0"/>
        <v>1125</v>
      </c>
      <c r="L13"/>
    </row>
    <row r="14" spans="1:12" x14ac:dyDescent="0.35">
      <c r="A14" s="93">
        <v>562.32000000000005</v>
      </c>
      <c r="B14" s="16" t="s">
        <v>12</v>
      </c>
      <c r="C14" s="215">
        <f>3041+4714+52473+12966</f>
        <v>73194</v>
      </c>
      <c r="D14" s="216"/>
      <c r="E14" s="217"/>
      <c r="F14" s="218"/>
      <c r="G14" s="216"/>
      <c r="H14" s="217">
        <f>2810+304</f>
        <v>3114</v>
      </c>
      <c r="I14" s="216">
        <f>8127+8938</f>
        <v>17065</v>
      </c>
      <c r="J14" s="219"/>
      <c r="K14" s="220">
        <f t="shared" si="0"/>
        <v>93373</v>
      </c>
      <c r="L14"/>
    </row>
    <row r="15" spans="1:12" x14ac:dyDescent="0.35">
      <c r="A15" s="93">
        <v>562.33000000000004</v>
      </c>
      <c r="B15" s="28" t="s">
        <v>55</v>
      </c>
      <c r="C15" s="215"/>
      <c r="D15" s="216"/>
      <c r="E15" s="217"/>
      <c r="F15" s="218"/>
      <c r="G15" s="216"/>
      <c r="H15" s="217"/>
      <c r="I15" s="216"/>
      <c r="J15" s="219"/>
      <c r="K15" s="220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215">
        <v>1186.5</v>
      </c>
      <c r="D16" s="216"/>
      <c r="E16" s="217"/>
      <c r="F16" s="218">
        <v>13996</v>
      </c>
      <c r="G16" s="216"/>
      <c r="H16" s="217"/>
      <c r="I16" s="216"/>
      <c r="J16" s="219"/>
      <c r="K16" s="220">
        <f t="shared" si="0"/>
        <v>15182.5</v>
      </c>
      <c r="L16"/>
    </row>
    <row r="17" spans="1:12" x14ac:dyDescent="0.35">
      <c r="A17" s="93">
        <v>562.35</v>
      </c>
      <c r="B17" s="16" t="s">
        <v>14</v>
      </c>
      <c r="C17" s="215"/>
      <c r="D17" s="216"/>
      <c r="E17" s="217"/>
      <c r="F17" s="218"/>
      <c r="G17" s="216"/>
      <c r="H17" s="217"/>
      <c r="I17" s="216"/>
      <c r="J17" s="219"/>
      <c r="K17" s="220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15"/>
      <c r="D18" s="216"/>
      <c r="E18" s="217"/>
      <c r="F18" s="218">
        <v>44378</v>
      </c>
      <c r="G18" s="216"/>
      <c r="H18" s="217"/>
      <c r="I18" s="216"/>
      <c r="J18" s="219"/>
      <c r="K18" s="220">
        <f t="shared" si="0"/>
        <v>44378</v>
      </c>
      <c r="L18"/>
    </row>
    <row r="19" spans="1:12" x14ac:dyDescent="0.35">
      <c r="A19" s="93">
        <v>562.41</v>
      </c>
      <c r="B19" s="16" t="s">
        <v>16</v>
      </c>
      <c r="C19" s="215"/>
      <c r="D19" s="216"/>
      <c r="E19" s="217"/>
      <c r="F19" s="218"/>
      <c r="G19" s="216"/>
      <c r="H19" s="217"/>
      <c r="I19" s="216"/>
      <c r="J19" s="219"/>
      <c r="K19" s="220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15"/>
      <c r="D20" s="216"/>
      <c r="E20" s="217"/>
      <c r="F20" s="218"/>
      <c r="G20" s="216"/>
      <c r="H20" s="217"/>
      <c r="I20" s="216"/>
      <c r="J20" s="219"/>
      <c r="K20" s="220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15"/>
      <c r="D21" s="216"/>
      <c r="E21" s="217"/>
      <c r="F21" s="218"/>
      <c r="G21" s="216"/>
      <c r="H21" s="217"/>
      <c r="I21" s="216"/>
      <c r="J21" s="219"/>
      <c r="K21" s="220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15"/>
      <c r="D22" s="216"/>
      <c r="E22" s="217"/>
      <c r="F22" s="218"/>
      <c r="G22" s="216">
        <v>16425</v>
      </c>
      <c r="H22" s="217"/>
      <c r="I22" s="216">
        <v>4689</v>
      </c>
      <c r="J22" s="219"/>
      <c r="K22" s="220">
        <f t="shared" si="0"/>
        <v>21114</v>
      </c>
      <c r="L22"/>
    </row>
    <row r="23" spans="1:12" x14ac:dyDescent="0.35">
      <c r="A23" s="93">
        <v>562.45000000000005</v>
      </c>
      <c r="B23" s="28" t="s">
        <v>58</v>
      </c>
      <c r="C23" s="215"/>
      <c r="D23" s="216"/>
      <c r="E23" s="217"/>
      <c r="F23" s="218"/>
      <c r="G23" s="216"/>
      <c r="H23" s="217"/>
      <c r="I23" s="216"/>
      <c r="J23" s="219"/>
      <c r="K23" s="220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15"/>
      <c r="D24" s="216"/>
      <c r="E24" s="217"/>
      <c r="F24" s="218"/>
      <c r="G24" s="216"/>
      <c r="H24" s="217"/>
      <c r="I24" s="216"/>
      <c r="J24" s="219"/>
      <c r="K24" s="220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15"/>
      <c r="D25" s="216">
        <v>150</v>
      </c>
      <c r="E25" s="217"/>
      <c r="F25" s="218"/>
      <c r="G25" s="216"/>
      <c r="H25" s="217"/>
      <c r="I25" s="216"/>
      <c r="J25" s="219"/>
      <c r="K25" s="220">
        <f t="shared" si="0"/>
        <v>150</v>
      </c>
      <c r="L25"/>
    </row>
    <row r="26" spans="1:12" x14ac:dyDescent="0.35">
      <c r="A26" s="93">
        <v>562.53</v>
      </c>
      <c r="B26" s="28" t="s">
        <v>59</v>
      </c>
      <c r="C26" s="215"/>
      <c r="D26" s="216">
        <v>1227</v>
      </c>
      <c r="E26" s="217"/>
      <c r="F26" s="218"/>
      <c r="G26" s="216">
        <v>4734</v>
      </c>
      <c r="H26" s="217"/>
      <c r="I26" s="216"/>
      <c r="J26" s="219"/>
      <c r="K26" s="220">
        <f t="shared" si="0"/>
        <v>5961</v>
      </c>
      <c r="L26"/>
    </row>
    <row r="27" spans="1:12" x14ac:dyDescent="0.35">
      <c r="A27" s="93">
        <v>562.54</v>
      </c>
      <c r="B27" s="28" t="s">
        <v>60</v>
      </c>
      <c r="C27" s="215"/>
      <c r="D27" s="216">
        <f>7025+12575+1300</f>
        <v>20900</v>
      </c>
      <c r="E27" s="217"/>
      <c r="F27" s="218">
        <v>30527</v>
      </c>
      <c r="G27" s="216"/>
      <c r="H27" s="217"/>
      <c r="I27" s="216"/>
      <c r="J27" s="219"/>
      <c r="K27" s="220">
        <f t="shared" si="0"/>
        <v>51427</v>
      </c>
      <c r="L27"/>
    </row>
    <row r="28" spans="1:12" x14ac:dyDescent="0.35">
      <c r="A28" s="93">
        <v>562.54999999999995</v>
      </c>
      <c r="B28" s="16" t="s">
        <v>19</v>
      </c>
      <c r="C28" s="215">
        <v>2060</v>
      </c>
      <c r="D28" s="216"/>
      <c r="E28" s="217"/>
      <c r="F28" s="218">
        <v>565</v>
      </c>
      <c r="G28" s="216"/>
      <c r="H28" s="217"/>
      <c r="I28" s="216"/>
      <c r="J28" s="219"/>
      <c r="K28" s="220">
        <f t="shared" si="0"/>
        <v>2625</v>
      </c>
      <c r="L28"/>
    </row>
    <row r="29" spans="1:12" x14ac:dyDescent="0.35">
      <c r="A29" s="93">
        <v>562.55999999999995</v>
      </c>
      <c r="B29" s="16" t="s">
        <v>20</v>
      </c>
      <c r="C29" s="215"/>
      <c r="D29" s="216">
        <v>55274</v>
      </c>
      <c r="E29" s="217"/>
      <c r="F29" s="218"/>
      <c r="G29" s="216"/>
      <c r="H29" s="217"/>
      <c r="I29" s="216"/>
      <c r="J29" s="219"/>
      <c r="K29" s="220">
        <f t="shared" si="0"/>
        <v>55274</v>
      </c>
      <c r="L29"/>
    </row>
    <row r="30" spans="1:12" x14ac:dyDescent="0.35">
      <c r="A30" s="93">
        <v>562.57000000000005</v>
      </c>
      <c r="B30" s="28" t="s">
        <v>61</v>
      </c>
      <c r="C30" s="215">
        <v>1380</v>
      </c>
      <c r="D30" s="216"/>
      <c r="E30" s="217"/>
      <c r="F30" s="218"/>
      <c r="G30" s="216"/>
      <c r="H30" s="217"/>
      <c r="I30" s="216"/>
      <c r="J30" s="219"/>
      <c r="K30" s="220">
        <f t="shared" si="0"/>
        <v>1380</v>
      </c>
      <c r="L30"/>
    </row>
    <row r="31" spans="1:12" x14ac:dyDescent="0.35">
      <c r="A31" s="93">
        <v>562.58000000000004</v>
      </c>
      <c r="B31" s="28" t="s">
        <v>48</v>
      </c>
      <c r="C31" s="215"/>
      <c r="D31" s="216">
        <v>1500</v>
      </c>
      <c r="E31" s="217"/>
      <c r="F31" s="218"/>
      <c r="G31" s="216"/>
      <c r="H31" s="217"/>
      <c r="I31" s="216"/>
      <c r="J31" s="219"/>
      <c r="K31" s="220">
        <f t="shared" si="0"/>
        <v>1500</v>
      </c>
      <c r="L31"/>
    </row>
    <row r="32" spans="1:12" x14ac:dyDescent="0.35">
      <c r="A32" s="93">
        <v>562.59</v>
      </c>
      <c r="B32" s="28" t="s">
        <v>49</v>
      </c>
      <c r="C32" s="215"/>
      <c r="D32" s="216"/>
      <c r="E32" s="217"/>
      <c r="F32" s="218"/>
      <c r="G32" s="216"/>
      <c r="H32" s="217"/>
      <c r="I32" s="216"/>
      <c r="J32" s="219"/>
      <c r="K32" s="220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215"/>
      <c r="D33" s="216"/>
      <c r="E33" s="217"/>
      <c r="F33" s="218"/>
      <c r="G33" s="216"/>
      <c r="H33" s="217"/>
      <c r="I33" s="216"/>
      <c r="J33" s="219"/>
      <c r="K33" s="220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215">
        <f>13512+575</f>
        <v>14087</v>
      </c>
      <c r="D34" s="216"/>
      <c r="E34" s="217"/>
      <c r="F34" s="218"/>
      <c r="G34" s="216"/>
      <c r="H34" s="217"/>
      <c r="I34" s="216"/>
      <c r="J34" s="219"/>
      <c r="K34" s="220">
        <f t="shared" si="0"/>
        <v>14087</v>
      </c>
      <c r="L34"/>
    </row>
    <row r="35" spans="1:12" x14ac:dyDescent="0.35">
      <c r="A35" s="93">
        <v>562.72</v>
      </c>
      <c r="B35" s="16" t="s">
        <v>23</v>
      </c>
      <c r="C35" s="215"/>
      <c r="D35" s="216"/>
      <c r="E35" s="217"/>
      <c r="F35" s="218"/>
      <c r="G35" s="216"/>
      <c r="H35" s="217"/>
      <c r="I35" s="216"/>
      <c r="J35" s="219"/>
      <c r="K35" s="220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15"/>
      <c r="D36" s="216"/>
      <c r="E36" s="217"/>
      <c r="F36" s="218"/>
      <c r="G36" s="216"/>
      <c r="H36" s="217"/>
      <c r="I36" s="216"/>
      <c r="J36" s="219"/>
      <c r="K36" s="220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15"/>
      <c r="D37" s="216"/>
      <c r="E37" s="217"/>
      <c r="F37" s="218"/>
      <c r="G37" s="216"/>
      <c r="H37" s="217"/>
      <c r="I37" s="216"/>
      <c r="J37" s="219"/>
      <c r="K37" s="220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15"/>
      <c r="D38" s="216"/>
      <c r="E38" s="217"/>
      <c r="F38" s="218"/>
      <c r="G38" s="216"/>
      <c r="H38" s="217"/>
      <c r="I38" s="216"/>
      <c r="J38" s="219"/>
      <c r="K38" s="220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15"/>
      <c r="D39" s="216"/>
      <c r="E39" s="217"/>
      <c r="F39" s="218"/>
      <c r="G39" s="216"/>
      <c r="H39" s="217"/>
      <c r="I39" s="216"/>
      <c r="J39" s="219"/>
      <c r="K39" s="220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15"/>
      <c r="D40" s="216"/>
      <c r="E40" s="217"/>
      <c r="F40" s="218"/>
      <c r="G40" s="216"/>
      <c r="H40" s="217"/>
      <c r="I40" s="216"/>
      <c r="J40" s="219"/>
      <c r="K40" s="220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15">
        <v>760</v>
      </c>
      <c r="D41" s="216"/>
      <c r="E41" s="217"/>
      <c r="F41" s="218">
        <v>5037</v>
      </c>
      <c r="G41" s="216"/>
      <c r="H41" s="217">
        <v>23061</v>
      </c>
      <c r="I41" s="216"/>
      <c r="J41" s="219"/>
      <c r="K41" s="220">
        <f t="shared" si="0"/>
        <v>28858</v>
      </c>
      <c r="L41"/>
    </row>
    <row r="42" spans="1:12" x14ac:dyDescent="0.35">
      <c r="A42" s="93">
        <v>562.9</v>
      </c>
      <c r="B42" s="16" t="s">
        <v>28</v>
      </c>
      <c r="C42" s="215"/>
      <c r="D42" s="216"/>
      <c r="E42" s="217"/>
      <c r="F42" s="218"/>
      <c r="G42" s="216">
        <v>10000</v>
      </c>
      <c r="H42" s="217"/>
      <c r="I42" s="216"/>
      <c r="J42" s="219"/>
      <c r="K42" s="220">
        <f t="shared" si="0"/>
        <v>10000</v>
      </c>
      <c r="L42"/>
    </row>
    <row r="43" spans="1:12" x14ac:dyDescent="0.35">
      <c r="A43" s="95">
        <v>562.99</v>
      </c>
      <c r="B43" s="14" t="s">
        <v>29</v>
      </c>
      <c r="C43" s="215"/>
      <c r="D43" s="216"/>
      <c r="E43" s="224"/>
      <c r="F43" s="225"/>
      <c r="G43" s="226"/>
      <c r="H43" s="224"/>
      <c r="I43" s="226"/>
      <c r="J43" s="227"/>
      <c r="K43" s="220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28">
        <f>SUM(C5:C43)</f>
        <v>92687.5</v>
      </c>
      <c r="D44" s="229">
        <f>SUM(D5:D43)</f>
        <v>79051</v>
      </c>
      <c r="E44" s="230">
        <f t="shared" ref="E44:J44" si="1">SUM(E5:E43)</f>
        <v>0</v>
      </c>
      <c r="F44" s="231">
        <f t="shared" si="1"/>
        <v>121213</v>
      </c>
      <c r="G44" s="229">
        <f t="shared" si="1"/>
        <v>44594</v>
      </c>
      <c r="H44" s="230">
        <f t="shared" si="1"/>
        <v>165401</v>
      </c>
      <c r="I44" s="232">
        <f t="shared" si="1"/>
        <v>49095</v>
      </c>
      <c r="J44" s="233">
        <f t="shared" si="1"/>
        <v>140000</v>
      </c>
      <c r="K44" s="234">
        <f t="shared" si="0"/>
        <v>692041.5</v>
      </c>
      <c r="L44"/>
    </row>
    <row r="45" spans="1:12" x14ac:dyDescent="0.35">
      <c r="A45" s="93">
        <v>523</v>
      </c>
      <c r="B45" s="16" t="s">
        <v>31</v>
      </c>
      <c r="C45" s="215">
        <v>0</v>
      </c>
      <c r="D45" s="216">
        <v>0</v>
      </c>
      <c r="E45" s="255"/>
      <c r="F45" s="256"/>
      <c r="G45" s="257"/>
      <c r="H45" s="255"/>
      <c r="I45" s="257"/>
      <c r="J45" s="258"/>
      <c r="K45" s="220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215"/>
      <c r="D46" s="216"/>
      <c r="E46" s="217"/>
      <c r="F46" s="218"/>
      <c r="G46" s="216"/>
      <c r="H46" s="217"/>
      <c r="I46" s="216"/>
      <c r="J46" s="219"/>
      <c r="K46" s="220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215">
        <v>0</v>
      </c>
      <c r="D47" s="216">
        <v>0</v>
      </c>
      <c r="E47" s="217"/>
      <c r="F47" s="218"/>
      <c r="G47" s="216"/>
      <c r="H47" s="217"/>
      <c r="I47" s="216"/>
      <c r="J47" s="219"/>
      <c r="K47" s="220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215">
        <v>0</v>
      </c>
      <c r="D48" s="216">
        <v>0</v>
      </c>
      <c r="E48" s="217"/>
      <c r="F48" s="218"/>
      <c r="G48" s="216"/>
      <c r="H48" s="217"/>
      <c r="I48" s="216"/>
      <c r="J48" s="219"/>
      <c r="K48" s="220">
        <f t="shared" si="0"/>
        <v>0</v>
      </c>
      <c r="L48"/>
    </row>
    <row r="49" spans="1:12" x14ac:dyDescent="0.35">
      <c r="A49" s="93">
        <v>554</v>
      </c>
      <c r="B49" s="28" t="s">
        <v>62</v>
      </c>
      <c r="C49" s="215">
        <v>0</v>
      </c>
      <c r="D49" s="216">
        <v>0</v>
      </c>
      <c r="E49" s="217"/>
      <c r="F49" s="218"/>
      <c r="G49" s="216"/>
      <c r="H49" s="217"/>
      <c r="I49" s="216"/>
      <c r="J49" s="219"/>
      <c r="K49" s="220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215">
        <v>0</v>
      </c>
      <c r="D50" s="216">
        <v>0</v>
      </c>
      <c r="E50" s="217"/>
      <c r="F50" s="218"/>
      <c r="G50" s="216"/>
      <c r="H50" s="217"/>
      <c r="I50" s="216"/>
      <c r="J50" s="219"/>
      <c r="K50" s="220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215">
        <v>0</v>
      </c>
      <c r="D51" s="216">
        <v>0</v>
      </c>
      <c r="E51" s="217"/>
      <c r="F51" s="218"/>
      <c r="G51" s="216"/>
      <c r="H51" s="217"/>
      <c r="I51" s="216"/>
      <c r="J51" s="219"/>
      <c r="K51" s="220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215">
        <v>0</v>
      </c>
      <c r="D52" s="216">
        <v>0</v>
      </c>
      <c r="E52" s="217"/>
      <c r="F52" s="218"/>
      <c r="G52" s="216"/>
      <c r="H52" s="217"/>
      <c r="I52" s="216"/>
      <c r="J52" s="219"/>
      <c r="K52" s="220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215">
        <v>0</v>
      </c>
      <c r="D53" s="216">
        <v>0</v>
      </c>
      <c r="E53" s="217"/>
      <c r="F53" s="218"/>
      <c r="G53" s="216"/>
      <c r="H53" s="217"/>
      <c r="I53" s="216"/>
      <c r="J53" s="219"/>
      <c r="K53" s="220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215">
        <v>0</v>
      </c>
      <c r="D54" s="216">
        <v>0</v>
      </c>
      <c r="E54" s="217"/>
      <c r="F54" s="218"/>
      <c r="G54" s="216"/>
      <c r="H54" s="217"/>
      <c r="I54" s="216"/>
      <c r="J54" s="219"/>
      <c r="K54" s="220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259">
        <v>0</v>
      </c>
      <c r="D55" s="226">
        <v>0</v>
      </c>
      <c r="E55" s="224"/>
      <c r="F55" s="225"/>
      <c r="G55" s="226"/>
      <c r="H55" s="224"/>
      <c r="I55" s="226"/>
      <c r="J55" s="227"/>
      <c r="K55" s="260">
        <f t="shared" si="0"/>
        <v>0</v>
      </c>
      <c r="L55"/>
    </row>
    <row r="56" spans="1:12" ht="15" thickBot="1" x14ac:dyDescent="0.4">
      <c r="A56" s="97"/>
      <c r="B56" s="29" t="s">
        <v>42</v>
      </c>
      <c r="C56" s="261">
        <f>SUM(C44:C55)</f>
        <v>92687.5</v>
      </c>
      <c r="D56" s="262">
        <f>SUM(D44:D55)</f>
        <v>79051</v>
      </c>
      <c r="E56" s="263">
        <f t="shared" ref="E56:J56" si="2">SUM(E44:E55)</f>
        <v>0</v>
      </c>
      <c r="F56" s="264">
        <f t="shared" si="2"/>
        <v>121213</v>
      </c>
      <c r="G56" s="265">
        <f t="shared" si="2"/>
        <v>44594</v>
      </c>
      <c r="H56" s="263">
        <f t="shared" si="2"/>
        <v>165401</v>
      </c>
      <c r="I56" s="266">
        <f t="shared" si="2"/>
        <v>49095</v>
      </c>
      <c r="J56" s="267">
        <f t="shared" si="2"/>
        <v>140000</v>
      </c>
      <c r="K56" s="268">
        <f t="shared" si="0"/>
        <v>692041.5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96" t="s">
        <v>76</v>
      </c>
      <c r="C59" s="139" t="s">
        <v>43</v>
      </c>
      <c r="D59" s="195" t="s">
        <v>40</v>
      </c>
      <c r="E59" s="42"/>
      <c r="F59" s="42"/>
      <c r="H59"/>
      <c r="I59"/>
      <c r="J59" s="42"/>
      <c r="L59"/>
    </row>
    <row r="60" spans="1:12" ht="15" thickTop="1" x14ac:dyDescent="0.35">
      <c r="B60" s="34" t="s">
        <v>71</v>
      </c>
      <c r="C60" s="283"/>
      <c r="D60" s="25"/>
      <c r="E60" s="42"/>
      <c r="F60" s="42"/>
      <c r="H60"/>
      <c r="I60"/>
      <c r="J60" s="42"/>
      <c r="L60"/>
    </row>
    <row r="61" spans="1:12" x14ac:dyDescent="0.35">
      <c r="B61" s="6" t="s">
        <v>63</v>
      </c>
      <c r="C61" s="284">
        <f>C56</f>
        <v>92687.5</v>
      </c>
      <c r="D61" s="7">
        <f>C56/K56</f>
        <v>0.13393344185283687</v>
      </c>
      <c r="E61" s="42"/>
      <c r="F61" s="42"/>
      <c r="H61"/>
      <c r="I61"/>
      <c r="J61" s="42"/>
      <c r="L61"/>
    </row>
    <row r="62" spans="1:12" x14ac:dyDescent="0.35">
      <c r="B62" s="27" t="s">
        <v>6</v>
      </c>
      <c r="C62" s="285">
        <f>D56</f>
        <v>79051</v>
      </c>
      <c r="D62" s="10">
        <f>D56/K56</f>
        <v>0.11422869871243271</v>
      </c>
      <c r="E62" s="42"/>
      <c r="F62" s="42"/>
      <c r="H62"/>
      <c r="I62"/>
      <c r="J62" s="42"/>
      <c r="L62"/>
    </row>
    <row r="63" spans="1:12" ht="15" thickBot="1" x14ac:dyDescent="0.4">
      <c r="B63" s="183" t="s">
        <v>75</v>
      </c>
      <c r="C63" s="286">
        <f>SUM(C61:C62)</f>
        <v>171738.5</v>
      </c>
      <c r="D63" s="23">
        <f>SUM(D61:D62)</f>
        <v>0.24816214056526958</v>
      </c>
      <c r="E63" s="42"/>
      <c r="F63" s="42"/>
      <c r="H63"/>
      <c r="I63"/>
      <c r="J63" s="42"/>
      <c r="L63"/>
    </row>
    <row r="64" spans="1:12" x14ac:dyDescent="0.35">
      <c r="B64" s="33" t="s">
        <v>69</v>
      </c>
      <c r="C64" s="287"/>
      <c r="D64" s="18"/>
      <c r="E64" s="42"/>
      <c r="F64" s="42"/>
      <c r="H64"/>
      <c r="I64"/>
      <c r="J64" s="42"/>
      <c r="L64"/>
    </row>
    <row r="65" spans="2:12" x14ac:dyDescent="0.35">
      <c r="B65" s="8" t="s">
        <v>1</v>
      </c>
      <c r="C65" s="288">
        <f>E56</f>
        <v>0</v>
      </c>
      <c r="D65" s="20">
        <f>E56/$K56</f>
        <v>0</v>
      </c>
      <c r="E65" s="42"/>
      <c r="F65" s="42"/>
      <c r="H65"/>
      <c r="I65"/>
      <c r="J65" s="42"/>
      <c r="L65"/>
    </row>
    <row r="66" spans="2:12" x14ac:dyDescent="0.35">
      <c r="B66" s="8" t="s">
        <v>2</v>
      </c>
      <c r="C66" s="289">
        <f>F56</f>
        <v>121213</v>
      </c>
      <c r="D66" s="20">
        <f>F56/$K56</f>
        <v>0.1751527906924657</v>
      </c>
      <c r="E66" s="42"/>
      <c r="F66" s="42"/>
      <c r="H66"/>
      <c r="I66"/>
      <c r="J66" s="42"/>
      <c r="L66"/>
    </row>
    <row r="67" spans="2:12" x14ac:dyDescent="0.35">
      <c r="B67" s="26" t="s">
        <v>41</v>
      </c>
      <c r="C67" s="290">
        <f>G56</f>
        <v>44594</v>
      </c>
      <c r="D67" s="55">
        <f>G56/$K56</f>
        <v>6.4438332094245793E-2</v>
      </c>
      <c r="E67" s="42"/>
      <c r="F67" s="42"/>
      <c r="H67"/>
      <c r="I67"/>
      <c r="J67" s="42"/>
      <c r="L67"/>
    </row>
    <row r="68" spans="2:12" ht="15" thickBot="1" x14ac:dyDescent="0.4">
      <c r="B68" s="183" t="s">
        <v>73</v>
      </c>
      <c r="C68" s="291">
        <f>SUM(C65:C67)</f>
        <v>165807</v>
      </c>
      <c r="D68" s="23">
        <f>SUM(D65:D67)</f>
        <v>0.23959112278671149</v>
      </c>
      <c r="E68" s="42"/>
      <c r="F68" s="42"/>
      <c r="H68"/>
      <c r="I68"/>
      <c r="J68" s="42"/>
      <c r="L68"/>
    </row>
    <row r="69" spans="2:12" x14ac:dyDescent="0.35">
      <c r="B69" s="34" t="s">
        <v>70</v>
      </c>
      <c r="C69" s="292"/>
      <c r="D69" s="12"/>
      <c r="E69" s="42"/>
      <c r="F69" s="42"/>
      <c r="H69"/>
      <c r="I69"/>
      <c r="J69" s="42"/>
      <c r="L69"/>
    </row>
    <row r="70" spans="2:12" x14ac:dyDescent="0.35">
      <c r="B70" s="6" t="s">
        <v>4</v>
      </c>
      <c r="C70" s="284">
        <f>H56</f>
        <v>165401</v>
      </c>
      <c r="D70" s="7">
        <f>H56/K56</f>
        <v>0.2390044527676447</v>
      </c>
      <c r="E70" s="42"/>
      <c r="F70" s="42"/>
      <c r="H70"/>
      <c r="I70"/>
      <c r="J70" s="42"/>
      <c r="L70"/>
    </row>
    <row r="71" spans="2:12" x14ac:dyDescent="0.35">
      <c r="B71" s="27" t="s">
        <v>5</v>
      </c>
      <c r="C71" s="285">
        <f>I56</f>
        <v>49095</v>
      </c>
      <c r="D71" s="10">
        <f>I56/K56</f>
        <v>7.094227730562401E-2</v>
      </c>
      <c r="E71" s="42"/>
      <c r="F71" s="42"/>
      <c r="H71"/>
      <c r="I71"/>
      <c r="J71" s="42"/>
      <c r="L71"/>
    </row>
    <row r="72" spans="2:12" ht="15" thickBot="1" x14ac:dyDescent="0.4">
      <c r="B72" s="183" t="s">
        <v>74</v>
      </c>
      <c r="C72" s="291">
        <f>SUM(C70:C71)</f>
        <v>214496</v>
      </c>
      <c r="D72" s="23">
        <f>SUM(D70:D71)</f>
        <v>0.30994673007326873</v>
      </c>
      <c r="E72" s="42"/>
      <c r="F72" s="42"/>
      <c r="H72"/>
      <c r="I72"/>
      <c r="J72" s="42"/>
      <c r="L72"/>
    </row>
    <row r="73" spans="2:12" x14ac:dyDescent="0.35">
      <c r="B73" s="34" t="s">
        <v>72</v>
      </c>
      <c r="C73" s="293"/>
      <c r="D73" s="54"/>
      <c r="E73" s="42"/>
      <c r="F73" s="42"/>
      <c r="H73"/>
      <c r="I73"/>
      <c r="J73" s="42"/>
      <c r="L73"/>
    </row>
    <row r="74" spans="2:12" ht="15" thickBot="1" x14ac:dyDescent="0.4">
      <c r="B74" s="182" t="s">
        <v>77</v>
      </c>
      <c r="C74" s="291">
        <f>J56</f>
        <v>140000</v>
      </c>
      <c r="D74" s="23">
        <f>J56/K56</f>
        <v>0.20230000657475022</v>
      </c>
      <c r="E74" s="42"/>
      <c r="F74" s="42"/>
      <c r="H74"/>
      <c r="I74"/>
      <c r="J74" s="42"/>
      <c r="L74"/>
    </row>
    <row r="75" spans="2:12" ht="15" thickBot="1" x14ac:dyDescent="0.4">
      <c r="B75" s="197" t="s">
        <v>42</v>
      </c>
      <c r="C75" s="294">
        <f>C68+C72+C63+C74</f>
        <v>692041.5</v>
      </c>
      <c r="D75" s="37">
        <f>D68+D72+D63+D74</f>
        <v>1</v>
      </c>
      <c r="E75" s="42"/>
      <c r="F75" s="42"/>
      <c r="H75"/>
      <c r="I75"/>
      <c r="J75" s="42"/>
      <c r="L75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104" priority="3">
      <formula>ROW()=EVEN(ROW())</formula>
    </cfRule>
  </conditionalFormatting>
  <conditionalFormatting sqref="K45:K55">
    <cfRule type="expression" dxfId="103" priority="1">
      <formula>ROW()=EVEN(ROW())</formula>
    </cfRule>
  </conditionalFormatting>
  <conditionalFormatting sqref="K5:K44">
    <cfRule type="expression" dxfId="10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&amp;C&amp;"-,Bold"&amp;16Expenditures by Expenditure Code and Revenue Source
2016
ADAMS
</oddHeader>
  </headerFooter>
  <rowBreaks count="1" manualBreakCount="1">
    <brk id="44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Zeros="0" view="pageLayout" zoomScaleNormal="100" workbookViewId="0"/>
  </sheetViews>
  <sheetFormatPr defaultRowHeight="14.5" x14ac:dyDescent="0.35"/>
  <cols>
    <col min="1" max="1" width="7.453125" customWidth="1"/>
    <col min="2" max="2" width="35.08984375" bestFit="1" customWidth="1"/>
    <col min="3" max="4" width="11.54296875" style="42" customWidth="1"/>
    <col min="5" max="6" width="11.54296875" customWidth="1"/>
    <col min="7" max="9" width="11.54296875" style="42" customWidth="1"/>
    <col min="10" max="10" width="17.08984375" bestFit="1" customWidth="1"/>
    <col min="11" max="11" width="11.54296875" customWidth="1"/>
    <col min="12" max="12" width="11.54296875" style="42" customWidth="1"/>
  </cols>
  <sheetData>
    <row r="1" spans="1:12" x14ac:dyDescent="0.35">
      <c r="A1" s="4" t="s">
        <v>153</v>
      </c>
      <c r="B1" s="3"/>
      <c r="C1" s="13">
        <v>22150</v>
      </c>
      <c r="D1" s="40"/>
      <c r="F1" s="2"/>
      <c r="G1" s="40"/>
      <c r="H1" s="40"/>
      <c r="I1" s="40"/>
      <c r="J1" s="1"/>
      <c r="K1" s="1"/>
      <c r="L1" s="40"/>
    </row>
    <row r="2" spans="1:12" ht="15" thickBot="1" x14ac:dyDescent="0.4">
      <c r="A2" s="85" t="s">
        <v>7</v>
      </c>
      <c r="B2" s="3"/>
      <c r="C2" s="57">
        <v>5.57</v>
      </c>
      <c r="D2" s="56"/>
      <c r="F2" s="2"/>
      <c r="G2" s="40"/>
      <c r="H2" s="40"/>
      <c r="I2" s="40"/>
      <c r="J2" s="89" t="s">
        <v>187</v>
      </c>
      <c r="K2" s="296" t="s">
        <v>151</v>
      </c>
    </row>
    <row r="3" spans="1:12" ht="15.5" thickTop="1" thickBot="1" x14ac:dyDescent="0.4">
      <c r="A3" s="86"/>
      <c r="B3" s="87"/>
      <c r="C3" s="434" t="s">
        <v>71</v>
      </c>
      <c r="D3" s="435"/>
      <c r="E3" s="432" t="s">
        <v>69</v>
      </c>
      <c r="F3" s="433"/>
      <c r="G3" s="433"/>
      <c r="H3" s="432" t="s">
        <v>70</v>
      </c>
      <c r="I3" s="433"/>
      <c r="J3" s="83" t="s">
        <v>72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38" t="s">
        <v>63</v>
      </c>
      <c r="D4" s="49" t="s">
        <v>6</v>
      </c>
      <c r="E4" s="46" t="s">
        <v>1</v>
      </c>
      <c r="F4" s="48" t="s">
        <v>2</v>
      </c>
      <c r="G4" s="41" t="s">
        <v>3</v>
      </c>
      <c r="H4" s="43" t="s">
        <v>4</v>
      </c>
      <c r="I4" s="45" t="s">
        <v>64</v>
      </c>
      <c r="J4" s="50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235">
        <v>45270</v>
      </c>
      <c r="D5" s="236">
        <v>85</v>
      </c>
      <c r="E5" s="44"/>
      <c r="F5" s="237">
        <v>92057</v>
      </c>
      <c r="G5" s="236"/>
      <c r="H5" s="44"/>
      <c r="I5" s="236"/>
      <c r="J5" s="51">
        <f>57283+4185</f>
        <v>61468</v>
      </c>
      <c r="K5" s="67">
        <f>SUM(C5:J5)</f>
        <v>198880</v>
      </c>
      <c r="L5"/>
    </row>
    <row r="6" spans="1:12" x14ac:dyDescent="0.35">
      <c r="A6" s="93">
        <v>562.21</v>
      </c>
      <c r="B6" s="16" t="s">
        <v>10</v>
      </c>
      <c r="C6" s="235"/>
      <c r="D6" s="236"/>
      <c r="E6" s="44"/>
      <c r="F6" s="237"/>
      <c r="G6" s="236"/>
      <c r="H6" s="44"/>
      <c r="I6" s="236"/>
      <c r="J6" s="51"/>
      <c r="K6" s="238">
        <f t="shared" ref="K6:K43" si="0">SUM(C6:J6)</f>
        <v>0</v>
      </c>
      <c r="L6"/>
    </row>
    <row r="7" spans="1:12" x14ac:dyDescent="0.35">
      <c r="A7" s="93">
        <v>562.22</v>
      </c>
      <c r="B7" s="28" t="s">
        <v>52</v>
      </c>
      <c r="C7" s="235"/>
      <c r="D7" s="236"/>
      <c r="E7" s="44"/>
      <c r="F7" s="237">
        <v>4830</v>
      </c>
      <c r="G7" s="236"/>
      <c r="H7" s="44">
        <v>20647</v>
      </c>
      <c r="I7" s="236">
        <v>6300</v>
      </c>
      <c r="J7" s="51"/>
      <c r="K7" s="67">
        <f t="shared" si="0"/>
        <v>31777</v>
      </c>
      <c r="L7"/>
    </row>
    <row r="8" spans="1:12" x14ac:dyDescent="0.35">
      <c r="A8" s="93">
        <v>562.24</v>
      </c>
      <c r="B8" s="16" t="s">
        <v>11</v>
      </c>
      <c r="C8" s="235"/>
      <c r="D8" s="236"/>
      <c r="E8" s="44"/>
      <c r="F8" s="237">
        <v>5066</v>
      </c>
      <c r="G8" s="236"/>
      <c r="H8" s="239"/>
      <c r="I8" s="240">
        <f>8750+6824</f>
        <v>15574</v>
      </c>
      <c r="J8" s="51"/>
      <c r="K8" s="67">
        <f t="shared" si="0"/>
        <v>20640</v>
      </c>
      <c r="L8"/>
    </row>
    <row r="9" spans="1:12" x14ac:dyDescent="0.35">
      <c r="A9" s="93">
        <v>562.25</v>
      </c>
      <c r="B9" s="28" t="s">
        <v>53</v>
      </c>
      <c r="C9" s="235"/>
      <c r="D9" s="236"/>
      <c r="E9" s="44"/>
      <c r="F9" s="237">
        <v>3486</v>
      </c>
      <c r="G9" s="236"/>
      <c r="H9" s="44">
        <v>14767</v>
      </c>
      <c r="I9" s="236">
        <f>325+4724</f>
        <v>5049</v>
      </c>
      <c r="J9" s="51"/>
      <c r="K9" s="67">
        <f t="shared" si="0"/>
        <v>23302</v>
      </c>
      <c r="L9"/>
    </row>
    <row r="10" spans="1:12" x14ac:dyDescent="0.35">
      <c r="A10" s="93">
        <v>562.26</v>
      </c>
      <c r="B10" s="28" t="s">
        <v>44</v>
      </c>
      <c r="C10" s="235"/>
      <c r="D10" s="236"/>
      <c r="E10" s="44"/>
      <c r="F10" s="237"/>
      <c r="G10" s="236"/>
      <c r="H10" s="44"/>
      <c r="I10" s="236"/>
      <c r="J10" s="51"/>
      <c r="K10" s="67">
        <f t="shared" si="0"/>
        <v>0</v>
      </c>
      <c r="L10"/>
    </row>
    <row r="11" spans="1:12" x14ac:dyDescent="0.35">
      <c r="A11" s="93">
        <v>562.27</v>
      </c>
      <c r="B11" s="28" t="s">
        <v>45</v>
      </c>
      <c r="C11" s="235"/>
      <c r="D11" s="236"/>
      <c r="E11" s="44"/>
      <c r="F11" s="237"/>
      <c r="G11" s="236"/>
      <c r="H11" s="44"/>
      <c r="I11" s="252"/>
      <c r="J11" s="51"/>
      <c r="K11" s="67">
        <f t="shared" si="0"/>
        <v>0</v>
      </c>
      <c r="L11"/>
    </row>
    <row r="12" spans="1:12" x14ac:dyDescent="0.35">
      <c r="A12" s="93">
        <v>562.28</v>
      </c>
      <c r="B12" s="28" t="s">
        <v>54</v>
      </c>
      <c r="C12" s="235"/>
      <c r="D12" s="236"/>
      <c r="E12" s="44"/>
      <c r="F12" s="237">
        <v>6296</v>
      </c>
      <c r="G12" s="236"/>
      <c r="H12" s="44">
        <v>120570</v>
      </c>
      <c r="I12" s="236">
        <v>8400</v>
      </c>
      <c r="J12" s="51"/>
      <c r="K12" s="67">
        <f t="shared" si="0"/>
        <v>135266</v>
      </c>
      <c r="L12"/>
    </row>
    <row r="13" spans="1:12" x14ac:dyDescent="0.35">
      <c r="A13" s="93">
        <v>562.29</v>
      </c>
      <c r="B13" s="28" t="s">
        <v>46</v>
      </c>
      <c r="C13" s="235"/>
      <c r="D13" s="236"/>
      <c r="E13" s="44"/>
      <c r="F13" s="237"/>
      <c r="G13" s="236"/>
      <c r="H13" s="44"/>
      <c r="I13" s="236"/>
      <c r="J13" s="51"/>
      <c r="K13" s="67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235"/>
      <c r="D14" s="236">
        <v>214</v>
      </c>
      <c r="E14" s="44"/>
      <c r="F14" s="237"/>
      <c r="G14" s="236"/>
      <c r="H14" s="44">
        <v>5149</v>
      </c>
      <c r="I14" s="236"/>
      <c r="J14" s="51">
        <v>9080</v>
      </c>
      <c r="K14" s="67">
        <f t="shared" si="0"/>
        <v>14443</v>
      </c>
      <c r="L14"/>
    </row>
    <row r="15" spans="1:12" x14ac:dyDescent="0.35">
      <c r="A15" s="93">
        <v>562.33000000000004</v>
      </c>
      <c r="B15" s="28" t="s">
        <v>55</v>
      </c>
      <c r="C15" s="235"/>
      <c r="D15" s="236"/>
      <c r="E15" s="44"/>
      <c r="F15" s="237">
        <v>634</v>
      </c>
      <c r="G15" s="236"/>
      <c r="H15" s="44"/>
      <c r="I15" s="236"/>
      <c r="J15" s="51"/>
      <c r="K15" s="67">
        <f t="shared" si="0"/>
        <v>634</v>
      </c>
      <c r="L15"/>
    </row>
    <row r="16" spans="1:12" x14ac:dyDescent="0.35">
      <c r="A16" s="93">
        <v>562.34</v>
      </c>
      <c r="B16" s="16" t="s">
        <v>13</v>
      </c>
      <c r="C16" s="235"/>
      <c r="D16" s="236"/>
      <c r="E16" s="44"/>
      <c r="F16" s="237">
        <v>334</v>
      </c>
      <c r="G16" s="236"/>
      <c r="H16" s="44"/>
      <c r="I16" s="236"/>
      <c r="J16" s="51"/>
      <c r="K16" s="67">
        <f t="shared" si="0"/>
        <v>334</v>
      </c>
      <c r="L16"/>
    </row>
    <row r="17" spans="1:12" x14ac:dyDescent="0.35">
      <c r="A17" s="93">
        <v>562.35</v>
      </c>
      <c r="B17" s="16" t="s">
        <v>14</v>
      </c>
      <c r="C17" s="235"/>
      <c r="D17" s="236"/>
      <c r="E17" s="44"/>
      <c r="F17" s="237"/>
      <c r="G17" s="236"/>
      <c r="H17" s="44"/>
      <c r="I17" s="236"/>
      <c r="J17" s="51"/>
      <c r="K17" s="67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235"/>
      <c r="D18" s="236">
        <v>50</v>
      </c>
      <c r="E18" s="44"/>
      <c r="F18" s="237">
        <v>16642</v>
      </c>
      <c r="G18" s="236"/>
      <c r="H18" s="44"/>
      <c r="I18" s="236"/>
      <c r="J18" s="51"/>
      <c r="K18" s="67">
        <f t="shared" si="0"/>
        <v>16692</v>
      </c>
      <c r="L18"/>
    </row>
    <row r="19" spans="1:12" x14ac:dyDescent="0.35">
      <c r="A19" s="93">
        <v>562.41</v>
      </c>
      <c r="B19" s="16" t="s">
        <v>16</v>
      </c>
      <c r="C19" s="235"/>
      <c r="D19" s="236"/>
      <c r="E19" s="44"/>
      <c r="F19" s="237"/>
      <c r="G19" s="236"/>
      <c r="H19" s="44"/>
      <c r="I19" s="236"/>
      <c r="J19" s="51"/>
      <c r="K19" s="67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235"/>
      <c r="D20" s="236"/>
      <c r="E20" s="44"/>
      <c r="F20" s="237"/>
      <c r="G20" s="236"/>
      <c r="H20" s="44"/>
      <c r="I20" s="236"/>
      <c r="J20" s="51"/>
      <c r="K20" s="67">
        <f t="shared" si="0"/>
        <v>0</v>
      </c>
      <c r="L20"/>
    </row>
    <row r="21" spans="1:12" x14ac:dyDescent="0.35">
      <c r="A21" s="93">
        <v>562.42999999999995</v>
      </c>
      <c r="B21" s="28" t="s">
        <v>56</v>
      </c>
      <c r="C21" s="235"/>
      <c r="D21" s="236"/>
      <c r="E21" s="44"/>
      <c r="F21" s="237"/>
      <c r="G21" s="236"/>
      <c r="H21" s="44"/>
      <c r="I21" s="236"/>
      <c r="J21" s="51"/>
      <c r="K21" s="67">
        <f t="shared" si="0"/>
        <v>0</v>
      </c>
      <c r="L21"/>
    </row>
    <row r="22" spans="1:12" x14ac:dyDescent="0.35">
      <c r="A22" s="93">
        <v>562.44000000000005</v>
      </c>
      <c r="B22" s="28" t="s">
        <v>57</v>
      </c>
      <c r="C22" s="235"/>
      <c r="D22" s="236"/>
      <c r="E22" s="44"/>
      <c r="F22" s="237"/>
      <c r="G22" s="236">
        <v>1857</v>
      </c>
      <c r="H22" s="44"/>
      <c r="I22" s="236"/>
      <c r="J22" s="51"/>
      <c r="K22" s="67">
        <f t="shared" si="0"/>
        <v>1857</v>
      </c>
      <c r="L22"/>
    </row>
    <row r="23" spans="1:12" x14ac:dyDescent="0.35">
      <c r="A23" s="93">
        <v>562.45000000000005</v>
      </c>
      <c r="B23" s="28" t="s">
        <v>58</v>
      </c>
      <c r="C23" s="235"/>
      <c r="D23" s="236"/>
      <c r="E23" s="44"/>
      <c r="F23" s="237"/>
      <c r="G23" s="236"/>
      <c r="H23" s="44"/>
      <c r="I23" s="236"/>
      <c r="J23" s="51"/>
      <c r="K23" s="67">
        <f t="shared" si="0"/>
        <v>0</v>
      </c>
      <c r="L23"/>
    </row>
    <row r="24" spans="1:12" x14ac:dyDescent="0.35">
      <c r="A24" s="93">
        <v>562.49</v>
      </c>
      <c r="B24" s="28" t="s">
        <v>47</v>
      </c>
      <c r="C24" s="235"/>
      <c r="D24" s="236"/>
      <c r="E24" s="44"/>
      <c r="F24" s="237"/>
      <c r="G24" s="236"/>
      <c r="H24" s="44"/>
      <c r="I24" s="236"/>
      <c r="J24" s="51"/>
      <c r="K24" s="67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235"/>
      <c r="D25" s="236"/>
      <c r="E25" s="44"/>
      <c r="F25" s="237"/>
      <c r="G25" s="236"/>
      <c r="H25" s="44"/>
      <c r="I25" s="236"/>
      <c r="J25" s="51"/>
      <c r="K25" s="67">
        <f t="shared" si="0"/>
        <v>0</v>
      </c>
      <c r="L25"/>
    </row>
    <row r="26" spans="1:12" x14ac:dyDescent="0.35">
      <c r="A26" s="93">
        <v>562.53</v>
      </c>
      <c r="B26" s="28" t="s">
        <v>59</v>
      </c>
      <c r="C26" s="235"/>
      <c r="D26" s="236">
        <v>4933</v>
      </c>
      <c r="E26" s="44"/>
      <c r="F26" s="237"/>
      <c r="G26" s="236">
        <v>7130</v>
      </c>
      <c r="H26" s="44"/>
      <c r="I26" s="236"/>
      <c r="J26" s="51"/>
      <c r="K26" s="67">
        <f t="shared" si="0"/>
        <v>12063</v>
      </c>
      <c r="L26"/>
    </row>
    <row r="27" spans="1:12" x14ac:dyDescent="0.35">
      <c r="A27" s="93">
        <v>562.54</v>
      </c>
      <c r="B27" s="28" t="s">
        <v>60</v>
      </c>
      <c r="C27" s="235"/>
      <c r="D27" s="236">
        <f>9297+385</f>
        <v>9682</v>
      </c>
      <c r="E27" s="44"/>
      <c r="F27" s="237"/>
      <c r="G27" s="236"/>
      <c r="H27" s="44"/>
      <c r="I27" s="236"/>
      <c r="J27" s="51"/>
      <c r="K27" s="67">
        <f t="shared" si="0"/>
        <v>9682</v>
      </c>
      <c r="L27"/>
    </row>
    <row r="28" spans="1:12" x14ac:dyDescent="0.35">
      <c r="A28" s="93">
        <v>562.54999999999995</v>
      </c>
      <c r="B28" s="16" t="s">
        <v>19</v>
      </c>
      <c r="C28" s="235"/>
      <c r="D28" s="236"/>
      <c r="E28" s="44"/>
      <c r="F28" s="237">
        <v>466</v>
      </c>
      <c r="G28" s="236"/>
      <c r="H28" s="44"/>
      <c r="I28" s="236"/>
      <c r="J28" s="51"/>
      <c r="K28" s="67">
        <f t="shared" si="0"/>
        <v>466</v>
      </c>
      <c r="L28"/>
    </row>
    <row r="29" spans="1:12" x14ac:dyDescent="0.35">
      <c r="A29" s="93">
        <v>562.55999999999995</v>
      </c>
      <c r="B29" s="16" t="s">
        <v>20</v>
      </c>
      <c r="C29" s="235"/>
      <c r="D29" s="236">
        <v>10506</v>
      </c>
      <c r="E29" s="44"/>
      <c r="F29" s="237"/>
      <c r="G29" s="236"/>
      <c r="H29" s="44"/>
      <c r="I29" s="236"/>
      <c r="J29" s="51"/>
      <c r="K29" s="67">
        <f t="shared" si="0"/>
        <v>10506</v>
      </c>
      <c r="L29"/>
    </row>
    <row r="30" spans="1:12" x14ac:dyDescent="0.35">
      <c r="A30" s="93">
        <v>562.57000000000005</v>
      </c>
      <c r="B30" s="28" t="s">
        <v>61</v>
      </c>
      <c r="C30" s="235"/>
      <c r="D30" s="236"/>
      <c r="E30" s="44"/>
      <c r="F30" s="237"/>
      <c r="G30" s="236"/>
      <c r="H30" s="44"/>
      <c r="I30" s="236"/>
      <c r="J30" s="51"/>
      <c r="K30" s="67">
        <f t="shared" si="0"/>
        <v>0</v>
      </c>
      <c r="L30"/>
    </row>
    <row r="31" spans="1:12" x14ac:dyDescent="0.35">
      <c r="A31" s="93">
        <v>562.58000000000004</v>
      </c>
      <c r="B31" s="28" t="s">
        <v>48</v>
      </c>
      <c r="C31" s="235"/>
      <c r="D31" s="236">
        <v>509</v>
      </c>
      <c r="E31" s="44"/>
      <c r="F31" s="237"/>
      <c r="G31" s="236"/>
      <c r="H31" s="44"/>
      <c r="I31" s="236"/>
      <c r="J31" s="51"/>
      <c r="K31" s="67">
        <f t="shared" si="0"/>
        <v>509</v>
      </c>
      <c r="L31"/>
    </row>
    <row r="32" spans="1:12" x14ac:dyDescent="0.35">
      <c r="A32" s="93">
        <v>562.59</v>
      </c>
      <c r="B32" s="28" t="s">
        <v>49</v>
      </c>
      <c r="C32" s="235"/>
      <c r="D32" s="236"/>
      <c r="E32" s="44"/>
      <c r="F32" s="237">
        <v>7759</v>
      </c>
      <c r="G32" s="236"/>
      <c r="H32" s="44"/>
      <c r="I32" s="236"/>
      <c r="J32" s="51"/>
      <c r="K32" s="67">
        <f t="shared" si="0"/>
        <v>7759</v>
      </c>
      <c r="L32"/>
    </row>
    <row r="33" spans="1:12" x14ac:dyDescent="0.35">
      <c r="A33" s="93">
        <v>562.6</v>
      </c>
      <c r="B33" s="16" t="s">
        <v>21</v>
      </c>
      <c r="C33" s="235"/>
      <c r="D33" s="236">
        <v>300</v>
      </c>
      <c r="E33" s="44"/>
      <c r="F33" s="237">
        <v>86</v>
      </c>
      <c r="G33" s="236"/>
      <c r="H33" s="44"/>
      <c r="I33" s="236"/>
      <c r="J33" s="51"/>
      <c r="K33" s="67">
        <f t="shared" si="0"/>
        <v>386</v>
      </c>
      <c r="L33"/>
    </row>
    <row r="34" spans="1:12" x14ac:dyDescent="0.35">
      <c r="A34" s="93">
        <v>562.71</v>
      </c>
      <c r="B34" s="16" t="s">
        <v>22</v>
      </c>
      <c r="C34" s="235"/>
      <c r="D34" s="236">
        <v>3815</v>
      </c>
      <c r="E34" s="44"/>
      <c r="F34" s="237">
        <v>5161</v>
      </c>
      <c r="G34" s="236"/>
      <c r="H34" s="44"/>
      <c r="I34" s="236"/>
      <c r="J34" s="51"/>
      <c r="K34" s="67">
        <f t="shared" si="0"/>
        <v>8976</v>
      </c>
      <c r="L34"/>
    </row>
    <row r="35" spans="1:12" x14ac:dyDescent="0.35">
      <c r="A35" s="93">
        <v>562.72</v>
      </c>
      <c r="B35" s="16" t="s">
        <v>23</v>
      </c>
      <c r="C35" s="235"/>
      <c r="D35" s="236"/>
      <c r="E35" s="44"/>
      <c r="F35" s="237"/>
      <c r="G35" s="236"/>
      <c r="H35" s="44"/>
      <c r="I35" s="236"/>
      <c r="J35" s="51"/>
      <c r="K35" s="67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235"/>
      <c r="D36" s="236"/>
      <c r="E36" s="44"/>
      <c r="F36" s="237"/>
      <c r="G36" s="236"/>
      <c r="H36" s="44"/>
      <c r="I36" s="236"/>
      <c r="J36" s="51"/>
      <c r="K36" s="67">
        <f t="shared" si="0"/>
        <v>0</v>
      </c>
      <c r="L36"/>
    </row>
    <row r="37" spans="1:12" x14ac:dyDescent="0.35">
      <c r="A37" s="93">
        <v>562.74</v>
      </c>
      <c r="B37" s="28" t="s">
        <v>50</v>
      </c>
      <c r="C37" s="235"/>
      <c r="D37" s="236"/>
      <c r="E37" s="44"/>
      <c r="F37" s="237"/>
      <c r="G37" s="236"/>
      <c r="H37" s="44"/>
      <c r="I37" s="236"/>
      <c r="J37" s="51"/>
      <c r="K37" s="67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235"/>
      <c r="D38" s="236"/>
      <c r="E38" s="44"/>
      <c r="F38" s="237"/>
      <c r="G38" s="236"/>
      <c r="H38" s="44"/>
      <c r="I38" s="236"/>
      <c r="J38" s="51"/>
      <c r="K38" s="67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235"/>
      <c r="D39" s="236"/>
      <c r="E39" s="44"/>
      <c r="F39" s="237"/>
      <c r="G39" s="236"/>
      <c r="H39" s="44"/>
      <c r="I39" s="236"/>
      <c r="J39" s="51"/>
      <c r="K39" s="67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235"/>
      <c r="D40" s="236"/>
      <c r="E40" s="44"/>
      <c r="F40" s="237"/>
      <c r="G40" s="236"/>
      <c r="H40" s="44"/>
      <c r="I40" s="236"/>
      <c r="J40" s="51"/>
      <c r="K40" s="67">
        <f t="shared" si="0"/>
        <v>0</v>
      </c>
      <c r="L40"/>
    </row>
    <row r="41" spans="1:12" x14ac:dyDescent="0.35">
      <c r="A41" s="93">
        <v>562.88</v>
      </c>
      <c r="B41" s="28" t="s">
        <v>51</v>
      </c>
      <c r="C41" s="235"/>
      <c r="D41" s="236"/>
      <c r="E41" s="44"/>
      <c r="F41" s="237">
        <v>17073</v>
      </c>
      <c r="G41" s="236"/>
      <c r="H41" s="44">
        <v>21126</v>
      </c>
      <c r="I41" s="236"/>
      <c r="J41" s="51"/>
      <c r="K41" s="67">
        <f t="shared" si="0"/>
        <v>38199</v>
      </c>
      <c r="L41"/>
    </row>
    <row r="42" spans="1:12" x14ac:dyDescent="0.35">
      <c r="A42" s="93">
        <v>562.9</v>
      </c>
      <c r="B42" s="16" t="s">
        <v>28</v>
      </c>
      <c r="C42" s="235"/>
      <c r="D42" s="236"/>
      <c r="E42" s="44"/>
      <c r="F42" s="237"/>
      <c r="G42" s="236"/>
      <c r="H42" s="44"/>
      <c r="I42" s="236">
        <v>20551</v>
      </c>
      <c r="J42" s="51"/>
      <c r="K42" s="67">
        <f t="shared" si="0"/>
        <v>20551</v>
      </c>
      <c r="L42"/>
    </row>
    <row r="43" spans="1:12" x14ac:dyDescent="0.35">
      <c r="A43" s="95">
        <v>562.99</v>
      </c>
      <c r="B43" s="14" t="s">
        <v>29</v>
      </c>
      <c r="C43" s="235">
        <v>0</v>
      </c>
      <c r="D43" s="236">
        <v>0</v>
      </c>
      <c r="E43" s="241"/>
      <c r="F43" s="242"/>
      <c r="G43" s="243"/>
      <c r="H43" s="241"/>
      <c r="I43" s="243"/>
      <c r="J43" s="244"/>
      <c r="K43" s="67">
        <f t="shared" si="0"/>
        <v>0</v>
      </c>
      <c r="L43"/>
    </row>
    <row r="44" spans="1:12" x14ac:dyDescent="0.35">
      <c r="A44" s="96" t="s">
        <v>65</v>
      </c>
      <c r="B44" s="39" t="s">
        <v>30</v>
      </c>
      <c r="C44" s="245">
        <f>SUM(C5:C43)</f>
        <v>45270</v>
      </c>
      <c r="D44" s="246">
        <f>SUM(D5:D43)</f>
        <v>30094</v>
      </c>
      <c r="E44" s="247">
        <v>0</v>
      </c>
      <c r="F44" s="248">
        <f t="shared" ref="F44:J44" si="1">SUM(F5:F43)</f>
        <v>159890</v>
      </c>
      <c r="G44" s="246">
        <f t="shared" si="1"/>
        <v>8987</v>
      </c>
      <c r="H44" s="247">
        <f t="shared" si="1"/>
        <v>182259</v>
      </c>
      <c r="I44" s="249">
        <f t="shared" si="1"/>
        <v>55874</v>
      </c>
      <c r="J44" s="250">
        <f t="shared" si="1"/>
        <v>70548</v>
      </c>
      <c r="K44" s="251">
        <f>SUM(C44:J44)</f>
        <v>552922</v>
      </c>
      <c r="L44"/>
    </row>
    <row r="45" spans="1:12" x14ac:dyDescent="0.35">
      <c r="A45" s="93">
        <v>523</v>
      </c>
      <c r="B45" s="16" t="s">
        <v>31</v>
      </c>
      <c r="C45" s="235">
        <v>0</v>
      </c>
      <c r="D45" s="236">
        <v>0</v>
      </c>
      <c r="E45" s="269"/>
      <c r="F45" s="270"/>
      <c r="G45" s="271"/>
      <c r="H45" s="269"/>
      <c r="I45" s="271"/>
      <c r="J45" s="272"/>
      <c r="K45" s="67">
        <f t="shared" ref="K45:K55" si="2">SUM(C45:J45)</f>
        <v>0</v>
      </c>
      <c r="L45"/>
    </row>
    <row r="46" spans="1:12" x14ac:dyDescent="0.35">
      <c r="A46" s="93">
        <v>526</v>
      </c>
      <c r="B46" s="16" t="s">
        <v>32</v>
      </c>
      <c r="C46" s="235"/>
      <c r="D46" s="236"/>
      <c r="E46" s="44"/>
      <c r="F46" s="237"/>
      <c r="G46" s="236"/>
      <c r="H46" s="44"/>
      <c r="I46" s="236"/>
      <c r="J46" s="51"/>
      <c r="K46" s="67">
        <f t="shared" si="2"/>
        <v>0</v>
      </c>
      <c r="L46"/>
    </row>
    <row r="47" spans="1:12" x14ac:dyDescent="0.35">
      <c r="A47" s="93">
        <v>527.70000000000005</v>
      </c>
      <c r="B47" s="16" t="s">
        <v>33</v>
      </c>
      <c r="C47" s="235">
        <v>0</v>
      </c>
      <c r="D47" s="236">
        <v>0</v>
      </c>
      <c r="E47" s="44"/>
      <c r="F47" s="237"/>
      <c r="G47" s="236"/>
      <c r="H47" s="44"/>
      <c r="I47" s="236"/>
      <c r="J47" s="51"/>
      <c r="K47" s="67">
        <f t="shared" si="2"/>
        <v>0</v>
      </c>
      <c r="L47"/>
    </row>
    <row r="48" spans="1:12" x14ac:dyDescent="0.35">
      <c r="A48" s="93">
        <v>551.20000000000005</v>
      </c>
      <c r="B48" s="16" t="s">
        <v>34</v>
      </c>
      <c r="C48" s="235">
        <v>0</v>
      </c>
      <c r="D48" s="236">
        <v>0</v>
      </c>
      <c r="E48" s="44"/>
      <c r="F48" s="237"/>
      <c r="G48" s="236"/>
      <c r="H48" s="44"/>
      <c r="I48" s="236"/>
      <c r="J48" s="51"/>
      <c r="K48" s="67">
        <f t="shared" si="2"/>
        <v>0</v>
      </c>
      <c r="L48"/>
    </row>
    <row r="49" spans="1:12" x14ac:dyDescent="0.35">
      <c r="A49" s="93">
        <v>554</v>
      </c>
      <c r="B49" s="28" t="s">
        <v>62</v>
      </c>
      <c r="C49" s="235">
        <v>0</v>
      </c>
      <c r="D49" s="236">
        <v>0</v>
      </c>
      <c r="E49" s="44"/>
      <c r="F49" s="237"/>
      <c r="G49" s="236"/>
      <c r="H49" s="44"/>
      <c r="I49" s="236"/>
      <c r="J49" s="51"/>
      <c r="K49" s="67">
        <f t="shared" si="2"/>
        <v>0</v>
      </c>
      <c r="L49"/>
    </row>
    <row r="50" spans="1:12" x14ac:dyDescent="0.35">
      <c r="A50" s="93">
        <v>555</v>
      </c>
      <c r="B50" s="16" t="s">
        <v>35</v>
      </c>
      <c r="C50" s="235">
        <v>0</v>
      </c>
      <c r="D50" s="236">
        <v>0</v>
      </c>
      <c r="E50" s="44"/>
      <c r="F50" s="237"/>
      <c r="G50" s="236"/>
      <c r="H50" s="44"/>
      <c r="I50" s="236"/>
      <c r="J50" s="51"/>
      <c r="K50" s="67">
        <f t="shared" si="2"/>
        <v>0</v>
      </c>
      <c r="L50"/>
    </row>
    <row r="51" spans="1:12" x14ac:dyDescent="0.35">
      <c r="A51" s="93">
        <v>563</v>
      </c>
      <c r="B51" s="16" t="s">
        <v>36</v>
      </c>
      <c r="C51" s="235">
        <v>0</v>
      </c>
      <c r="D51" s="236">
        <v>0</v>
      </c>
      <c r="E51" s="44"/>
      <c r="F51" s="237"/>
      <c r="G51" s="236"/>
      <c r="H51" s="44"/>
      <c r="I51" s="236"/>
      <c r="J51" s="51"/>
      <c r="K51" s="67">
        <f t="shared" si="2"/>
        <v>0</v>
      </c>
      <c r="L51"/>
    </row>
    <row r="52" spans="1:12" x14ac:dyDescent="0.35">
      <c r="A52" s="93">
        <v>564</v>
      </c>
      <c r="B52" s="16" t="s">
        <v>37</v>
      </c>
      <c r="C52" s="235">
        <v>0</v>
      </c>
      <c r="D52" s="236">
        <v>0</v>
      </c>
      <c r="E52" s="44"/>
      <c r="F52" s="237"/>
      <c r="G52" s="236"/>
      <c r="H52" s="44"/>
      <c r="I52" s="236"/>
      <c r="J52" s="51"/>
      <c r="K52" s="67">
        <f t="shared" si="2"/>
        <v>0</v>
      </c>
      <c r="L52"/>
    </row>
    <row r="53" spans="1:12" x14ac:dyDescent="0.35">
      <c r="A53" s="93">
        <v>566</v>
      </c>
      <c r="B53" s="16" t="s">
        <v>38</v>
      </c>
      <c r="C53" s="235">
        <v>0</v>
      </c>
      <c r="D53" s="236">
        <v>0</v>
      </c>
      <c r="E53" s="44"/>
      <c r="F53" s="237"/>
      <c r="G53" s="236"/>
      <c r="H53" s="44"/>
      <c r="I53" s="236"/>
      <c r="J53" s="51"/>
      <c r="K53" s="67">
        <f t="shared" si="2"/>
        <v>0</v>
      </c>
      <c r="L53"/>
    </row>
    <row r="54" spans="1:12" x14ac:dyDescent="0.35">
      <c r="A54" s="93">
        <v>568</v>
      </c>
      <c r="B54" s="16" t="s">
        <v>39</v>
      </c>
      <c r="C54" s="235">
        <v>0</v>
      </c>
      <c r="D54" s="236">
        <v>0</v>
      </c>
      <c r="E54" s="44"/>
      <c r="F54" s="237"/>
      <c r="G54" s="236"/>
      <c r="H54" s="44"/>
      <c r="I54" s="236"/>
      <c r="J54" s="51"/>
      <c r="K54" s="67">
        <f t="shared" si="2"/>
        <v>0</v>
      </c>
      <c r="L54"/>
    </row>
    <row r="55" spans="1:12" x14ac:dyDescent="0.35">
      <c r="A55" s="95">
        <v>500</v>
      </c>
      <c r="B55" s="14" t="s">
        <v>68</v>
      </c>
      <c r="C55" s="273">
        <v>0</v>
      </c>
      <c r="D55" s="243">
        <v>0</v>
      </c>
      <c r="E55" s="241"/>
      <c r="F55" s="242"/>
      <c r="G55" s="243"/>
      <c r="H55" s="241"/>
      <c r="I55" s="243"/>
      <c r="J55" s="244"/>
      <c r="K55" s="274">
        <f t="shared" si="2"/>
        <v>0</v>
      </c>
      <c r="L55"/>
    </row>
    <row r="56" spans="1:12" ht="15" thickBot="1" x14ac:dyDescent="0.4">
      <c r="A56" s="97"/>
      <c r="B56" s="29" t="s">
        <v>42</v>
      </c>
      <c r="C56" s="275">
        <f>SUM(C44:C55)</f>
        <v>45270</v>
      </c>
      <c r="D56" s="276">
        <f>SUM(D44:D55)</f>
        <v>30094</v>
      </c>
      <c r="E56" s="277">
        <v>0</v>
      </c>
      <c r="F56" s="278">
        <f t="shared" ref="F56:J56" si="3">SUM(F44:F55)</f>
        <v>159890</v>
      </c>
      <c r="G56" s="279">
        <f t="shared" si="3"/>
        <v>8987</v>
      </c>
      <c r="H56" s="277">
        <f t="shared" si="3"/>
        <v>182259</v>
      </c>
      <c r="I56" s="280">
        <f t="shared" si="3"/>
        <v>55874</v>
      </c>
      <c r="J56" s="281">
        <f t="shared" si="3"/>
        <v>70548</v>
      </c>
      <c r="K56" s="282">
        <f>SUM(C56:J56)</f>
        <v>552922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39" t="s">
        <v>76</v>
      </c>
      <c r="C59" s="140"/>
      <c r="D59" s="141"/>
      <c r="E59" s="42"/>
      <c r="F59" s="42"/>
      <c r="H59"/>
      <c r="I59"/>
      <c r="J59" s="42"/>
      <c r="L59"/>
    </row>
    <row r="60" spans="1:12" ht="15" thickTop="1" x14ac:dyDescent="0.35">
      <c r="B60" s="30"/>
      <c r="C60" s="295" t="s">
        <v>43</v>
      </c>
      <c r="D60" s="32" t="s">
        <v>40</v>
      </c>
      <c r="E60" s="42"/>
      <c r="F60" s="42"/>
      <c r="H60"/>
      <c r="I60"/>
      <c r="J60" s="42"/>
      <c r="L60"/>
    </row>
    <row r="61" spans="1:12" x14ac:dyDescent="0.35">
      <c r="B61" s="34" t="s">
        <v>71</v>
      </c>
      <c r="C61" s="283"/>
      <c r="D61" s="25"/>
      <c r="E61" s="42"/>
      <c r="F61" s="42"/>
      <c r="H61"/>
      <c r="I61"/>
      <c r="J61" s="42"/>
      <c r="L61"/>
    </row>
    <row r="62" spans="1:12" x14ac:dyDescent="0.35">
      <c r="B62" s="6" t="s">
        <v>63</v>
      </c>
      <c r="C62" s="284">
        <f>C56</f>
        <v>45270</v>
      </c>
      <c r="D62" s="7">
        <f>C56/K56</f>
        <v>8.1874116059769728E-2</v>
      </c>
      <c r="E62" s="42"/>
      <c r="F62" s="42"/>
      <c r="H62"/>
      <c r="I62"/>
      <c r="J62" s="42"/>
      <c r="L62"/>
    </row>
    <row r="63" spans="1:12" x14ac:dyDescent="0.35">
      <c r="B63" s="27" t="s">
        <v>6</v>
      </c>
      <c r="C63" s="285">
        <f>D56</f>
        <v>30094</v>
      </c>
      <c r="D63" s="10">
        <f>D56/K56</f>
        <v>5.4427206730786618E-2</v>
      </c>
      <c r="E63" s="42"/>
      <c r="F63" s="42"/>
      <c r="H63"/>
      <c r="I63"/>
      <c r="J63" s="42"/>
      <c r="L63"/>
    </row>
    <row r="64" spans="1:12" ht="15" thickBot="1" x14ac:dyDescent="0.4">
      <c r="B64" s="183" t="s">
        <v>75</v>
      </c>
      <c r="C64" s="286">
        <f>SUM(C62:C63)</f>
        <v>75364</v>
      </c>
      <c r="D64" s="23">
        <f>SUM(D62:D63)</f>
        <v>0.13630132279055635</v>
      </c>
      <c r="E64" s="42"/>
      <c r="F64" s="42"/>
      <c r="H64"/>
      <c r="I64"/>
      <c r="J64" s="42"/>
      <c r="L64"/>
    </row>
    <row r="65" spans="2:12" x14ac:dyDescent="0.35">
      <c r="B65" s="33" t="s">
        <v>69</v>
      </c>
      <c r="C65" s="287"/>
      <c r="D65" s="18"/>
      <c r="E65" s="42"/>
      <c r="F65" s="42"/>
      <c r="H65"/>
      <c r="I65"/>
      <c r="J65" s="42"/>
      <c r="L65"/>
    </row>
    <row r="66" spans="2:12" x14ac:dyDescent="0.35">
      <c r="B66" s="8" t="s">
        <v>1</v>
      </c>
      <c r="C66" s="288">
        <f>E56</f>
        <v>0</v>
      </c>
      <c r="D66" s="20">
        <f>E56/$K56</f>
        <v>0</v>
      </c>
      <c r="E66" s="42"/>
      <c r="F66" s="42"/>
      <c r="H66"/>
      <c r="I66"/>
      <c r="J66" s="42"/>
      <c r="L66"/>
    </row>
    <row r="67" spans="2:12" x14ac:dyDescent="0.35">
      <c r="B67" s="8" t="s">
        <v>2</v>
      </c>
      <c r="C67" s="289">
        <f>F56</f>
        <v>159890</v>
      </c>
      <c r="D67" s="20">
        <f>F56/$K56</f>
        <v>0.28917279471607205</v>
      </c>
      <c r="E67" s="42"/>
      <c r="F67" s="42"/>
      <c r="H67"/>
      <c r="I67"/>
      <c r="J67" s="42"/>
      <c r="L67"/>
    </row>
    <row r="68" spans="2:12" x14ac:dyDescent="0.35">
      <c r="B68" s="26" t="s">
        <v>41</v>
      </c>
      <c r="C68" s="290">
        <f>G56</f>
        <v>8987</v>
      </c>
      <c r="D68" s="55">
        <f>G56/$K56</f>
        <v>1.6253648796756143E-2</v>
      </c>
      <c r="E68" s="42"/>
      <c r="F68" s="42"/>
      <c r="H68"/>
      <c r="I68"/>
      <c r="J68" s="42"/>
      <c r="L68"/>
    </row>
    <row r="69" spans="2:12" ht="15" thickBot="1" x14ac:dyDescent="0.4">
      <c r="B69" s="183" t="s">
        <v>73</v>
      </c>
      <c r="C69" s="291">
        <f>SUM(C66:C68)</f>
        <v>168877</v>
      </c>
      <c r="D69" s="23">
        <f>SUM(D66:D68)</f>
        <v>0.30542644351282822</v>
      </c>
      <c r="E69" s="42"/>
      <c r="F69" s="42"/>
      <c r="H69"/>
      <c r="I69"/>
      <c r="J69" s="42"/>
      <c r="L69"/>
    </row>
    <row r="70" spans="2:12" x14ac:dyDescent="0.35">
      <c r="B70" s="34" t="s">
        <v>70</v>
      </c>
      <c r="C70" s="292"/>
      <c r="D70" s="12"/>
      <c r="E70" s="42"/>
      <c r="F70" s="42"/>
      <c r="H70"/>
      <c r="I70"/>
      <c r="J70" s="42"/>
      <c r="L70"/>
    </row>
    <row r="71" spans="2:12" x14ac:dyDescent="0.35">
      <c r="B71" s="6" t="s">
        <v>4</v>
      </c>
      <c r="C71" s="284">
        <f>H56</f>
        <v>182259</v>
      </c>
      <c r="D71" s="7">
        <f>H56/K56</f>
        <v>0.32962877223188802</v>
      </c>
      <c r="E71" s="42"/>
      <c r="F71" s="42"/>
      <c r="H71"/>
      <c r="I71"/>
      <c r="J71" s="42"/>
      <c r="L71"/>
    </row>
    <row r="72" spans="2:12" x14ac:dyDescent="0.35">
      <c r="B72" s="27" t="s">
        <v>5</v>
      </c>
      <c r="C72" s="285">
        <f>I56</f>
        <v>55874</v>
      </c>
      <c r="D72" s="10">
        <f>I56/K56</f>
        <v>0.10105222798152362</v>
      </c>
      <c r="E72" s="42"/>
      <c r="F72" s="42"/>
      <c r="H72"/>
      <c r="I72"/>
      <c r="J72" s="42"/>
      <c r="L72"/>
    </row>
    <row r="73" spans="2:12" ht="15" thickBot="1" x14ac:dyDescent="0.4">
      <c r="B73" s="183" t="s">
        <v>74</v>
      </c>
      <c r="C73" s="291">
        <f>SUM(C71:C72)</f>
        <v>238133</v>
      </c>
      <c r="D73" s="23">
        <f>SUM(D71:D72)</f>
        <v>0.43068100021341166</v>
      </c>
      <c r="E73" s="42"/>
      <c r="F73" s="42"/>
      <c r="H73"/>
      <c r="I73"/>
      <c r="J73" s="42"/>
      <c r="L73"/>
    </row>
    <row r="74" spans="2:12" x14ac:dyDescent="0.35">
      <c r="B74" s="34" t="s">
        <v>72</v>
      </c>
      <c r="C74" s="293"/>
      <c r="D74" s="54"/>
      <c r="E74" s="42"/>
      <c r="F74" s="42"/>
      <c r="H74"/>
      <c r="I74"/>
      <c r="J74" s="42"/>
      <c r="L74"/>
    </row>
    <row r="75" spans="2:12" ht="15" thickBot="1" x14ac:dyDescent="0.4">
      <c r="B75" s="182" t="s">
        <v>77</v>
      </c>
      <c r="C75" s="291">
        <f>J56</f>
        <v>70548</v>
      </c>
      <c r="D75" s="23">
        <f>J56/K56</f>
        <v>0.12759123348320378</v>
      </c>
      <c r="E75" s="42"/>
      <c r="F75" s="42"/>
      <c r="H75"/>
      <c r="I75"/>
      <c r="J75" s="42"/>
      <c r="L75"/>
    </row>
    <row r="76" spans="2:12" ht="15" thickBot="1" x14ac:dyDescent="0.4">
      <c r="B76" s="35" t="s">
        <v>42</v>
      </c>
      <c r="C76" s="36">
        <f>C69+C73+C64+C75</f>
        <v>552922</v>
      </c>
      <c r="D76" s="37">
        <f>D69+D73+D64+D75</f>
        <v>0.99999999999999989</v>
      </c>
      <c r="E76" s="42"/>
      <c r="F76" s="42"/>
      <c r="H76"/>
      <c r="I76"/>
      <c r="J76" s="42"/>
      <c r="L76"/>
    </row>
    <row r="86" spans="12:12" x14ac:dyDescent="0.35">
      <c r="L86" s="47"/>
    </row>
    <row r="87" spans="12:12" x14ac:dyDescent="0.35">
      <c r="L87" s="47"/>
    </row>
    <row r="88" spans="12:12" x14ac:dyDescent="0.35">
      <c r="L88" s="47"/>
    </row>
  </sheetData>
  <mergeCells count="3">
    <mergeCell ref="E3:G3"/>
    <mergeCell ref="H3:I3"/>
    <mergeCell ref="C3:D3"/>
  </mergeCells>
  <conditionalFormatting sqref="I8 A5:B55 E7:I7 E9:I43 E8:G8 C7:D43 C5:I6 J5:J55 C44:I55">
    <cfRule type="expression" dxfId="101" priority="9">
      <formula>ROW()=EVEN(ROW())</formula>
    </cfRule>
  </conditionalFormatting>
  <conditionalFormatting sqref="K45:K55">
    <cfRule type="expression" dxfId="100" priority="1">
      <formula>ROW()=EVEN(ROW())</formula>
    </cfRule>
  </conditionalFormatting>
  <conditionalFormatting sqref="K5:K44">
    <cfRule type="expression" dxfId="99" priority="3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2016
ASOTIN</oddHeader>
  </headerFooter>
  <rowBreaks count="1" manualBreakCount="1"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74</vt:i4>
      </vt:variant>
    </vt:vector>
  </HeadingPairs>
  <TitlesOfParts>
    <vt:vector size="120" baseType="lpstr">
      <vt:lpstr>Blank Page 1 </vt:lpstr>
      <vt:lpstr>Blank Page 2</vt:lpstr>
      <vt:lpstr>LHJ Summary Pg 3-Do Not Input</vt:lpstr>
      <vt:lpstr>PIE Aggregate Pg 4-Do Not Input</vt:lpstr>
      <vt:lpstr>PIE Aggregate Pg 4-DO NOT I (2</vt:lpstr>
      <vt:lpstr>PIE Detail Pg 5-Do Not Input</vt:lpstr>
      <vt:lpstr>Exp Code Ag Pgs 6&amp;7 Do Not Inpt</vt:lpstr>
      <vt:lpstr>Adams Pgs 8-9</vt:lpstr>
      <vt:lpstr>Asotin Pgs 10-11</vt:lpstr>
      <vt:lpstr>Benton-Franklin Pgs 12-13</vt:lpstr>
      <vt:lpstr>Chelan-Douglas Pgs 14-15</vt:lpstr>
      <vt:lpstr>Clallam Pgs 16-17</vt:lpstr>
      <vt:lpstr>Clark Pgs 18-19</vt:lpstr>
      <vt:lpstr>Columbia Pgs 20-21</vt:lpstr>
      <vt:lpstr>Cowlitz Pgs 22-23</vt:lpstr>
      <vt:lpstr>Garfield Pgs 24-25</vt:lpstr>
      <vt:lpstr>Grant Pgs 26-27</vt:lpstr>
      <vt:lpstr>Grays Harbor Pgs 28-29</vt:lpstr>
      <vt:lpstr>Island Pgs 30-31</vt:lpstr>
      <vt:lpstr>Jefferson Pgs 32-33</vt:lpstr>
      <vt:lpstr>Kitsap Pgs 34-35</vt:lpstr>
      <vt:lpstr>Kittitas Pgs 36-37</vt:lpstr>
      <vt:lpstr>Klickitat Pgs 38-39</vt:lpstr>
      <vt:lpstr>Lewis Pgs 40-41</vt:lpstr>
      <vt:lpstr>Lincoln Pgs 42-43</vt:lpstr>
      <vt:lpstr>Mason Pgs 44-45</vt:lpstr>
      <vt:lpstr>Northeast Tri Pgs 46-47</vt:lpstr>
      <vt:lpstr>Okanogan Pgs 48-49</vt:lpstr>
      <vt:lpstr>Pacific Pgs 50-51</vt:lpstr>
      <vt:lpstr>San Juan Pgs 52-53</vt:lpstr>
      <vt:lpstr>Seattle-King Pgs 54-55</vt:lpstr>
      <vt:lpstr>Skagit Pgs 56-57</vt:lpstr>
      <vt:lpstr>Skamania Pgs 58-59</vt:lpstr>
      <vt:lpstr>Snohomish Pgs 60-61</vt:lpstr>
      <vt:lpstr>Spokane Pgs 62-63</vt:lpstr>
      <vt:lpstr>Tacoma-Pierce Pgs 64-65</vt:lpstr>
      <vt:lpstr>Thurston Pgs 66-67</vt:lpstr>
      <vt:lpstr>Wahkiakum Pgs 68-69</vt:lpstr>
      <vt:lpstr>Walla Walla Pgs 70-71</vt:lpstr>
      <vt:lpstr>Whatcom Pgs 72-73</vt:lpstr>
      <vt:lpstr>Whitman Pgs 74-75</vt:lpstr>
      <vt:lpstr>Yakima Pgs 76-77</vt:lpstr>
      <vt:lpstr>Revenue Matrix Pg 78</vt:lpstr>
      <vt:lpstr>Per Cap by Fundng Source (2)</vt:lpstr>
      <vt:lpstr>Sheet2</vt:lpstr>
      <vt:lpstr>Sheet1</vt:lpstr>
      <vt:lpstr>'Adams Pgs 8-9'!Print_Area</vt:lpstr>
      <vt:lpstr>'Asotin Pgs 10-11'!Print_Area</vt:lpstr>
      <vt:lpstr>'Benton-Franklin Pgs 12-13'!Print_Area</vt:lpstr>
      <vt:lpstr>'Chelan-Douglas Pgs 14-15'!Print_Area</vt:lpstr>
      <vt:lpstr>'Clallam Pgs 16-17'!Print_Area</vt:lpstr>
      <vt:lpstr>'Clark Pgs 18-19'!Print_Area</vt:lpstr>
      <vt:lpstr>'Columbia Pgs 20-21'!Print_Area</vt:lpstr>
      <vt:lpstr>'Cowlitz Pgs 22-23'!Print_Area</vt:lpstr>
      <vt:lpstr>'Exp Code Ag Pgs 6&amp;7 Do Not Inpt'!Print_Area</vt:lpstr>
      <vt:lpstr>'Garfield Pgs 24-25'!Print_Area</vt:lpstr>
      <vt:lpstr>'Grant Pgs 26-27'!Print_Area</vt:lpstr>
      <vt:lpstr>'Grays Harbor Pgs 28-29'!Print_Area</vt:lpstr>
      <vt:lpstr>'Island Pgs 30-31'!Print_Area</vt:lpstr>
      <vt:lpstr>'Jefferson Pgs 32-33'!Print_Area</vt:lpstr>
      <vt:lpstr>'Kitsap Pgs 34-35'!Print_Area</vt:lpstr>
      <vt:lpstr>'Kittitas Pgs 36-37'!Print_Area</vt:lpstr>
      <vt:lpstr>'Klickitat Pgs 38-39'!Print_Area</vt:lpstr>
      <vt:lpstr>'Lewis Pgs 40-41'!Print_Area</vt:lpstr>
      <vt:lpstr>'LHJ Summary Pg 3-Do Not Input'!Print_Area</vt:lpstr>
      <vt:lpstr>'Lincoln Pgs 42-43'!Print_Area</vt:lpstr>
      <vt:lpstr>'Mason Pgs 44-45'!Print_Area</vt:lpstr>
      <vt:lpstr>'Northeast Tri Pgs 46-47'!Print_Area</vt:lpstr>
      <vt:lpstr>'Okanogan Pgs 48-49'!Print_Area</vt:lpstr>
      <vt:lpstr>'Pacific Pgs 50-51'!Print_Area</vt:lpstr>
      <vt:lpstr>'San Juan Pgs 52-53'!Print_Area</vt:lpstr>
      <vt:lpstr>'Seattle-King Pgs 54-55'!Print_Area</vt:lpstr>
      <vt:lpstr>'Skagit Pgs 56-57'!Print_Area</vt:lpstr>
      <vt:lpstr>'Skamania Pgs 58-59'!Print_Area</vt:lpstr>
      <vt:lpstr>'Snohomish Pgs 60-61'!Print_Area</vt:lpstr>
      <vt:lpstr>'Spokane Pgs 62-63'!Print_Area</vt:lpstr>
      <vt:lpstr>'Tacoma-Pierce Pgs 64-65'!Print_Area</vt:lpstr>
      <vt:lpstr>'Thurston Pgs 66-67'!Print_Area</vt:lpstr>
      <vt:lpstr>'Wahkiakum Pgs 68-69'!Print_Area</vt:lpstr>
      <vt:lpstr>'Walla Walla Pgs 70-71'!Print_Area</vt:lpstr>
      <vt:lpstr>'Whatcom Pgs 72-73'!Print_Area</vt:lpstr>
      <vt:lpstr>'Whitman Pgs 74-75'!Print_Area</vt:lpstr>
      <vt:lpstr>'Yakima Pgs 76-77'!Print_Area</vt:lpstr>
      <vt:lpstr>'Adams Pgs 8-9'!Print_Titles</vt:lpstr>
      <vt:lpstr>'Asotin Pgs 10-11'!Print_Titles</vt:lpstr>
      <vt:lpstr>'Benton-Franklin Pgs 12-13'!Print_Titles</vt:lpstr>
      <vt:lpstr>'Chelan-Douglas Pgs 14-15'!Print_Titles</vt:lpstr>
      <vt:lpstr>'Clallam Pgs 16-17'!Print_Titles</vt:lpstr>
      <vt:lpstr>'Clark Pgs 18-19'!Print_Titles</vt:lpstr>
      <vt:lpstr>'Columbia Pgs 20-21'!Print_Titles</vt:lpstr>
      <vt:lpstr>'Cowlitz Pgs 22-23'!Print_Titles</vt:lpstr>
      <vt:lpstr>'Exp Code Ag Pgs 6&amp;7 Do Not Inpt'!Print_Titles</vt:lpstr>
      <vt:lpstr>'Garfield Pgs 24-25'!Print_Titles</vt:lpstr>
      <vt:lpstr>'Grant Pgs 26-27'!Print_Titles</vt:lpstr>
      <vt:lpstr>'Grays Harbor Pgs 28-29'!Print_Titles</vt:lpstr>
      <vt:lpstr>'Island Pgs 30-31'!Print_Titles</vt:lpstr>
      <vt:lpstr>'Jefferson Pgs 32-33'!Print_Titles</vt:lpstr>
      <vt:lpstr>'Kitsap Pgs 34-35'!Print_Titles</vt:lpstr>
      <vt:lpstr>'Kittitas Pgs 36-37'!Print_Titles</vt:lpstr>
      <vt:lpstr>'Klickitat Pgs 38-39'!Print_Titles</vt:lpstr>
      <vt:lpstr>'Lewis Pgs 40-41'!Print_Titles</vt:lpstr>
      <vt:lpstr>'LHJ Summary Pg 3-Do Not Input'!Print_Titles</vt:lpstr>
      <vt:lpstr>'Lincoln Pgs 42-43'!Print_Titles</vt:lpstr>
      <vt:lpstr>'Mason Pgs 44-45'!Print_Titles</vt:lpstr>
      <vt:lpstr>'Northeast Tri Pgs 46-47'!Print_Titles</vt:lpstr>
      <vt:lpstr>'Okanogan Pgs 48-49'!Print_Titles</vt:lpstr>
      <vt:lpstr>'Pacific Pgs 50-51'!Print_Titles</vt:lpstr>
      <vt:lpstr>'San Juan Pgs 52-53'!Print_Titles</vt:lpstr>
      <vt:lpstr>'Seattle-King Pgs 54-55'!Print_Titles</vt:lpstr>
      <vt:lpstr>'Skagit Pgs 56-57'!Print_Titles</vt:lpstr>
      <vt:lpstr>'Skamania Pgs 58-59'!Print_Titles</vt:lpstr>
      <vt:lpstr>'Snohomish Pgs 60-61'!Print_Titles</vt:lpstr>
      <vt:lpstr>'Spokane Pgs 62-63'!Print_Titles</vt:lpstr>
      <vt:lpstr>'Tacoma-Pierce Pgs 64-65'!Print_Titles</vt:lpstr>
      <vt:lpstr>'Thurston Pgs 66-67'!Print_Titles</vt:lpstr>
      <vt:lpstr>'Wahkiakum Pgs 68-69'!Print_Titles</vt:lpstr>
      <vt:lpstr>'Walla Walla Pgs 70-71'!Print_Titles</vt:lpstr>
      <vt:lpstr>'Whatcom Pgs 72-73'!Print_Titles</vt:lpstr>
      <vt:lpstr>'Whitman Pgs 74-75'!Print_Titles</vt:lpstr>
      <vt:lpstr>'Yakima Pgs 76-77'!Print_Titles</vt:lpstr>
    </vt:vector>
  </TitlesOfParts>
  <Company>Washington State Department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Local Health Jurisdiction Funding Report</dc:title>
  <dc:subject>Funding of Local Health Jurisdictions</dc:subject>
  <dc:creator>Rogers, Tom / FS (DOH)/Charles Messer</dc:creator>
  <cp:keywords>BARS, LHJ Federal funding, LHJ State funding, LHJ Local Funding, Local Health Jurisdictions</cp:keywords>
  <cp:lastModifiedBy>Winans, Joby  (DOH)</cp:lastModifiedBy>
  <cp:lastPrinted>2017-10-31T22:26:31Z</cp:lastPrinted>
  <dcterms:created xsi:type="dcterms:W3CDTF">2014-05-09T19:53:21Z</dcterms:created>
  <dcterms:modified xsi:type="dcterms:W3CDTF">2017-12-04T23:42:20Z</dcterms:modified>
  <cp:category>Washington State</cp:category>
  <cp:contentStatus>Final</cp:contentStatus>
</cp:coreProperties>
</file>