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1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data!$A$44:$AF$80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Year'!$A$44:$AF$80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D69" i="1" l="1"/>
  <c r="C282" i="1"/>
  <c r="C289" i="1"/>
  <c r="C254" i="1"/>
  <c r="C255" i="1"/>
  <c r="C213" i="1" l="1"/>
  <c r="C216" i="1"/>
  <c r="CC63" i="1" l="1"/>
  <c r="C238" i="1" l="1"/>
  <c r="D142" i="1" l="1"/>
  <c r="C395" i="1" l="1"/>
  <c r="C392" i="1"/>
  <c r="C392" i="10"/>
  <c r="C184" i="1" l="1"/>
  <c r="C180" i="1"/>
  <c r="C179" i="1"/>
  <c r="C175" i="1"/>
  <c r="C176" i="1"/>
  <c r="C171" i="1" l="1"/>
  <c r="D141" i="1"/>
  <c r="C141" i="1"/>
  <c r="C142" i="1"/>
  <c r="AV74" i="1" l="1"/>
  <c r="AV73" i="1" l="1"/>
  <c r="CA78" i="1"/>
  <c r="CD70" i="1" l="1"/>
  <c r="CC68" i="1"/>
  <c r="B51" i="1"/>
  <c r="B52" i="1" s="1"/>
  <c r="CC66" i="1"/>
  <c r="CC65" i="1"/>
  <c r="CC61" i="1" l="1"/>
  <c r="B47" i="1" l="1"/>
  <c r="B48" i="1" s="1"/>
  <c r="E550" i="10" l="1"/>
  <c r="F550" i="10"/>
  <c r="F546" i="10"/>
  <c r="E546" i="10"/>
  <c r="E545" i="10"/>
  <c r="F545" i="10"/>
  <c r="F544" i="10"/>
  <c r="E544" i="10"/>
  <c r="H540" i="10"/>
  <c r="E540" i="10"/>
  <c r="F540" i="10"/>
  <c r="E539" i="10"/>
  <c r="F538" i="10"/>
  <c r="E538" i="10"/>
  <c r="H538" i="10"/>
  <c r="H537" i="10"/>
  <c r="F537" i="10"/>
  <c r="E537" i="10"/>
  <c r="H536" i="10"/>
  <c r="F536" i="10"/>
  <c r="E536" i="10"/>
  <c r="E535" i="10"/>
  <c r="F535" i="10"/>
  <c r="E534" i="10"/>
  <c r="E533" i="10"/>
  <c r="H532" i="10"/>
  <c r="E532" i="10"/>
  <c r="F532" i="10"/>
  <c r="E531" i="10"/>
  <c r="F531" i="10"/>
  <c r="F530" i="10"/>
  <c r="E530" i="10"/>
  <c r="H530" i="10"/>
  <c r="F529" i="10"/>
  <c r="E529" i="10"/>
  <c r="H528" i="10"/>
  <c r="F528" i="10"/>
  <c r="E528" i="10"/>
  <c r="H527" i="10"/>
  <c r="F527" i="10"/>
  <c r="E527" i="10"/>
  <c r="E526" i="10"/>
  <c r="E525" i="10"/>
  <c r="E524" i="10"/>
  <c r="F524" i="10"/>
  <c r="E523" i="10"/>
  <c r="F522" i="10"/>
  <c r="E522" i="10"/>
  <c r="F521" i="10"/>
  <c r="E520" i="10"/>
  <c r="E519" i="10"/>
  <c r="E518" i="10"/>
  <c r="F518" i="10"/>
  <c r="E517" i="10"/>
  <c r="F516" i="10"/>
  <c r="E516" i="10"/>
  <c r="H515" i="10"/>
  <c r="F515" i="10"/>
  <c r="E515" i="10"/>
  <c r="E514" i="10"/>
  <c r="F514" i="10"/>
  <c r="F512" i="10"/>
  <c r="F511" i="10"/>
  <c r="E511" i="10"/>
  <c r="E510" i="10"/>
  <c r="F510" i="10"/>
  <c r="E509" i="10"/>
  <c r="F509" i="10"/>
  <c r="E508" i="10"/>
  <c r="E507" i="10"/>
  <c r="H506" i="10"/>
  <c r="E506" i="10"/>
  <c r="F506" i="10"/>
  <c r="E505" i="10"/>
  <c r="F504" i="10"/>
  <c r="E504" i="10"/>
  <c r="H503" i="10"/>
  <c r="F503" i="10"/>
  <c r="E503" i="10"/>
  <c r="H502" i="10"/>
  <c r="F502" i="10"/>
  <c r="E502" i="10"/>
  <c r="H501" i="10"/>
  <c r="F501" i="10"/>
  <c r="E501" i="10"/>
  <c r="E500" i="10"/>
  <c r="E499" i="10"/>
  <c r="E498" i="10"/>
  <c r="F498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C459" i="10"/>
  <c r="B459" i="10"/>
  <c r="B455" i="10"/>
  <c r="B454" i="10"/>
  <c r="B453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5" i="10"/>
  <c r="D329" i="10"/>
  <c r="D328" i="10"/>
  <c r="D319" i="10"/>
  <c r="D314" i="10"/>
  <c r="D290" i="10"/>
  <c r="D283" i="10"/>
  <c r="D275" i="10"/>
  <c r="B476" i="10" s="1"/>
  <c r="D265" i="10"/>
  <c r="C258" i="10"/>
  <c r="D260" i="10" s="1"/>
  <c r="C238" i="10"/>
  <c r="D240" i="10" s="1"/>
  <c r="D236" i="10"/>
  <c r="B446" i="10" s="1"/>
  <c r="D229" i="10"/>
  <c r="C364" i="10" s="1"/>
  <c r="C445" i="10" s="1"/>
  <c r="C221" i="10"/>
  <c r="D221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D186" i="10" s="1"/>
  <c r="C387" i="10" s="1"/>
  <c r="B436" i="10" s="1"/>
  <c r="C180" i="10"/>
  <c r="C179" i="10"/>
  <c r="C176" i="10"/>
  <c r="C175" i="10"/>
  <c r="C171" i="10"/>
  <c r="D173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C142" i="10"/>
  <c r="D141" i="10"/>
  <c r="C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A78" i="10"/>
  <c r="BY78" i="10"/>
  <c r="AV77" i="10"/>
  <c r="CE77" i="10" s="1"/>
  <c r="BD76" i="10"/>
  <c r="AB76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AB74" i="10"/>
  <c r="AV73" i="10"/>
  <c r="CD70" i="10"/>
  <c r="CE70" i="10" s="1"/>
  <c r="CD69" i="10"/>
  <c r="BD69" i="10"/>
  <c r="AB69" i="10"/>
  <c r="BD68" i="10"/>
  <c r="AB68" i="10"/>
  <c r="CC66" i="10"/>
  <c r="BD66" i="10"/>
  <c r="AB66" i="10"/>
  <c r="CC65" i="10"/>
  <c r="BD65" i="10"/>
  <c r="AB65" i="10"/>
  <c r="CC64" i="10"/>
  <c r="BD64" i="10"/>
  <c r="AB64" i="10"/>
  <c r="CC63" i="10"/>
  <c r="BD63" i="10"/>
  <c r="AB63" i="10"/>
  <c r="CC61" i="10"/>
  <c r="BD61" i="10"/>
  <c r="AB61" i="10"/>
  <c r="CC60" i="10"/>
  <c r="CA60" i="10"/>
  <c r="BE60" i="10"/>
  <c r="BD60" i="10"/>
  <c r="AB60" i="10"/>
  <c r="CC51" i="10"/>
  <c r="BD51" i="10"/>
  <c r="AB51" i="10"/>
  <c r="CC47" i="10"/>
  <c r="BD47" i="10"/>
  <c r="AB47" i="10"/>
  <c r="CE61" i="10" l="1"/>
  <c r="C427" i="10" s="1"/>
  <c r="CE64" i="10"/>
  <c r="C381" i="10" s="1"/>
  <c r="B430" i="10" s="1"/>
  <c r="B51" i="10"/>
  <c r="B52" i="10" s="1"/>
  <c r="CE66" i="10"/>
  <c r="C383" i="10" s="1"/>
  <c r="B432" i="10" s="1"/>
  <c r="CE78" i="10"/>
  <c r="I612" i="10" s="1"/>
  <c r="B47" i="10"/>
  <c r="B48" i="10" s="1"/>
  <c r="CE65" i="10"/>
  <c r="C431" i="10" s="1"/>
  <c r="CE69" i="10"/>
  <c r="C440" i="10" s="1"/>
  <c r="CD71" i="10"/>
  <c r="C575" i="10" s="1"/>
  <c r="D181" i="10"/>
  <c r="C386" i="10" s="1"/>
  <c r="CE47" i="10"/>
  <c r="CE76" i="10"/>
  <c r="CF76" i="10" s="1"/>
  <c r="CE74" i="10"/>
  <c r="C464" i="10" s="1"/>
  <c r="D428" i="10"/>
  <c r="C379" i="10"/>
  <c r="B428" i="10" s="1"/>
  <c r="E217" i="10"/>
  <c r="C478" i="10" s="1"/>
  <c r="D330" i="10"/>
  <c r="D339" i="10" s="1"/>
  <c r="C482" i="10" s="1"/>
  <c r="CE51" i="10"/>
  <c r="D277" i="10"/>
  <c r="D292" i="10" s="1"/>
  <c r="D341" i="10" s="1"/>
  <c r="C481" i="10" s="1"/>
  <c r="E141" i="10"/>
  <c r="D463" i="10" s="1"/>
  <c r="D177" i="10"/>
  <c r="D434" i="10" s="1"/>
  <c r="AB75" i="10"/>
  <c r="C388" i="10"/>
  <c r="B437" i="10" s="1"/>
  <c r="CE68" i="10"/>
  <c r="C385" i="10" s="1"/>
  <c r="B434" i="10" s="1"/>
  <c r="E142" i="10"/>
  <c r="F148" i="10" s="1"/>
  <c r="F497" i="10"/>
  <c r="H497" i="10"/>
  <c r="D436" i="10"/>
  <c r="F517" i="10"/>
  <c r="AV75" i="10"/>
  <c r="CE73" i="10"/>
  <c r="C463" i="10" s="1"/>
  <c r="C365" i="10"/>
  <c r="C446" i="10" s="1"/>
  <c r="B445" i="10"/>
  <c r="F539" i="10"/>
  <c r="G612" i="10"/>
  <c r="CF77" i="10"/>
  <c r="C370" i="10"/>
  <c r="C458" i="10"/>
  <c r="B444" i="10"/>
  <c r="C363" i="10"/>
  <c r="D242" i="10"/>
  <c r="B448" i="10" s="1"/>
  <c r="CE60" i="10"/>
  <c r="H612" i="10" s="1"/>
  <c r="CE63" i="10"/>
  <c r="H499" i="10"/>
  <c r="F499" i="10"/>
  <c r="F526" i="10"/>
  <c r="F505" i="10"/>
  <c r="H505" i="10"/>
  <c r="F513" i="10"/>
  <c r="F523" i="10"/>
  <c r="E204" i="10"/>
  <c r="C476" i="10" s="1"/>
  <c r="B447" i="10"/>
  <c r="C366" i="10"/>
  <c r="C447" i="10" s="1"/>
  <c r="F519" i="10"/>
  <c r="C473" i="10"/>
  <c r="C439" i="10"/>
  <c r="F507" i="10"/>
  <c r="H533" i="10"/>
  <c r="F533" i="10"/>
  <c r="H508" i="10"/>
  <c r="F508" i="10"/>
  <c r="F525" i="10"/>
  <c r="C615" i="10"/>
  <c r="H500" i="10"/>
  <c r="F500" i="10"/>
  <c r="F520" i="10"/>
  <c r="H531" i="10"/>
  <c r="C438" i="10"/>
  <c r="H534" i="10"/>
  <c r="F534" i="10"/>
  <c r="F612" i="10" l="1"/>
  <c r="AU48" i="10"/>
  <c r="AU62" i="10" s="1"/>
  <c r="P48" i="10"/>
  <c r="P62" i="10" s="1"/>
  <c r="AF52" i="10"/>
  <c r="AF67" i="10" s="1"/>
  <c r="BH48" i="10"/>
  <c r="BH62" i="10" s="1"/>
  <c r="V48" i="10"/>
  <c r="V62" i="10" s="1"/>
  <c r="BT48" i="10"/>
  <c r="BT62" i="10" s="1"/>
  <c r="AZ48" i="10"/>
  <c r="AZ62" i="10" s="1"/>
  <c r="BY48" i="10"/>
  <c r="BY62" i="10" s="1"/>
  <c r="BW48" i="10"/>
  <c r="BW62" i="10" s="1"/>
  <c r="BL48" i="10"/>
  <c r="BL62" i="10" s="1"/>
  <c r="BJ48" i="10"/>
  <c r="BJ62" i="10" s="1"/>
  <c r="BA48" i="10"/>
  <c r="BA62" i="10" s="1"/>
  <c r="AR48" i="10"/>
  <c r="AR62" i="10" s="1"/>
  <c r="AE48" i="10"/>
  <c r="AE62" i="10" s="1"/>
  <c r="BI48" i="10"/>
  <c r="BI62" i="10" s="1"/>
  <c r="BO48" i="10"/>
  <c r="BO62" i="10" s="1"/>
  <c r="BV48" i="10"/>
  <c r="BV62" i="10" s="1"/>
  <c r="AW48" i="10"/>
  <c r="AW62" i="10" s="1"/>
  <c r="BQ48" i="10"/>
  <c r="BQ62" i="10" s="1"/>
  <c r="AM48" i="10"/>
  <c r="AM62" i="10" s="1"/>
  <c r="BD48" i="10"/>
  <c r="BD62" i="10" s="1"/>
  <c r="AT48" i="10"/>
  <c r="AT62" i="10" s="1"/>
  <c r="AK48" i="10"/>
  <c r="AK62" i="10" s="1"/>
  <c r="AJ48" i="10"/>
  <c r="AJ62" i="10" s="1"/>
  <c r="O48" i="10"/>
  <c r="O62" i="10" s="1"/>
  <c r="AC48" i="10"/>
  <c r="AC62" i="10" s="1"/>
  <c r="AA48" i="10"/>
  <c r="AA62" i="10" s="1"/>
  <c r="BF48" i="10"/>
  <c r="BF62" i="10" s="1"/>
  <c r="BM48" i="10"/>
  <c r="BM62" i="10" s="1"/>
  <c r="M48" i="10"/>
  <c r="M62" i="10" s="1"/>
  <c r="BR48" i="10"/>
  <c r="BR62" i="10" s="1"/>
  <c r="K48" i="10"/>
  <c r="K62" i="10" s="1"/>
  <c r="AV48" i="10"/>
  <c r="AV62" i="10" s="1"/>
  <c r="AD48" i="10"/>
  <c r="AD62" i="10" s="1"/>
  <c r="AB48" i="10"/>
  <c r="AB62" i="10" s="1"/>
  <c r="BZ48" i="10"/>
  <c r="BZ62" i="10" s="1"/>
  <c r="E48" i="10"/>
  <c r="E62" i="10" s="1"/>
  <c r="S48" i="10"/>
  <c r="S62" i="10" s="1"/>
  <c r="AP48" i="10"/>
  <c r="AP62" i="10" s="1"/>
  <c r="AN48" i="10"/>
  <c r="AN62" i="10" s="1"/>
  <c r="BS48" i="10"/>
  <c r="BS62" i="10" s="1"/>
  <c r="AF48" i="10"/>
  <c r="AF62" i="10" s="1"/>
  <c r="BK48" i="10"/>
  <c r="BK62" i="10" s="1"/>
  <c r="BB48" i="10"/>
  <c r="BB62" i="10" s="1"/>
  <c r="C48" i="10"/>
  <c r="C62" i="10" s="1"/>
  <c r="H48" i="10"/>
  <c r="H62" i="10" s="1"/>
  <c r="U48" i="10"/>
  <c r="U62" i="10" s="1"/>
  <c r="C378" i="10"/>
  <c r="B427" i="10" s="1"/>
  <c r="N48" i="10"/>
  <c r="N62" i="10" s="1"/>
  <c r="T48" i="10"/>
  <c r="T62" i="10" s="1"/>
  <c r="X48" i="10"/>
  <c r="X62" i="10" s="1"/>
  <c r="BP48" i="10"/>
  <c r="BP62" i="10" s="1"/>
  <c r="BC48" i="10"/>
  <c r="BC62" i="10" s="1"/>
  <c r="AL48" i="10"/>
  <c r="AL62" i="10" s="1"/>
  <c r="BN48" i="10"/>
  <c r="BN62" i="10" s="1"/>
  <c r="CE75" i="10"/>
  <c r="K612" i="10" s="1"/>
  <c r="BX48" i="10"/>
  <c r="BX62" i="10" s="1"/>
  <c r="D48" i="10"/>
  <c r="D62" i="10" s="1"/>
  <c r="CA48" i="10"/>
  <c r="CA62" i="10" s="1"/>
  <c r="G48" i="10"/>
  <c r="G62" i="10" s="1"/>
  <c r="AS48" i="10"/>
  <c r="AS62" i="10" s="1"/>
  <c r="L48" i="10"/>
  <c r="L62" i="10" s="1"/>
  <c r="B49" i="10"/>
  <c r="R48" i="10"/>
  <c r="R62" i="10" s="1"/>
  <c r="AO48" i="10"/>
  <c r="AO62" i="10" s="1"/>
  <c r="BG48" i="10"/>
  <c r="BG62" i="10" s="1"/>
  <c r="W48" i="10"/>
  <c r="W62" i="10" s="1"/>
  <c r="F48" i="10"/>
  <c r="F62" i="10" s="1"/>
  <c r="C432" i="10"/>
  <c r="AI48" i="10"/>
  <c r="AI62" i="10" s="1"/>
  <c r="CB48" i="10"/>
  <c r="CB62" i="10" s="1"/>
  <c r="C430" i="10"/>
  <c r="CC48" i="10"/>
  <c r="CC62" i="10" s="1"/>
  <c r="Y52" i="10"/>
  <c r="Y67" i="10" s="1"/>
  <c r="C382" i="10"/>
  <c r="B431" i="10" s="1"/>
  <c r="BE48" i="10"/>
  <c r="BE62" i="10" s="1"/>
  <c r="D438" i="10"/>
  <c r="C360" i="10"/>
  <c r="B464" i="10" s="1"/>
  <c r="AY48" i="10"/>
  <c r="AY62" i="10" s="1"/>
  <c r="AX48" i="10"/>
  <c r="AX62" i="10" s="1"/>
  <c r="Z48" i="10"/>
  <c r="Z62" i="10" s="1"/>
  <c r="BU48" i="10"/>
  <c r="BU62" i="10" s="1"/>
  <c r="AQ48" i="10"/>
  <c r="AQ62" i="10" s="1"/>
  <c r="AH48" i="10"/>
  <c r="AH62" i="10" s="1"/>
  <c r="J48" i="10"/>
  <c r="J62" i="10" s="1"/>
  <c r="AG48" i="10"/>
  <c r="AG62" i="10" s="1"/>
  <c r="Y48" i="10"/>
  <c r="Y62" i="10" s="1"/>
  <c r="BY52" i="10"/>
  <c r="BY67" i="10" s="1"/>
  <c r="B53" i="10"/>
  <c r="CB52" i="10"/>
  <c r="CB67" i="10" s="1"/>
  <c r="BT52" i="10"/>
  <c r="BT67" i="10" s="1"/>
  <c r="D52" i="10"/>
  <c r="D67" i="10" s="1"/>
  <c r="I48" i="10"/>
  <c r="I62" i="10" s="1"/>
  <c r="Q48" i="10"/>
  <c r="Q62" i="10" s="1"/>
  <c r="BN52" i="10"/>
  <c r="BN67" i="10" s="1"/>
  <c r="N52" i="10"/>
  <c r="N67" i="10" s="1"/>
  <c r="BC52" i="10"/>
  <c r="BC67" i="10" s="1"/>
  <c r="Z52" i="10"/>
  <c r="Z67" i="10" s="1"/>
  <c r="BI52" i="10"/>
  <c r="BI67" i="10" s="1"/>
  <c r="J52" i="10"/>
  <c r="J67" i="10" s="1"/>
  <c r="BV52" i="10"/>
  <c r="BV67" i="10" s="1"/>
  <c r="AL52" i="10"/>
  <c r="AL67" i="10" s="1"/>
  <c r="S52" i="10"/>
  <c r="S67" i="10" s="1"/>
  <c r="AO52" i="10"/>
  <c r="AO67" i="10" s="1"/>
  <c r="D612" i="10"/>
  <c r="BQ52" i="10"/>
  <c r="BQ67" i="10" s="1"/>
  <c r="AI52" i="10"/>
  <c r="AI67" i="10" s="1"/>
  <c r="U52" i="10"/>
  <c r="U67" i="10" s="1"/>
  <c r="AH52" i="10"/>
  <c r="AH67" i="10" s="1"/>
  <c r="BS52" i="10"/>
  <c r="BS67" i="10" s="1"/>
  <c r="AE52" i="10"/>
  <c r="AE67" i="10" s="1"/>
  <c r="BW52" i="10"/>
  <c r="BW67" i="10" s="1"/>
  <c r="AU52" i="10"/>
  <c r="AU67" i="10" s="1"/>
  <c r="BU52" i="10"/>
  <c r="BU67" i="10" s="1"/>
  <c r="E52" i="10"/>
  <c r="E67" i="10" s="1"/>
  <c r="X52" i="10"/>
  <c r="X67" i="10" s="1"/>
  <c r="BE52" i="10"/>
  <c r="BE67" i="10" s="1"/>
  <c r="CA52" i="10"/>
  <c r="CA67" i="10" s="1"/>
  <c r="AB52" i="10"/>
  <c r="AB67" i="10" s="1"/>
  <c r="BJ52" i="10"/>
  <c r="BJ67" i="10" s="1"/>
  <c r="P52" i="10"/>
  <c r="P67" i="10" s="1"/>
  <c r="AT52" i="10"/>
  <c r="AT67" i="10" s="1"/>
  <c r="BR52" i="10"/>
  <c r="BR67" i="10" s="1"/>
  <c r="BM52" i="10"/>
  <c r="BM67" i="10" s="1"/>
  <c r="AR52" i="10"/>
  <c r="AR67" i="10" s="1"/>
  <c r="Q52" i="10"/>
  <c r="Q67" i="10" s="1"/>
  <c r="I52" i="10"/>
  <c r="I67" i="10" s="1"/>
  <c r="AG52" i="10"/>
  <c r="AG67" i="10" s="1"/>
  <c r="AV52" i="10"/>
  <c r="AV67" i="10" s="1"/>
  <c r="O52" i="10"/>
  <c r="O67" i="10" s="1"/>
  <c r="CC52" i="10"/>
  <c r="CC67" i="10" s="1"/>
  <c r="H52" i="10"/>
  <c r="H67" i="10" s="1"/>
  <c r="W52" i="10"/>
  <c r="W67" i="10" s="1"/>
  <c r="V52" i="10"/>
  <c r="V67" i="10" s="1"/>
  <c r="D464" i="10"/>
  <c r="D465" i="10" s="1"/>
  <c r="BB52" i="10"/>
  <c r="BB67" i="10" s="1"/>
  <c r="AK52" i="10"/>
  <c r="AK67" i="10" s="1"/>
  <c r="BD52" i="10"/>
  <c r="BD67" i="10" s="1"/>
  <c r="F52" i="10"/>
  <c r="F67" i="10" s="1"/>
  <c r="AN52" i="10"/>
  <c r="AN67" i="10" s="1"/>
  <c r="B435" i="10"/>
  <c r="B438" i="10"/>
  <c r="C389" i="10"/>
  <c r="B439" i="10" s="1"/>
  <c r="AA52" i="10"/>
  <c r="AA67" i="10" s="1"/>
  <c r="AJ52" i="10"/>
  <c r="AJ67" i="10" s="1"/>
  <c r="AM52" i="10"/>
  <c r="AM67" i="10" s="1"/>
  <c r="BZ52" i="10"/>
  <c r="BZ67" i="10" s="1"/>
  <c r="BK52" i="10"/>
  <c r="BK67" i="10" s="1"/>
  <c r="AQ52" i="10"/>
  <c r="AQ67" i="10" s="1"/>
  <c r="AZ52" i="10"/>
  <c r="AZ67" i="10" s="1"/>
  <c r="C52" i="10"/>
  <c r="C67" i="10" s="1"/>
  <c r="AD52" i="10"/>
  <c r="AD67" i="10" s="1"/>
  <c r="BA52" i="10"/>
  <c r="BA67" i="10" s="1"/>
  <c r="AP52" i="10"/>
  <c r="AP67" i="10" s="1"/>
  <c r="AY52" i="10"/>
  <c r="AY67" i="10" s="1"/>
  <c r="BH52" i="10"/>
  <c r="BH67" i="10" s="1"/>
  <c r="AW52" i="10"/>
  <c r="AW67" i="10" s="1"/>
  <c r="M52" i="10"/>
  <c r="M67" i="10" s="1"/>
  <c r="T52" i="10"/>
  <c r="T67" i="10" s="1"/>
  <c r="AC52" i="10"/>
  <c r="AC67" i="10" s="1"/>
  <c r="AX52" i="10"/>
  <c r="AX67" i="10" s="1"/>
  <c r="BG52" i="10"/>
  <c r="BG67" i="10" s="1"/>
  <c r="BP52" i="10"/>
  <c r="BP67" i="10" s="1"/>
  <c r="R52" i="10"/>
  <c r="R67" i="10" s="1"/>
  <c r="D435" i="10"/>
  <c r="G52" i="10"/>
  <c r="G67" i="10" s="1"/>
  <c r="AS52" i="10"/>
  <c r="AS67" i="10" s="1"/>
  <c r="L52" i="10"/>
  <c r="L67" i="10" s="1"/>
  <c r="K52" i="10"/>
  <c r="K67" i="10" s="1"/>
  <c r="BF52" i="10"/>
  <c r="BF67" i="10" s="1"/>
  <c r="BO52" i="10"/>
  <c r="BO67" i="10" s="1"/>
  <c r="BX52" i="10"/>
  <c r="BX67" i="10" s="1"/>
  <c r="BL52" i="10"/>
  <c r="BL67" i="10" s="1"/>
  <c r="F147" i="10"/>
  <c r="C434" i="10"/>
  <c r="C359" i="10"/>
  <c r="C380" i="10"/>
  <c r="B429" i="10" s="1"/>
  <c r="C429" i="10"/>
  <c r="C444" i="10"/>
  <c r="D367" i="10"/>
  <c r="C448" i="10" s="1"/>
  <c r="D372" i="10"/>
  <c r="B458" i="10"/>
  <c r="M71" i="10" l="1"/>
  <c r="C506" i="10" s="1"/>
  <c r="G506" i="10" s="1"/>
  <c r="BH71" i="10"/>
  <c r="C636" i="10" s="1"/>
  <c r="BG71" i="10"/>
  <c r="C618" i="10" s="1"/>
  <c r="AV71" i="10"/>
  <c r="C713" i="10" s="1"/>
  <c r="AL71" i="10"/>
  <c r="C703" i="10" s="1"/>
  <c r="BU71" i="10"/>
  <c r="C641" i="10" s="1"/>
  <c r="BA71" i="10"/>
  <c r="C546" i="10" s="1"/>
  <c r="BC71" i="10"/>
  <c r="C633" i="10" s="1"/>
  <c r="D361" i="10"/>
  <c r="D368" i="10" s="1"/>
  <c r="D373" i="10" s="1"/>
  <c r="L71" i="10"/>
  <c r="C677" i="10" s="1"/>
  <c r="AE71" i="10"/>
  <c r="C696" i="10" s="1"/>
  <c r="S71" i="10"/>
  <c r="C684" i="10" s="1"/>
  <c r="BN71" i="10"/>
  <c r="C559" i="10" s="1"/>
  <c r="AT71" i="10"/>
  <c r="C711" i="10" s="1"/>
  <c r="H71" i="10"/>
  <c r="C673" i="10" s="1"/>
  <c r="BT71" i="10"/>
  <c r="C565" i="10" s="1"/>
  <c r="C465" i="10"/>
  <c r="K71" i="10"/>
  <c r="C676" i="10" s="1"/>
  <c r="AJ71" i="10"/>
  <c r="C529" i="10" s="1"/>
  <c r="G529" i="10" s="1"/>
  <c r="H529" i="10" s="1"/>
  <c r="BY71" i="10"/>
  <c r="C645" i="10" s="1"/>
  <c r="BD71" i="10"/>
  <c r="C549" i="10" s="1"/>
  <c r="BO71" i="10"/>
  <c r="C560" i="10" s="1"/>
  <c r="AF71" i="10"/>
  <c r="C697" i="10" s="1"/>
  <c r="R71" i="10"/>
  <c r="C511" i="10" s="1"/>
  <c r="AN71" i="10"/>
  <c r="C533" i="10" s="1"/>
  <c r="G533" i="10" s="1"/>
  <c r="BM71" i="10"/>
  <c r="C638" i="10" s="1"/>
  <c r="AR71" i="10"/>
  <c r="C709" i="10" s="1"/>
  <c r="V71" i="10"/>
  <c r="C515" i="10" s="1"/>
  <c r="G515" i="10" s="1"/>
  <c r="AK71" i="10"/>
  <c r="C530" i="10" s="1"/>
  <c r="G530" i="10" s="1"/>
  <c r="P71" i="10"/>
  <c r="C509" i="10" s="1"/>
  <c r="G509" i="10" s="1"/>
  <c r="H509" i="10" s="1"/>
  <c r="I71" i="10"/>
  <c r="C502" i="10" s="1"/>
  <c r="G502" i="10" s="1"/>
  <c r="AS71" i="10"/>
  <c r="C538" i="10" s="1"/>
  <c r="G538" i="10" s="1"/>
  <c r="G71" i="10"/>
  <c r="C672" i="10" s="1"/>
  <c r="BP71" i="10"/>
  <c r="C561" i="10" s="1"/>
  <c r="E71" i="10"/>
  <c r="C670" i="10" s="1"/>
  <c r="BV71" i="10"/>
  <c r="C567" i="10" s="1"/>
  <c r="AU71" i="10"/>
  <c r="C712" i="10" s="1"/>
  <c r="BB71" i="10"/>
  <c r="C632" i="10" s="1"/>
  <c r="BW71" i="10"/>
  <c r="C568" i="10" s="1"/>
  <c r="AO71" i="10"/>
  <c r="C534" i="10" s="1"/>
  <c r="G534" i="10" s="1"/>
  <c r="N71" i="10"/>
  <c r="C507" i="10" s="1"/>
  <c r="G507" i="10" s="1"/>
  <c r="AZ71" i="10"/>
  <c r="C628" i="10" s="1"/>
  <c r="BS71" i="10"/>
  <c r="C564" i="10" s="1"/>
  <c r="BX71" i="10"/>
  <c r="C644" i="10" s="1"/>
  <c r="BE71" i="10"/>
  <c r="C614" i="10" s="1"/>
  <c r="D615" i="10" s="1"/>
  <c r="BF71" i="10"/>
  <c r="C629" i="10" s="1"/>
  <c r="BZ71" i="10"/>
  <c r="C646" i="10" s="1"/>
  <c r="F71" i="10"/>
  <c r="C671" i="10" s="1"/>
  <c r="CC71" i="10"/>
  <c r="C620" i="10" s="1"/>
  <c r="BR71" i="10"/>
  <c r="C626" i="10" s="1"/>
  <c r="BI71" i="10"/>
  <c r="C634" i="10" s="1"/>
  <c r="AP71" i="10"/>
  <c r="C707" i="10" s="1"/>
  <c r="AM71" i="10"/>
  <c r="C704" i="10" s="1"/>
  <c r="O71" i="10"/>
  <c r="C508" i="10" s="1"/>
  <c r="G508" i="10" s="1"/>
  <c r="Z71" i="10"/>
  <c r="C519" i="10" s="1"/>
  <c r="W71" i="10"/>
  <c r="C688" i="10" s="1"/>
  <c r="BQ71" i="10"/>
  <c r="C623" i="10" s="1"/>
  <c r="U71" i="10"/>
  <c r="C686" i="10" s="1"/>
  <c r="T71" i="10"/>
  <c r="C513" i="10" s="1"/>
  <c r="AD71" i="10"/>
  <c r="C523" i="10" s="1"/>
  <c r="G523" i="10" s="1"/>
  <c r="H523" i="10" s="1"/>
  <c r="AA71" i="10"/>
  <c r="C520" i="10" s="1"/>
  <c r="G520" i="10" s="1"/>
  <c r="H520" i="10" s="1"/>
  <c r="BJ71" i="10"/>
  <c r="C555" i="10" s="1"/>
  <c r="BL71" i="10"/>
  <c r="C557" i="10" s="1"/>
  <c r="CA71" i="10"/>
  <c r="C647" i="10" s="1"/>
  <c r="AB71" i="10"/>
  <c r="C693" i="10" s="1"/>
  <c r="AW71" i="10"/>
  <c r="C631" i="10" s="1"/>
  <c r="AC71" i="10"/>
  <c r="C694" i="10" s="1"/>
  <c r="BK71" i="10"/>
  <c r="C635" i="10" s="1"/>
  <c r="X71" i="10"/>
  <c r="C689" i="10" s="1"/>
  <c r="D71" i="10"/>
  <c r="C497" i="10" s="1"/>
  <c r="G497" i="10" s="1"/>
  <c r="Y71" i="10"/>
  <c r="C518" i="10" s="1"/>
  <c r="G518" i="10" s="1"/>
  <c r="H518" i="10" s="1"/>
  <c r="AI71" i="10"/>
  <c r="C700" i="10" s="1"/>
  <c r="AG71" i="10"/>
  <c r="B440" i="10"/>
  <c r="AX71" i="10"/>
  <c r="C616" i="10" s="1"/>
  <c r="CB71" i="10"/>
  <c r="CE48" i="10"/>
  <c r="AY71" i="10"/>
  <c r="C544" i="10" s="1"/>
  <c r="G544" i="10" s="1"/>
  <c r="H544" i="10" s="1"/>
  <c r="J71" i="10"/>
  <c r="C503" i="10" s="1"/>
  <c r="G503" i="10" s="1"/>
  <c r="AQ71" i="10"/>
  <c r="C708" i="10" s="1"/>
  <c r="AH71" i="10"/>
  <c r="C699" i="10" s="1"/>
  <c r="Q71" i="10"/>
  <c r="CE67" i="10"/>
  <c r="C384" i="10" s="1"/>
  <c r="B433" i="10" s="1"/>
  <c r="CE52" i="10"/>
  <c r="B463" i="10"/>
  <c r="CE62" i="10"/>
  <c r="C71" i="10"/>
  <c r="C553" i="10" l="1"/>
  <c r="C678" i="10"/>
  <c r="C552" i="10"/>
  <c r="C541" i="10"/>
  <c r="C531" i="10"/>
  <c r="G531" i="10" s="1"/>
  <c r="C505" i="10"/>
  <c r="G505" i="10" s="1"/>
  <c r="C566" i="10"/>
  <c r="C512" i="10"/>
  <c r="G512" i="10" s="1"/>
  <c r="H512" i="10" s="1"/>
  <c r="C548" i="10"/>
  <c r="B465" i="10"/>
  <c r="C630" i="10"/>
  <c r="C501" i="10"/>
  <c r="G501" i="10" s="1"/>
  <c r="C504" i="10"/>
  <c r="G504" i="10" s="1"/>
  <c r="H504" i="10" s="1"/>
  <c r="C701" i="10"/>
  <c r="C498" i="10"/>
  <c r="G498" i="10" s="1"/>
  <c r="H498" i="10" s="1"/>
  <c r="C524" i="10"/>
  <c r="G524" i="10" s="1"/>
  <c r="H524" i="10" s="1"/>
  <c r="C639" i="10"/>
  <c r="C545" i="10"/>
  <c r="G545" i="10" s="1"/>
  <c r="H545" i="10" s="1"/>
  <c r="C621" i="10"/>
  <c r="C619" i="10"/>
  <c r="C539" i="10"/>
  <c r="G539" i="10" s="1"/>
  <c r="C570" i="10"/>
  <c r="C687" i="10"/>
  <c r="C521" i="10"/>
  <c r="G521" i="10" s="1"/>
  <c r="H521" i="10" s="1"/>
  <c r="C640" i="10"/>
  <c r="C563" i="10"/>
  <c r="C558" i="10"/>
  <c r="C705" i="10"/>
  <c r="C499" i="10"/>
  <c r="G499" i="10" s="1"/>
  <c r="C690" i="10"/>
  <c r="C706" i="10"/>
  <c r="C683" i="10"/>
  <c r="C516" i="10"/>
  <c r="G516" i="10" s="1"/>
  <c r="H516" i="10" s="1"/>
  <c r="C637" i="10"/>
  <c r="C710" i="10"/>
  <c r="C540" i="10"/>
  <c r="G540" i="10" s="1"/>
  <c r="C537" i="10"/>
  <c r="G537" i="10" s="1"/>
  <c r="C627" i="10"/>
  <c r="C624" i="10"/>
  <c r="C554" i="10"/>
  <c r="C685" i="10"/>
  <c r="C569" i="10"/>
  <c r="C669" i="10"/>
  <c r="C691" i="10"/>
  <c r="C525" i="10"/>
  <c r="G525" i="10" s="1"/>
  <c r="H525" i="10" s="1"/>
  <c r="C680" i="10"/>
  <c r="C617" i="10"/>
  <c r="C571" i="10"/>
  <c r="C551" i="10"/>
  <c r="C681" i="10"/>
  <c r="C679" i="10"/>
  <c r="C643" i="10"/>
  <c r="C500" i="10"/>
  <c r="G500" i="10" s="1"/>
  <c r="C674" i="10"/>
  <c r="C702" i="10"/>
  <c r="C562" i="10"/>
  <c r="C532" i="10"/>
  <c r="G532" i="10" s="1"/>
  <c r="C642" i="10"/>
  <c r="C542" i="10"/>
  <c r="C572" i="10"/>
  <c r="C535" i="10"/>
  <c r="G535" i="10" s="1"/>
  <c r="H535" i="10" s="1"/>
  <c r="C574" i="10"/>
  <c r="C550" i="10"/>
  <c r="G550" i="10" s="1"/>
  <c r="H550" i="10" s="1"/>
  <c r="C547" i="10"/>
  <c r="C517" i="10"/>
  <c r="G517" i="10" s="1"/>
  <c r="H517" i="10" s="1"/>
  <c r="C528" i="10"/>
  <c r="G528" i="10" s="1"/>
  <c r="C514" i="10"/>
  <c r="G514" i="10" s="1"/>
  <c r="H514" i="10" s="1"/>
  <c r="C625" i="10"/>
  <c r="C556" i="10"/>
  <c r="C695" i="10"/>
  <c r="C527" i="10"/>
  <c r="G527" i="10" s="1"/>
  <c r="C522" i="10"/>
  <c r="G522" i="10" s="1"/>
  <c r="H522" i="10" s="1"/>
  <c r="C692" i="10"/>
  <c r="C675" i="10"/>
  <c r="C536" i="10"/>
  <c r="G536" i="10" s="1"/>
  <c r="H507" i="10"/>
  <c r="C543" i="10"/>
  <c r="C526" i="10"/>
  <c r="G526" i="10" s="1"/>
  <c r="H526" i="10" s="1"/>
  <c r="C698" i="10"/>
  <c r="C573" i="10"/>
  <c r="C622" i="10"/>
  <c r="C433" i="10"/>
  <c r="G513" i="10"/>
  <c r="H513" i="10" s="1"/>
  <c r="C510" i="10"/>
  <c r="G510" i="10" s="1"/>
  <c r="H510" i="10" s="1"/>
  <c r="C682" i="10"/>
  <c r="D390" i="10"/>
  <c r="B441" i="10" s="1"/>
  <c r="C428" i="10"/>
  <c r="CE71" i="10"/>
  <c r="C716" i="10" s="1"/>
  <c r="C496" i="10"/>
  <c r="C668" i="10"/>
  <c r="G546" i="10"/>
  <c r="H546" i="10"/>
  <c r="D710" i="10"/>
  <c r="D702" i="10"/>
  <c r="D694" i="10"/>
  <c r="D686" i="10"/>
  <c r="D678" i="10"/>
  <c r="D670" i="10"/>
  <c r="D647" i="10"/>
  <c r="D646" i="10"/>
  <c r="D645" i="10"/>
  <c r="D709" i="10"/>
  <c r="D701" i="10"/>
  <c r="D693" i="10"/>
  <c r="D685" i="10"/>
  <c r="D677" i="10"/>
  <c r="D669" i="10"/>
  <c r="D706" i="10"/>
  <c r="D698" i="10"/>
  <c r="D690" i="10"/>
  <c r="D682" i="10"/>
  <c r="D674" i="10"/>
  <c r="D711" i="10"/>
  <c r="D703" i="10"/>
  <c r="D695" i="10"/>
  <c r="D687" i="10"/>
  <c r="D679" i="10"/>
  <c r="D671" i="10"/>
  <c r="D707" i="10"/>
  <c r="D691" i="10"/>
  <c r="D675" i="10"/>
  <c r="D644" i="10"/>
  <c r="D642" i="10"/>
  <c r="D637" i="10"/>
  <c r="D632" i="10"/>
  <c r="D627" i="10"/>
  <c r="D704" i="10"/>
  <c r="D688" i="10"/>
  <c r="D672" i="10"/>
  <c r="D640" i="10"/>
  <c r="D633" i="10"/>
  <c r="D623" i="10"/>
  <c r="D619" i="10"/>
  <c r="D708" i="10"/>
  <c r="D692" i="10"/>
  <c r="D676" i="10"/>
  <c r="D634" i="10"/>
  <c r="D625" i="10"/>
  <c r="D705" i="10"/>
  <c r="D689" i="10"/>
  <c r="D673" i="10"/>
  <c r="D638" i="10"/>
  <c r="D635" i="10"/>
  <c r="D628" i="10"/>
  <c r="D622" i="10"/>
  <c r="D618" i="10"/>
  <c r="D712" i="10"/>
  <c r="D696" i="10"/>
  <c r="D680" i="10"/>
  <c r="D636" i="10"/>
  <c r="D629" i="10"/>
  <c r="D626" i="10"/>
  <c r="D621" i="10"/>
  <c r="D617" i="10"/>
  <c r="D716" i="10"/>
  <c r="D684" i="10"/>
  <c r="D639" i="10"/>
  <c r="D616" i="10"/>
  <c r="D699" i="10"/>
  <c r="D668" i="10"/>
  <c r="D643" i="10"/>
  <c r="D624" i="10"/>
  <c r="D683" i="10"/>
  <c r="D631" i="10"/>
  <c r="D713" i="10"/>
  <c r="D630" i="10"/>
  <c r="D620" i="10"/>
  <c r="D700" i="10"/>
  <c r="D641" i="10"/>
  <c r="D681" i="10"/>
  <c r="D697" i="10"/>
  <c r="G511" i="10"/>
  <c r="H511" i="10" s="1"/>
  <c r="G519" i="10"/>
  <c r="H519" i="10" s="1"/>
  <c r="H539" i="10" l="1"/>
  <c r="C648" i="10"/>
  <c r="M716" i="10" s="1"/>
  <c r="C441" i="10"/>
  <c r="C715" i="10"/>
  <c r="D391" i="10"/>
  <c r="D393" i="10" s="1"/>
  <c r="D396" i="10" s="1"/>
  <c r="E612" i="10"/>
  <c r="D715" i="10"/>
  <c r="G496" i="10"/>
  <c r="H496" i="10" s="1"/>
  <c r="E623" i="10"/>
  <c r="E716" i="10" l="1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06" i="10"/>
  <c r="E698" i="10"/>
  <c r="E690" i="10"/>
  <c r="E682" i="10"/>
  <c r="E674" i="10"/>
  <c r="E711" i="10"/>
  <c r="E703" i="10"/>
  <c r="E695" i="10"/>
  <c r="E687" i="10"/>
  <c r="E679" i="10"/>
  <c r="E671" i="10"/>
  <c r="E708" i="10"/>
  <c r="E700" i="10"/>
  <c r="E692" i="10"/>
  <c r="E684" i="10"/>
  <c r="E676" i="10"/>
  <c r="E668" i="10"/>
  <c r="E704" i="10"/>
  <c r="E688" i="10"/>
  <c r="E672" i="10"/>
  <c r="E701" i="10"/>
  <c r="E685" i="10"/>
  <c r="E669" i="10"/>
  <c r="E625" i="10"/>
  <c r="E705" i="10"/>
  <c r="E689" i="10"/>
  <c r="E673" i="10"/>
  <c r="E628" i="10"/>
  <c r="E702" i="10"/>
  <c r="E686" i="10"/>
  <c r="E670" i="10"/>
  <c r="E647" i="10"/>
  <c r="E645" i="10"/>
  <c r="E709" i="10"/>
  <c r="E693" i="10"/>
  <c r="E677" i="10"/>
  <c r="E624" i="10"/>
  <c r="E680" i="10"/>
  <c r="E710" i="10"/>
  <c r="E697" i="10"/>
  <c r="E678" i="10"/>
  <c r="E646" i="10"/>
  <c r="E626" i="10"/>
  <c r="E713" i="10"/>
  <c r="E712" i="10"/>
  <c r="E681" i="10"/>
  <c r="E627" i="10"/>
  <c r="E629" i="10"/>
  <c r="E696" i="10"/>
  <c r="E694" i="10"/>
  <c r="E715" i="10" l="1"/>
  <c r="F624" i="10"/>
  <c r="F712" i="10" l="1"/>
  <c r="F704" i="10"/>
  <c r="F696" i="10"/>
  <c r="F688" i="10"/>
  <c r="F680" i="10"/>
  <c r="F672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3" i="10"/>
  <c r="F705" i="10"/>
  <c r="F697" i="10"/>
  <c r="F689" i="10"/>
  <c r="F681" i="10"/>
  <c r="F673" i="10"/>
  <c r="F701" i="10"/>
  <c r="F685" i="10"/>
  <c r="F669" i="10"/>
  <c r="F640" i="10"/>
  <c r="F633" i="10"/>
  <c r="F625" i="10"/>
  <c r="F698" i="10"/>
  <c r="F682" i="10"/>
  <c r="F634" i="10"/>
  <c r="F628" i="10"/>
  <c r="F702" i="10"/>
  <c r="F686" i="10"/>
  <c r="F670" i="10"/>
  <c r="F647" i="10"/>
  <c r="F645" i="10"/>
  <c r="F638" i="10"/>
  <c r="F635" i="10"/>
  <c r="F716" i="10"/>
  <c r="F699" i="10"/>
  <c r="F683" i="10"/>
  <c r="F643" i="10"/>
  <c r="F641" i="10"/>
  <c r="F629" i="10"/>
  <c r="F626" i="10"/>
  <c r="F706" i="10"/>
  <c r="F690" i="10"/>
  <c r="F674" i="10"/>
  <c r="F639" i="10"/>
  <c r="F630" i="10"/>
  <c r="F644" i="10"/>
  <c r="F632" i="10"/>
  <c r="F707" i="10"/>
  <c r="F710" i="10"/>
  <c r="F691" i="10"/>
  <c r="F631" i="10"/>
  <c r="F694" i="10"/>
  <c r="F675" i="10"/>
  <c r="F642" i="10"/>
  <c r="F627" i="10"/>
  <c r="F693" i="10"/>
  <c r="F636" i="10"/>
  <c r="F709" i="10"/>
  <c r="F678" i="10"/>
  <c r="F677" i="10"/>
  <c r="F646" i="10"/>
  <c r="F637" i="10"/>
  <c r="F715" i="10" l="1"/>
  <c r="G625" i="10"/>
  <c r="G709" i="10" l="1"/>
  <c r="G701" i="10"/>
  <c r="G693" i="10"/>
  <c r="G685" i="10"/>
  <c r="G677" i="10"/>
  <c r="G669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0" i="10"/>
  <c r="G702" i="10"/>
  <c r="G694" i="10"/>
  <c r="G686" i="10"/>
  <c r="G678" i="10"/>
  <c r="G670" i="10"/>
  <c r="G647" i="10"/>
  <c r="G646" i="10"/>
  <c r="G645" i="10"/>
  <c r="G698" i="10"/>
  <c r="G682" i="10"/>
  <c r="G634" i="10"/>
  <c r="G628" i="10"/>
  <c r="G711" i="10"/>
  <c r="G695" i="10"/>
  <c r="G679" i="10"/>
  <c r="G638" i="10"/>
  <c r="G635" i="10"/>
  <c r="G716" i="10"/>
  <c r="G699" i="10"/>
  <c r="G683" i="10"/>
  <c r="G643" i="10"/>
  <c r="G641" i="10"/>
  <c r="G629" i="10"/>
  <c r="G626" i="10"/>
  <c r="G712" i="10"/>
  <c r="G696" i="10"/>
  <c r="G680" i="10"/>
  <c r="G636" i="10"/>
  <c r="G703" i="10"/>
  <c r="G687" i="10"/>
  <c r="G671" i="10"/>
  <c r="G631" i="10"/>
  <c r="G627" i="10"/>
  <c r="G707" i="10"/>
  <c r="G688" i="10"/>
  <c r="G691" i="10"/>
  <c r="G672" i="10"/>
  <c r="G706" i="10"/>
  <c r="G675" i="10"/>
  <c r="G642" i="10"/>
  <c r="G690" i="10"/>
  <c r="G637" i="10"/>
  <c r="G633" i="10"/>
  <c r="G704" i="10"/>
  <c r="G640" i="10"/>
  <c r="G630" i="10"/>
  <c r="G639" i="10"/>
  <c r="G674" i="10"/>
  <c r="G644" i="10"/>
  <c r="G632" i="10"/>
  <c r="H628" i="10" l="1"/>
  <c r="H690" i="10" s="1"/>
  <c r="G715" i="10"/>
  <c r="H647" i="10" l="1"/>
  <c r="H672" i="10"/>
  <c r="H643" i="10"/>
  <c r="H688" i="10"/>
  <c r="H693" i="10"/>
  <c r="H708" i="10"/>
  <c r="H675" i="10"/>
  <c r="H670" i="10"/>
  <c r="H697" i="10"/>
  <c r="H669" i="10"/>
  <c r="H632" i="10"/>
  <c r="H709" i="10"/>
  <c r="H638" i="10"/>
  <c r="H683" i="10"/>
  <c r="H678" i="10"/>
  <c r="H705" i="10"/>
  <c r="H704" i="10"/>
  <c r="H676" i="10"/>
  <c r="H681" i="10"/>
  <c r="H677" i="10"/>
  <c r="H680" i="10"/>
  <c r="H713" i="10"/>
  <c r="H701" i="10"/>
  <c r="H684" i="10"/>
  <c r="H696" i="10"/>
  <c r="H695" i="10"/>
  <c r="H699" i="10"/>
  <c r="H694" i="10"/>
  <c r="H682" i="10"/>
  <c r="H687" i="10"/>
  <c r="H639" i="10"/>
  <c r="H642" i="10"/>
  <c r="H645" i="10"/>
  <c r="H633" i="10"/>
  <c r="H692" i="10"/>
  <c r="H689" i="10"/>
  <c r="H703" i="10"/>
  <c r="H640" i="10"/>
  <c r="H637" i="10"/>
  <c r="H679" i="10"/>
  <c r="H691" i="10"/>
  <c r="H686" i="10"/>
  <c r="H671" i="10"/>
  <c r="H700" i="10"/>
  <c r="H712" i="10"/>
  <c r="H711" i="10"/>
  <c r="H707" i="10"/>
  <c r="H702" i="10"/>
  <c r="H698" i="10"/>
  <c r="H685" i="10"/>
  <c r="H631" i="10"/>
  <c r="H630" i="10"/>
  <c r="H629" i="10"/>
  <c r="I629" i="10" s="1"/>
  <c r="H641" i="10"/>
  <c r="H716" i="10"/>
  <c r="H710" i="10"/>
  <c r="H706" i="10"/>
  <c r="H674" i="10"/>
  <c r="H634" i="10"/>
  <c r="H668" i="10"/>
  <c r="H636" i="10"/>
  <c r="H635" i="10"/>
  <c r="H644" i="10"/>
  <c r="H646" i="10"/>
  <c r="H673" i="10"/>
  <c r="H715" i="10" l="1"/>
  <c r="I711" i="10"/>
  <c r="I703" i="10"/>
  <c r="I695" i="10"/>
  <c r="I687" i="10"/>
  <c r="I679" i="10"/>
  <c r="I671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712" i="10"/>
  <c r="I704" i="10"/>
  <c r="I696" i="10"/>
  <c r="I688" i="10"/>
  <c r="I680" i="10"/>
  <c r="I672" i="10"/>
  <c r="I708" i="10"/>
  <c r="I692" i="10"/>
  <c r="I676" i="10"/>
  <c r="I705" i="10"/>
  <c r="I689" i="10"/>
  <c r="I673" i="10"/>
  <c r="I709" i="10"/>
  <c r="I693" i="10"/>
  <c r="I677" i="10"/>
  <c r="I630" i="10"/>
  <c r="I706" i="10"/>
  <c r="I690" i="10"/>
  <c r="I674" i="10"/>
  <c r="I631" i="10"/>
  <c r="I713" i="10"/>
  <c r="I697" i="10"/>
  <c r="I681" i="10"/>
  <c r="I633" i="10"/>
  <c r="I668" i="10"/>
  <c r="I634" i="10"/>
  <c r="I698" i="10"/>
  <c r="I685" i="10"/>
  <c r="I682" i="10"/>
  <c r="I684" i="10"/>
  <c r="I701" i="10"/>
  <c r="I700" i="10"/>
  <c r="I669" i="10"/>
  <c r="I632" i="10"/>
  <c r="I715" i="10" l="1"/>
  <c r="J630" i="10"/>
  <c r="J708" i="10" l="1"/>
  <c r="J700" i="10"/>
  <c r="J692" i="10"/>
  <c r="J684" i="10"/>
  <c r="J676" i="10"/>
  <c r="J668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712" i="10"/>
  <c r="J704" i="10"/>
  <c r="J696" i="10"/>
  <c r="J688" i="10"/>
  <c r="J680" i="10"/>
  <c r="J672" i="10"/>
  <c r="J709" i="10"/>
  <c r="J701" i="10"/>
  <c r="J693" i="10"/>
  <c r="J685" i="10"/>
  <c r="J677" i="10"/>
  <c r="J669" i="10"/>
  <c r="J705" i="10"/>
  <c r="J689" i="10"/>
  <c r="J673" i="10"/>
  <c r="J702" i="10"/>
  <c r="J686" i="10"/>
  <c r="J670" i="10"/>
  <c r="J647" i="10"/>
  <c r="J645" i="10"/>
  <c r="J706" i="10"/>
  <c r="J690" i="10"/>
  <c r="J674" i="10"/>
  <c r="J631" i="10"/>
  <c r="J703" i="10"/>
  <c r="J687" i="10"/>
  <c r="J671" i="10"/>
  <c r="J632" i="10"/>
  <c r="J710" i="10"/>
  <c r="J694" i="10"/>
  <c r="J678" i="10"/>
  <c r="J646" i="10"/>
  <c r="J634" i="10"/>
  <c r="J711" i="10"/>
  <c r="J695" i="10"/>
  <c r="J698" i="10"/>
  <c r="J679" i="10"/>
  <c r="J713" i="10"/>
  <c r="J682" i="10"/>
  <c r="J633" i="10"/>
  <c r="J681" i="10"/>
  <c r="J697" i="10"/>
  <c r="J635" i="10"/>
  <c r="L647" i="10" l="1"/>
  <c r="L702" i="10" s="1"/>
  <c r="J715" i="10"/>
  <c r="K644" i="10"/>
  <c r="L708" i="10" l="1"/>
  <c r="L713" i="10"/>
  <c r="L699" i="10"/>
  <c r="L674" i="10"/>
  <c r="L693" i="10"/>
  <c r="L710" i="10"/>
  <c r="L675" i="10"/>
  <c r="L668" i="10"/>
  <c r="L716" i="10"/>
  <c r="L701" i="10"/>
  <c r="L691" i="10"/>
  <c r="L671" i="10"/>
  <c r="L676" i="10"/>
  <c r="L679" i="10"/>
  <c r="L670" i="10"/>
  <c r="L705" i="10"/>
  <c r="L690" i="10"/>
  <c r="L688" i="10"/>
  <c r="L682" i="10"/>
  <c r="L684" i="10"/>
  <c r="L709" i="10"/>
  <c r="L672" i="10"/>
  <c r="L700" i="10"/>
  <c r="L698" i="10"/>
  <c r="L707" i="10"/>
  <c r="L680" i="10"/>
  <c r="L687" i="10"/>
  <c r="L706" i="10"/>
  <c r="L678" i="10"/>
  <c r="L673" i="10"/>
  <c r="L704" i="10"/>
  <c r="L696" i="10"/>
  <c r="L695" i="10"/>
  <c r="L669" i="10"/>
  <c r="L686" i="10"/>
  <c r="L692" i="10"/>
  <c r="L681" i="10"/>
  <c r="L712" i="10"/>
  <c r="L703" i="10"/>
  <c r="L677" i="10"/>
  <c r="L694" i="10"/>
  <c r="L689" i="10"/>
  <c r="L697" i="10"/>
  <c r="L683" i="10"/>
  <c r="L711" i="10"/>
  <c r="L685" i="10"/>
  <c r="K713" i="10"/>
  <c r="K705" i="10"/>
  <c r="K697" i="10"/>
  <c r="K689" i="10"/>
  <c r="K681" i="10"/>
  <c r="K673" i="10"/>
  <c r="K712" i="10"/>
  <c r="K704" i="10"/>
  <c r="K696" i="10"/>
  <c r="K688" i="10"/>
  <c r="K680" i="10"/>
  <c r="K672" i="10"/>
  <c r="K709" i="10"/>
  <c r="K701" i="10"/>
  <c r="K693" i="10"/>
  <c r="K685" i="10"/>
  <c r="K677" i="10"/>
  <c r="K669" i="10"/>
  <c r="K706" i="10"/>
  <c r="K698" i="10"/>
  <c r="K690" i="10"/>
  <c r="K682" i="10"/>
  <c r="K674" i="10"/>
  <c r="K702" i="10"/>
  <c r="M702" i="10" s="1"/>
  <c r="K686" i="10"/>
  <c r="K670" i="10"/>
  <c r="K716" i="10"/>
  <c r="K699" i="10"/>
  <c r="K683" i="10"/>
  <c r="K703" i="10"/>
  <c r="K687" i="10"/>
  <c r="K671" i="10"/>
  <c r="K700" i="10"/>
  <c r="K684" i="10"/>
  <c r="K668" i="10"/>
  <c r="K707" i="10"/>
  <c r="K691" i="10"/>
  <c r="K675" i="10"/>
  <c r="K695" i="10"/>
  <c r="K676" i="10"/>
  <c r="K710" i="10"/>
  <c r="K679" i="10"/>
  <c r="K694" i="10"/>
  <c r="M694" i="10" s="1"/>
  <c r="K678" i="10"/>
  <c r="K692" i="10"/>
  <c r="K708" i="10"/>
  <c r="K711" i="10"/>
  <c r="M684" i="10" l="1"/>
  <c r="M686" i="10"/>
  <c r="M700" i="10"/>
  <c r="M674" i="10"/>
  <c r="M671" i="10"/>
  <c r="M711" i="10"/>
  <c r="M676" i="10"/>
  <c r="M693" i="10"/>
  <c r="M691" i="10"/>
  <c r="M682" i="10"/>
  <c r="M710" i="10"/>
  <c r="M679" i="10"/>
  <c r="M687" i="10"/>
  <c r="M685" i="10"/>
  <c r="M689" i="10"/>
  <c r="M688" i="10"/>
  <c r="M713" i="10"/>
  <c r="M705" i="10"/>
  <c r="M678" i="10"/>
  <c r="M692" i="10"/>
  <c r="M670" i="10"/>
  <c r="M673" i="10"/>
  <c r="M683" i="10"/>
  <c r="M706" i="10"/>
  <c r="M680" i="10"/>
  <c r="M708" i="10"/>
  <c r="M707" i="10"/>
  <c r="M699" i="10"/>
  <c r="M672" i="10"/>
  <c r="M675" i="10"/>
  <c r="M677" i="10"/>
  <c r="M703" i="10"/>
  <c r="M698" i="10"/>
  <c r="L715" i="10"/>
  <c r="M696" i="10"/>
  <c r="M668" i="10"/>
  <c r="M697" i="10"/>
  <c r="M669" i="10"/>
  <c r="M704" i="10"/>
  <c r="M712" i="10"/>
  <c r="M695" i="10"/>
  <c r="M701" i="10"/>
  <c r="M690" i="10"/>
  <c r="M709" i="10"/>
  <c r="M681" i="10"/>
  <c r="K715" i="10"/>
  <c r="M715" i="10" l="1"/>
  <c r="F493" i="1"/>
  <c r="D493" i="1"/>
  <c r="B493" i="1"/>
  <c r="B575" i="1" l="1"/>
  <c r="A493" i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D186" i="9" s="1"/>
  <c r="AI75" i="1"/>
  <c r="G154" i="9" s="1"/>
  <c r="AH75" i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AJ75" i="1"/>
  <c r="AL75" i="1"/>
  <c r="C186" i="9" s="1"/>
  <c r="AK75" i="1"/>
  <c r="AG75" i="1"/>
  <c r="E154" i="9" s="1"/>
  <c r="AE75" i="1"/>
  <c r="AC75" i="1"/>
  <c r="AB75" i="1"/>
  <c r="Y75" i="1"/>
  <c r="D122" i="9" s="1"/>
  <c r="U75" i="1"/>
  <c r="S75" i="1"/>
  <c r="E90" i="9" s="1"/>
  <c r="K75" i="1"/>
  <c r="J75" i="1"/>
  <c r="E75" i="1"/>
  <c r="CE73" i="1"/>
  <c r="CE74" i="1"/>
  <c r="C75" i="1"/>
  <c r="C26" i="9" s="1"/>
  <c r="CE80" i="1"/>
  <c r="CE78" i="1"/>
  <c r="CE69" i="1"/>
  <c r="D260" i="1"/>
  <c r="C16" i="8" s="1"/>
  <c r="D265" i="1"/>
  <c r="D275" i="1"/>
  <c r="D277" i="1" s="1"/>
  <c r="C35" i="8" s="1"/>
  <c r="D290" i="1"/>
  <c r="D314" i="1"/>
  <c r="D319" i="1"/>
  <c r="C74" i="8" s="1"/>
  <c r="D328" i="1"/>
  <c r="C84" i="8" s="1"/>
  <c r="D329" i="1"/>
  <c r="D229" i="1"/>
  <c r="D236" i="1"/>
  <c r="C365" i="1" s="1"/>
  <c r="C446" i="1" s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186" i="1"/>
  <c r="D181" i="1"/>
  <c r="C27" i="5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C459" i="1"/>
  <c r="B459" i="1"/>
  <c r="B455" i="1"/>
  <c r="B454" i="1"/>
  <c r="B453" i="1"/>
  <c r="C439" i="1"/>
  <c r="C438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24" i="8"/>
  <c r="C117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G122" i="9"/>
  <c r="H58" i="9"/>
  <c r="F90" i="9"/>
  <c r="C218" i="9"/>
  <c r="D366" i="9"/>
  <c r="CE64" i="1"/>
  <c r="D368" i="9"/>
  <c r="C276" i="9"/>
  <c r="CE70" i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CD71" i="1"/>
  <c r="E373" i="9" s="1"/>
  <c r="C615" i="1"/>
  <c r="E372" i="9"/>
  <c r="F8" i="6" l="1"/>
  <c r="G28" i="4"/>
  <c r="F154" i="9"/>
  <c r="E218" i="9"/>
  <c r="F15" i="6"/>
  <c r="C33" i="8"/>
  <c r="H26" i="9"/>
  <c r="C90" i="9"/>
  <c r="D32" i="6"/>
  <c r="I371" i="9"/>
  <c r="D437" i="1"/>
  <c r="C388" i="1"/>
  <c r="C139" i="8" s="1"/>
  <c r="D436" i="1"/>
  <c r="C387" i="1"/>
  <c r="C138" i="8" s="1"/>
  <c r="D435" i="1"/>
  <c r="C386" i="1"/>
  <c r="C137" i="8" s="1"/>
  <c r="C385" i="1"/>
  <c r="C136" i="8" s="1"/>
  <c r="I368" i="9"/>
  <c r="C383" i="1"/>
  <c r="C134" i="8" s="1"/>
  <c r="C431" i="1"/>
  <c r="C382" i="1"/>
  <c r="C133" i="8" s="1"/>
  <c r="C381" i="1"/>
  <c r="C132" i="8" s="1"/>
  <c r="C380" i="1"/>
  <c r="C131" i="8" s="1"/>
  <c r="C14" i="5"/>
  <c r="C379" i="1"/>
  <c r="C130" i="8" s="1"/>
  <c r="T48" i="1"/>
  <c r="T62" i="1" s="1"/>
  <c r="C378" i="1"/>
  <c r="C129" i="8" s="1"/>
  <c r="C458" i="1"/>
  <c r="C370" i="1"/>
  <c r="C123" i="8" s="1"/>
  <c r="B447" i="1"/>
  <c r="C366" i="1"/>
  <c r="C118" i="8" s="1"/>
  <c r="B445" i="1"/>
  <c r="C364" i="1"/>
  <c r="C116" i="8" s="1"/>
  <c r="B444" i="1"/>
  <c r="C363" i="1"/>
  <c r="C115" i="8" s="1"/>
  <c r="F10" i="4"/>
  <c r="C360" i="1"/>
  <c r="C111" i="8" s="1"/>
  <c r="C359" i="1"/>
  <c r="D13" i="7"/>
  <c r="C34" i="5"/>
  <c r="G10" i="4"/>
  <c r="I122" i="9"/>
  <c r="H122" i="9"/>
  <c r="I90" i="9"/>
  <c r="E26" i="9"/>
  <c r="I381" i="9"/>
  <c r="I380" i="9"/>
  <c r="I372" i="9"/>
  <c r="I366" i="9"/>
  <c r="I365" i="9"/>
  <c r="C429" i="1"/>
  <c r="B476" i="1"/>
  <c r="BO48" i="1"/>
  <c r="BO62" i="1" s="1"/>
  <c r="D300" i="9" s="1"/>
  <c r="BH48" i="1"/>
  <c r="BH62" i="1" s="1"/>
  <c r="C432" i="1"/>
  <c r="C421" i="1"/>
  <c r="C440" i="1"/>
  <c r="CF76" i="1"/>
  <c r="C52" i="1" s="1"/>
  <c r="AQ48" i="1"/>
  <c r="AQ62" i="1" s="1"/>
  <c r="Y48" i="1"/>
  <c r="Y62" i="1" s="1"/>
  <c r="D428" i="1"/>
  <c r="CB48" i="1"/>
  <c r="CB62" i="1" s="1"/>
  <c r="C364" i="9" s="1"/>
  <c r="AN48" i="1"/>
  <c r="AN62" i="1" s="1"/>
  <c r="D463" i="1"/>
  <c r="C473" i="1"/>
  <c r="G612" i="1"/>
  <c r="C575" i="1"/>
  <c r="AX48" i="1"/>
  <c r="AX62" i="1" s="1"/>
  <c r="Q48" i="1"/>
  <c r="Q62" i="1" s="1"/>
  <c r="D612" i="1"/>
  <c r="BJ48" i="1"/>
  <c r="BJ62" i="1" s="1"/>
  <c r="AO48" i="1"/>
  <c r="AO62" i="1" s="1"/>
  <c r="F172" i="9" s="1"/>
  <c r="BI48" i="1"/>
  <c r="BI62" i="1" s="1"/>
  <c r="F48" i="1"/>
  <c r="F62" i="1" s="1"/>
  <c r="BP48" i="1"/>
  <c r="BP62" i="1" s="1"/>
  <c r="E300" i="9" s="1"/>
  <c r="AW48" i="1"/>
  <c r="AW62" i="1" s="1"/>
  <c r="V48" i="1"/>
  <c r="V62" i="1" s="1"/>
  <c r="BA48" i="1"/>
  <c r="BA62" i="1" s="1"/>
  <c r="G48" i="1"/>
  <c r="G62" i="1" s="1"/>
  <c r="G12" i="9" s="1"/>
  <c r="Z48" i="1"/>
  <c r="Z62" i="1" s="1"/>
  <c r="BQ48" i="1"/>
  <c r="BQ62" i="1" s="1"/>
  <c r="C76" i="9"/>
  <c r="I382" i="9"/>
  <c r="I612" i="1"/>
  <c r="I154" i="9"/>
  <c r="BK48" i="1"/>
  <c r="BK62" i="1" s="1"/>
  <c r="I363" i="9"/>
  <c r="H48" i="1"/>
  <c r="H62" i="1" s="1"/>
  <c r="O48" i="1"/>
  <c r="O62" i="1" s="1"/>
  <c r="AG48" i="1"/>
  <c r="AG62" i="1" s="1"/>
  <c r="AY48" i="1"/>
  <c r="AY62" i="1" s="1"/>
  <c r="K48" i="1"/>
  <c r="K62" i="1" s="1"/>
  <c r="BY48" i="1"/>
  <c r="BY62" i="1" s="1"/>
  <c r="BD48" i="1"/>
  <c r="BD62" i="1" s="1"/>
  <c r="AT48" i="1"/>
  <c r="AT62" i="1" s="1"/>
  <c r="R48" i="1"/>
  <c r="R62" i="1" s="1"/>
  <c r="AB48" i="1"/>
  <c r="AB62" i="1" s="1"/>
  <c r="D48" i="1"/>
  <c r="D62" i="1" s="1"/>
  <c r="D12" i="9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X48" i="1"/>
  <c r="X62" i="1" s="1"/>
  <c r="AE48" i="1"/>
  <c r="AE62" i="1" s="1"/>
  <c r="E48" i="1"/>
  <c r="E62" i="1" s="1"/>
  <c r="BW48" i="1"/>
  <c r="BW62" i="1" s="1"/>
  <c r="E332" i="9" s="1"/>
  <c r="AI48" i="1"/>
  <c r="AI62" i="1" s="1"/>
  <c r="BV48" i="1"/>
  <c r="BV62" i="1" s="1"/>
  <c r="AZ48" i="1"/>
  <c r="AZ62" i="1" s="1"/>
  <c r="AP48" i="1"/>
  <c r="AP62" i="1" s="1"/>
  <c r="J48" i="1"/>
  <c r="J62" i="1" s="1"/>
  <c r="W48" i="1"/>
  <c r="W62" i="1" s="1"/>
  <c r="P48" i="1"/>
  <c r="P62" i="1" s="1"/>
  <c r="AC48" i="1"/>
  <c r="AC62" i="1" s="1"/>
  <c r="H108" i="9" s="1"/>
  <c r="BC48" i="1"/>
  <c r="BC62" i="1" s="1"/>
  <c r="C427" i="1"/>
  <c r="S48" i="1"/>
  <c r="S62" i="1" s="1"/>
  <c r="CA48" i="1"/>
  <c r="CA62" i="1" s="1"/>
  <c r="BR48" i="1"/>
  <c r="BR62" i="1" s="1"/>
  <c r="AV48" i="1"/>
  <c r="AV62" i="1" s="1"/>
  <c r="AL48" i="1"/>
  <c r="AL62" i="1" s="1"/>
  <c r="B10" i="4"/>
  <c r="N48" i="1"/>
  <c r="N62" i="1" s="1"/>
  <c r="BL48" i="1"/>
  <c r="BL62" i="1" s="1"/>
  <c r="BG48" i="1"/>
  <c r="BG62" i="1" s="1"/>
  <c r="AK48" i="1"/>
  <c r="AK62" i="1" s="1"/>
  <c r="AM48" i="1"/>
  <c r="AM62" i="1" s="1"/>
  <c r="BZ48" i="1"/>
  <c r="BZ62" i="1" s="1"/>
  <c r="L48" i="1"/>
  <c r="L62" i="1" s="1"/>
  <c r="G90" i="9"/>
  <c r="F76" i="9"/>
  <c r="C415" i="1"/>
  <c r="C10" i="4"/>
  <c r="I377" i="9"/>
  <c r="C464" i="1"/>
  <c r="C85" i="8"/>
  <c r="D330" i="1"/>
  <c r="C86" i="8" s="1"/>
  <c r="G186" i="9"/>
  <c r="C434" i="1"/>
  <c r="I370" i="9"/>
  <c r="AD48" i="1"/>
  <c r="AD62" i="1" s="1"/>
  <c r="BT48" i="1"/>
  <c r="BT62" i="1" s="1"/>
  <c r="AS48" i="1"/>
  <c r="AS62" i="1" s="1"/>
  <c r="D268" i="9"/>
  <c r="AF48" i="1"/>
  <c r="AF62" i="1" s="1"/>
  <c r="BB48" i="1"/>
  <c r="BB62" i="1" s="1"/>
  <c r="I48" i="1"/>
  <c r="I62" i="1" s="1"/>
  <c r="BM48" i="1"/>
  <c r="BM62" i="1" s="1"/>
  <c r="M48" i="1"/>
  <c r="M62" i="1" s="1"/>
  <c r="F612" i="1"/>
  <c r="C430" i="1"/>
  <c r="AJ48" i="1"/>
  <c r="AJ62" i="1" s="1"/>
  <c r="BF48" i="1"/>
  <c r="BF62" i="1" s="1"/>
  <c r="AA48" i="1"/>
  <c r="AA62" i="1" s="1"/>
  <c r="F108" i="9" s="1"/>
  <c r="BU48" i="1"/>
  <c r="BU62" i="1" s="1"/>
  <c r="AU48" i="1"/>
  <c r="AU62" i="1" s="1"/>
  <c r="C154" i="9"/>
  <c r="I362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C110" i="8" l="1"/>
  <c r="C389" i="1"/>
  <c r="E12" i="9"/>
  <c r="H204" i="9"/>
  <c r="D364" i="9"/>
  <c r="B437" i="1"/>
  <c r="B436" i="1"/>
  <c r="B438" i="1"/>
  <c r="B435" i="1"/>
  <c r="B434" i="1"/>
  <c r="B432" i="1"/>
  <c r="B431" i="1"/>
  <c r="B430" i="1"/>
  <c r="B429" i="1"/>
  <c r="B428" i="1"/>
  <c r="B427" i="1"/>
  <c r="D372" i="1"/>
  <c r="C125" i="8" s="1"/>
  <c r="B458" i="1"/>
  <c r="C447" i="1"/>
  <c r="C445" i="1"/>
  <c r="D367" i="1"/>
  <c r="C444" i="1"/>
  <c r="B464" i="1"/>
  <c r="D361" i="1"/>
  <c r="C112" i="8" s="1"/>
  <c r="B463" i="1"/>
  <c r="G332" i="9"/>
  <c r="I76" i="9"/>
  <c r="F12" i="9"/>
  <c r="D236" i="9"/>
  <c r="H44" i="9"/>
  <c r="C108" i="9"/>
  <c r="E236" i="9"/>
  <c r="E172" i="9"/>
  <c r="G140" i="9"/>
  <c r="I236" i="9"/>
  <c r="F300" i="9"/>
  <c r="C172" i="9"/>
  <c r="F268" i="9"/>
  <c r="I108" i="9"/>
  <c r="G204" i="9"/>
  <c r="F140" i="9"/>
  <c r="H172" i="9"/>
  <c r="F44" i="9"/>
  <c r="C300" i="9"/>
  <c r="G44" i="9"/>
  <c r="H76" i="9"/>
  <c r="D332" i="9"/>
  <c r="G300" i="9"/>
  <c r="E268" i="9"/>
  <c r="I204" i="9"/>
  <c r="G172" i="9"/>
  <c r="D108" i="9"/>
  <c r="BP52" i="1"/>
  <c r="BP67" i="1" s="1"/>
  <c r="W52" i="1"/>
  <c r="W67" i="1" s="1"/>
  <c r="BJ52" i="1"/>
  <c r="BJ67" i="1" s="1"/>
  <c r="H52" i="1"/>
  <c r="H67" i="1" s="1"/>
  <c r="AH52" i="1"/>
  <c r="AH67" i="1" s="1"/>
  <c r="F145" i="9" s="1"/>
  <c r="D52" i="1"/>
  <c r="D67" i="1" s="1"/>
  <c r="AY52" i="1"/>
  <c r="AY67" i="1" s="1"/>
  <c r="BM52" i="1"/>
  <c r="BM67" i="1" s="1"/>
  <c r="BV52" i="1"/>
  <c r="BV67" i="1" s="1"/>
  <c r="D465" i="1"/>
  <c r="AA52" i="1"/>
  <c r="AA67" i="1" s="1"/>
  <c r="CB52" i="1"/>
  <c r="CB67" i="1" s="1"/>
  <c r="BD52" i="1"/>
  <c r="BD67" i="1" s="1"/>
  <c r="AU52" i="1"/>
  <c r="AU67" i="1" s="1"/>
  <c r="AP52" i="1"/>
  <c r="AP67" i="1" s="1"/>
  <c r="BY52" i="1"/>
  <c r="BY67" i="1" s="1"/>
  <c r="U52" i="1"/>
  <c r="U67" i="1" s="1"/>
  <c r="E52" i="1"/>
  <c r="E67" i="1" s="1"/>
  <c r="BX52" i="1"/>
  <c r="BX67" i="1" s="1"/>
  <c r="F337" i="9" s="1"/>
  <c r="K52" i="1"/>
  <c r="K67" i="1" s="1"/>
  <c r="M52" i="1"/>
  <c r="M67" i="1" s="1"/>
  <c r="F52" i="1"/>
  <c r="F67" i="1" s="1"/>
  <c r="AG52" i="1"/>
  <c r="AG67" i="1" s="1"/>
  <c r="E145" i="9" s="1"/>
  <c r="AS52" i="1"/>
  <c r="AS67" i="1" s="1"/>
  <c r="AR52" i="1"/>
  <c r="AR67" i="1" s="1"/>
  <c r="AK52" i="1"/>
  <c r="AK67" i="1" s="1"/>
  <c r="BR52" i="1"/>
  <c r="BR67" i="1" s="1"/>
  <c r="G52" i="1"/>
  <c r="G67" i="1" s="1"/>
  <c r="BN52" i="1"/>
  <c r="BN67" i="1" s="1"/>
  <c r="BQ52" i="1"/>
  <c r="BQ67" i="1" s="1"/>
  <c r="Y52" i="1"/>
  <c r="Y67" i="1" s="1"/>
  <c r="BW52" i="1"/>
  <c r="BW67" i="1" s="1"/>
  <c r="T52" i="1"/>
  <c r="T67" i="1" s="1"/>
  <c r="F81" i="9" s="1"/>
  <c r="AF52" i="1"/>
  <c r="AF67" i="1" s="1"/>
  <c r="AV52" i="1"/>
  <c r="AV67" i="1" s="1"/>
  <c r="AN52" i="1"/>
  <c r="AN67" i="1" s="1"/>
  <c r="AX52" i="1"/>
  <c r="AX67" i="1" s="1"/>
  <c r="BF52" i="1"/>
  <c r="BF67" i="1" s="1"/>
  <c r="BE52" i="1"/>
  <c r="BE67" i="1" s="1"/>
  <c r="AW52" i="1"/>
  <c r="AW67" i="1" s="1"/>
  <c r="AM52" i="1"/>
  <c r="AM67" i="1" s="1"/>
  <c r="AB52" i="1"/>
  <c r="AB67" i="1" s="1"/>
  <c r="AO52" i="1"/>
  <c r="AO67" i="1" s="1"/>
  <c r="F177" i="9" s="1"/>
  <c r="AT52" i="1"/>
  <c r="AT67" i="1" s="1"/>
  <c r="X52" i="1"/>
  <c r="X67" i="1" s="1"/>
  <c r="Z52" i="1"/>
  <c r="Z67" i="1" s="1"/>
  <c r="AE52" i="1"/>
  <c r="AE67" i="1" s="1"/>
  <c r="C145" i="9" s="1"/>
  <c r="BO52" i="1"/>
  <c r="BO67" i="1" s="1"/>
  <c r="CC52" i="1"/>
  <c r="CC67" i="1" s="1"/>
  <c r="AQ52" i="1"/>
  <c r="AQ67" i="1" s="1"/>
  <c r="Q52" i="1"/>
  <c r="Q67" i="1" s="1"/>
  <c r="P52" i="1"/>
  <c r="P67" i="1" s="1"/>
  <c r="P71" i="1" s="1"/>
  <c r="O52" i="1"/>
  <c r="O67" i="1" s="1"/>
  <c r="AZ52" i="1"/>
  <c r="AZ67" i="1" s="1"/>
  <c r="BH52" i="1"/>
  <c r="BH67" i="1" s="1"/>
  <c r="AD52" i="1"/>
  <c r="AD67" i="1" s="1"/>
  <c r="N52" i="1"/>
  <c r="N67" i="1" s="1"/>
  <c r="J52" i="1"/>
  <c r="J67" i="1" s="1"/>
  <c r="BU52" i="1"/>
  <c r="BU67" i="1" s="1"/>
  <c r="AL52" i="1"/>
  <c r="AL67" i="1" s="1"/>
  <c r="BL52" i="1"/>
  <c r="BL67" i="1" s="1"/>
  <c r="BS52" i="1"/>
  <c r="BS67" i="1" s="1"/>
  <c r="AC52" i="1"/>
  <c r="AC67" i="1" s="1"/>
  <c r="BT52" i="1"/>
  <c r="BT67" i="1" s="1"/>
  <c r="BB52" i="1"/>
  <c r="BB67" i="1" s="1"/>
  <c r="E241" i="9" s="1"/>
  <c r="AJ52" i="1"/>
  <c r="AJ67" i="1" s="1"/>
  <c r="H145" i="9" s="1"/>
  <c r="I52" i="1"/>
  <c r="I67" i="1" s="1"/>
  <c r="R52" i="1"/>
  <c r="R67" i="1" s="1"/>
  <c r="BA52" i="1"/>
  <c r="BA67" i="1" s="1"/>
  <c r="BC52" i="1"/>
  <c r="BC67" i="1" s="1"/>
  <c r="CA52" i="1"/>
  <c r="CA67" i="1" s="1"/>
  <c r="BI52" i="1"/>
  <c r="BI67" i="1" s="1"/>
  <c r="V52" i="1"/>
  <c r="V67" i="1" s="1"/>
  <c r="C67" i="1"/>
  <c r="C17" i="9" s="1"/>
  <c r="D339" i="1"/>
  <c r="C482" i="1" s="1"/>
  <c r="AI52" i="1"/>
  <c r="AI67" i="1" s="1"/>
  <c r="L52" i="1"/>
  <c r="L67" i="1" s="1"/>
  <c r="BG52" i="1"/>
  <c r="BG67" i="1" s="1"/>
  <c r="BZ52" i="1"/>
  <c r="BZ67" i="1" s="1"/>
  <c r="BZ71" i="1" s="1"/>
  <c r="BK52" i="1"/>
  <c r="BK67" i="1" s="1"/>
  <c r="BK71" i="1" s="1"/>
  <c r="S52" i="1"/>
  <c r="S67" i="1" s="1"/>
  <c r="S71" i="1" s="1"/>
  <c r="E108" i="9"/>
  <c r="D140" i="9"/>
  <c r="I172" i="9"/>
  <c r="C332" i="9"/>
  <c r="I140" i="9"/>
  <c r="G108" i="9"/>
  <c r="D172" i="9"/>
  <c r="C236" i="9"/>
  <c r="E140" i="9"/>
  <c r="C204" i="9"/>
  <c r="F236" i="9"/>
  <c r="F332" i="9"/>
  <c r="D76" i="9"/>
  <c r="H12" i="9"/>
  <c r="C268" i="9"/>
  <c r="H140" i="9"/>
  <c r="H268" i="9"/>
  <c r="I44" i="9"/>
  <c r="G236" i="9"/>
  <c r="G268" i="9"/>
  <c r="I268" i="9"/>
  <c r="I300" i="9"/>
  <c r="F204" i="9"/>
  <c r="C140" i="9"/>
  <c r="H236" i="9"/>
  <c r="C62" i="1"/>
  <c r="CE48" i="1"/>
  <c r="D204" i="9"/>
  <c r="I12" i="9"/>
  <c r="E44" i="9"/>
  <c r="C44" i="9"/>
  <c r="G76" i="9"/>
  <c r="D44" i="9"/>
  <c r="E76" i="9"/>
  <c r="E204" i="9"/>
  <c r="H332" i="9"/>
  <c r="I332" i="9"/>
  <c r="H300" i="9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B439" i="1" l="1"/>
  <c r="B440" i="1" s="1"/>
  <c r="C140" i="8"/>
  <c r="C369" i="9"/>
  <c r="G241" i="9"/>
  <c r="F49" i="9"/>
  <c r="D17" i="9"/>
  <c r="G305" i="9"/>
  <c r="C448" i="1"/>
  <c r="C119" i="8"/>
  <c r="D368" i="1"/>
  <c r="B465" i="1"/>
  <c r="C102" i="8"/>
  <c r="F17" i="9"/>
  <c r="I145" i="9"/>
  <c r="G17" i="9"/>
  <c r="E209" i="9"/>
  <c r="I241" i="9"/>
  <c r="F305" i="9"/>
  <c r="I209" i="9"/>
  <c r="C209" i="9"/>
  <c r="H209" i="9"/>
  <c r="F113" i="9"/>
  <c r="C305" i="9"/>
  <c r="CE52" i="1"/>
  <c r="E49" i="9"/>
  <c r="I17" i="9"/>
  <c r="H49" i="9"/>
  <c r="G145" i="9"/>
  <c r="C177" i="9"/>
  <c r="H305" i="9"/>
  <c r="C49" i="9"/>
  <c r="D177" i="9"/>
  <c r="G49" i="9"/>
  <c r="H177" i="9"/>
  <c r="E177" i="9"/>
  <c r="H17" i="9"/>
  <c r="I177" i="9"/>
  <c r="H81" i="9"/>
  <c r="AO71" i="1"/>
  <c r="F181" i="9" s="1"/>
  <c r="BD71" i="1"/>
  <c r="C624" i="1" s="1"/>
  <c r="AH71" i="1"/>
  <c r="C699" i="1" s="1"/>
  <c r="D369" i="9"/>
  <c r="I337" i="9"/>
  <c r="G337" i="9"/>
  <c r="E337" i="9"/>
  <c r="D337" i="9"/>
  <c r="C337" i="9"/>
  <c r="I305" i="9"/>
  <c r="E305" i="9"/>
  <c r="D305" i="9"/>
  <c r="BN71" i="1"/>
  <c r="C619" i="1" s="1"/>
  <c r="I273" i="9"/>
  <c r="H273" i="9"/>
  <c r="F273" i="9"/>
  <c r="E273" i="9"/>
  <c r="D273" i="9"/>
  <c r="C273" i="9"/>
  <c r="H241" i="9"/>
  <c r="F241" i="9"/>
  <c r="D241" i="9"/>
  <c r="C241" i="9"/>
  <c r="AY71" i="1"/>
  <c r="C544" i="1" s="1"/>
  <c r="G544" i="1" s="1"/>
  <c r="G209" i="9"/>
  <c r="F209" i="9"/>
  <c r="D209" i="9"/>
  <c r="G177" i="9"/>
  <c r="D145" i="9"/>
  <c r="I113" i="9"/>
  <c r="H113" i="9"/>
  <c r="G113" i="9"/>
  <c r="E113" i="9"/>
  <c r="D113" i="9"/>
  <c r="C113" i="9"/>
  <c r="I81" i="9"/>
  <c r="G81" i="9"/>
  <c r="D81" i="9"/>
  <c r="C81" i="9"/>
  <c r="D49" i="9"/>
  <c r="E17" i="9"/>
  <c r="K71" i="1"/>
  <c r="D53" i="9" s="1"/>
  <c r="G71" i="1"/>
  <c r="C672" i="1" s="1"/>
  <c r="M71" i="1"/>
  <c r="C678" i="1" s="1"/>
  <c r="J71" i="1"/>
  <c r="C675" i="1" s="1"/>
  <c r="D71" i="1"/>
  <c r="C669" i="1" s="1"/>
  <c r="BX71" i="1"/>
  <c r="C569" i="1" s="1"/>
  <c r="AZ71" i="1"/>
  <c r="C628" i="1" s="1"/>
  <c r="BF71" i="1"/>
  <c r="I245" i="9" s="1"/>
  <c r="AF71" i="1"/>
  <c r="C525" i="1" s="1"/>
  <c r="G525" i="1" s="1"/>
  <c r="BE71" i="1"/>
  <c r="C550" i="1" s="1"/>
  <c r="BM71" i="1"/>
  <c r="C558" i="1" s="1"/>
  <c r="AG71" i="1"/>
  <c r="C526" i="1" s="1"/>
  <c r="G526" i="1" s="1"/>
  <c r="BL71" i="1"/>
  <c r="C637" i="1" s="1"/>
  <c r="BW71" i="1"/>
  <c r="C568" i="1" s="1"/>
  <c r="BV71" i="1"/>
  <c r="C642" i="1" s="1"/>
  <c r="BP71" i="1"/>
  <c r="E309" i="9" s="1"/>
  <c r="AS71" i="1"/>
  <c r="C710" i="1" s="1"/>
  <c r="BY71" i="1"/>
  <c r="C570" i="1" s="1"/>
  <c r="BR71" i="1"/>
  <c r="C626" i="1" s="1"/>
  <c r="AV71" i="1"/>
  <c r="C713" i="1" s="1"/>
  <c r="R71" i="1"/>
  <c r="C683" i="1" s="1"/>
  <c r="CC71" i="1"/>
  <c r="C574" i="1" s="1"/>
  <c r="BG71" i="1"/>
  <c r="C552" i="1" s="1"/>
  <c r="AA71" i="1"/>
  <c r="C692" i="1" s="1"/>
  <c r="BS71" i="1"/>
  <c r="C639" i="1" s="1"/>
  <c r="E71" i="1"/>
  <c r="C498" i="1" s="1"/>
  <c r="G498" i="1" s="1"/>
  <c r="I71" i="1"/>
  <c r="C674" i="1" s="1"/>
  <c r="AB71" i="1"/>
  <c r="C693" i="1" s="1"/>
  <c r="BT71" i="1"/>
  <c r="C640" i="1" s="1"/>
  <c r="AK71" i="1"/>
  <c r="C530" i="1" s="1"/>
  <c r="G530" i="1" s="1"/>
  <c r="AJ71" i="1"/>
  <c r="C701" i="1" s="1"/>
  <c r="AP71" i="1"/>
  <c r="C535" i="1" s="1"/>
  <c r="G535" i="1" s="1"/>
  <c r="L71" i="1"/>
  <c r="C505" i="1" s="1"/>
  <c r="G505" i="1" s="1"/>
  <c r="CA71" i="1"/>
  <c r="C647" i="1" s="1"/>
  <c r="BU71" i="1"/>
  <c r="C566" i="1" s="1"/>
  <c r="U71" i="1"/>
  <c r="C514" i="1" s="1"/>
  <c r="G514" i="1" s="1"/>
  <c r="AR71" i="1"/>
  <c r="C709" i="1" s="1"/>
  <c r="O71" i="1"/>
  <c r="C680" i="1" s="1"/>
  <c r="W71" i="1"/>
  <c r="C516" i="1" s="1"/>
  <c r="G516" i="1" s="1"/>
  <c r="AM71" i="1"/>
  <c r="C704" i="1" s="1"/>
  <c r="AE71" i="1"/>
  <c r="C524" i="1" s="1"/>
  <c r="Z71" i="1"/>
  <c r="E117" i="9" s="1"/>
  <c r="BC71" i="1"/>
  <c r="C548" i="1" s="1"/>
  <c r="BB71" i="1"/>
  <c r="C632" i="1" s="1"/>
  <c r="AW71" i="1"/>
  <c r="C542" i="1" s="1"/>
  <c r="Y71" i="1"/>
  <c r="BJ71" i="1"/>
  <c r="F277" i="9" s="1"/>
  <c r="AI71" i="1"/>
  <c r="C700" i="1" s="1"/>
  <c r="H71" i="1"/>
  <c r="H21" i="9" s="1"/>
  <c r="CB71" i="1"/>
  <c r="C573" i="1" s="1"/>
  <c r="BH71" i="1"/>
  <c r="C553" i="1" s="1"/>
  <c r="Q71" i="1"/>
  <c r="C85" i="9" s="1"/>
  <c r="BO71" i="1"/>
  <c r="D309" i="9" s="1"/>
  <c r="V71" i="1"/>
  <c r="H85" i="9" s="1"/>
  <c r="AC71" i="1"/>
  <c r="C522" i="1" s="1"/>
  <c r="G522" i="1" s="1"/>
  <c r="N71" i="1"/>
  <c r="G53" i="9" s="1"/>
  <c r="BQ71" i="1"/>
  <c r="F309" i="9" s="1"/>
  <c r="AD71" i="1"/>
  <c r="I117" i="9" s="1"/>
  <c r="AL71" i="1"/>
  <c r="C703" i="1" s="1"/>
  <c r="T71" i="1"/>
  <c r="F85" i="9" s="1"/>
  <c r="AT71" i="1"/>
  <c r="D213" i="9" s="1"/>
  <c r="F71" i="1"/>
  <c r="AU71" i="1"/>
  <c r="E213" i="9" s="1"/>
  <c r="BA71" i="1"/>
  <c r="D245" i="9" s="1"/>
  <c r="BI71" i="1"/>
  <c r="C634" i="1" s="1"/>
  <c r="AQ71" i="1"/>
  <c r="C536" i="1" s="1"/>
  <c r="G536" i="1" s="1"/>
  <c r="AX71" i="1"/>
  <c r="C616" i="1" s="1"/>
  <c r="AN71" i="1"/>
  <c r="E181" i="9" s="1"/>
  <c r="X71" i="1"/>
  <c r="C117" i="9" s="1"/>
  <c r="I49" i="9"/>
  <c r="CE67" i="1"/>
  <c r="E81" i="9"/>
  <c r="G273" i="9"/>
  <c r="H337" i="9"/>
  <c r="E85" i="9"/>
  <c r="C512" i="1"/>
  <c r="G512" i="1" s="1"/>
  <c r="C684" i="1"/>
  <c r="C71" i="1"/>
  <c r="C12" i="9"/>
  <c r="CE62" i="1"/>
  <c r="I53" i="9"/>
  <c r="C681" i="1"/>
  <c r="C509" i="1"/>
  <c r="G509" i="1" s="1"/>
  <c r="C571" i="1"/>
  <c r="C646" i="1"/>
  <c r="H341" i="9"/>
  <c r="G277" i="9"/>
  <c r="C635" i="1"/>
  <c r="C556" i="1"/>
  <c r="F511" i="1"/>
  <c r="B496" i="1"/>
  <c r="F522" i="1"/>
  <c r="F510" i="1"/>
  <c r="F513" i="1"/>
  <c r="F538" i="1"/>
  <c r="H538" i="1"/>
  <c r="F534" i="1"/>
  <c r="H534" i="1"/>
  <c r="H502" i="1"/>
  <c r="F502" i="1"/>
  <c r="F504" i="1"/>
  <c r="H530" i="1"/>
  <c r="F530" i="1"/>
  <c r="F512" i="1"/>
  <c r="F526" i="1"/>
  <c r="F503" i="1"/>
  <c r="H503" i="1"/>
  <c r="H508" i="1"/>
  <c r="F508" i="1"/>
  <c r="F514" i="1"/>
  <c r="F507" i="1"/>
  <c r="F518" i="1"/>
  <c r="F546" i="1"/>
  <c r="F506" i="1"/>
  <c r="H506" i="1"/>
  <c r="H500" i="1"/>
  <c r="F500" i="1"/>
  <c r="F509" i="1"/>
  <c r="I369" i="9" l="1"/>
  <c r="C384" i="1"/>
  <c r="C135" i="8" s="1"/>
  <c r="C120" i="8"/>
  <c r="D373" i="1"/>
  <c r="H53" i="9"/>
  <c r="I149" i="9"/>
  <c r="C53" i="9"/>
  <c r="C706" i="1"/>
  <c r="G21" i="9"/>
  <c r="I21" i="9"/>
  <c r="F53" i="9"/>
  <c r="D21" i="9"/>
  <c r="F149" i="9"/>
  <c r="D181" i="9"/>
  <c r="H544" i="1"/>
  <c r="G245" i="9"/>
  <c r="I213" i="9"/>
  <c r="C549" i="1"/>
  <c r="D341" i="9"/>
  <c r="C559" i="1"/>
  <c r="C309" i="9"/>
  <c r="C534" i="1"/>
  <c r="G534" i="1" s="1"/>
  <c r="E53" i="9"/>
  <c r="C213" i="9"/>
  <c r="H309" i="9"/>
  <c r="C500" i="1"/>
  <c r="G500" i="1" s="1"/>
  <c r="C497" i="1"/>
  <c r="G497" i="1" s="1"/>
  <c r="C527" i="1"/>
  <c r="G527" i="1" s="1"/>
  <c r="C625" i="1"/>
  <c r="G309" i="9"/>
  <c r="C504" i="1"/>
  <c r="G504" i="1" s="1"/>
  <c r="C676" i="1"/>
  <c r="C503" i="1"/>
  <c r="G503" i="1" s="1"/>
  <c r="I277" i="9"/>
  <c r="D373" i="9"/>
  <c r="F341" i="9"/>
  <c r="E341" i="9"/>
  <c r="C341" i="9"/>
  <c r="C277" i="9"/>
  <c r="E245" i="9"/>
  <c r="C245" i="9"/>
  <c r="H149" i="9"/>
  <c r="D149" i="9"/>
  <c r="F117" i="9"/>
  <c r="I85" i="9"/>
  <c r="E21" i="9"/>
  <c r="C506" i="1"/>
  <c r="G506" i="1" s="1"/>
  <c r="C545" i="1"/>
  <c r="G545" i="1" s="1"/>
  <c r="C697" i="1"/>
  <c r="C629" i="1"/>
  <c r="C694" i="1"/>
  <c r="C618" i="1"/>
  <c r="H277" i="9"/>
  <c r="I181" i="9"/>
  <c r="I309" i="9"/>
  <c r="F245" i="9"/>
  <c r="I341" i="9"/>
  <c r="G341" i="9"/>
  <c r="H245" i="9"/>
  <c r="G213" i="9"/>
  <c r="F213" i="9"/>
  <c r="G181" i="9"/>
  <c r="E149" i="9"/>
  <c r="C149" i="9"/>
  <c r="G117" i="9"/>
  <c r="G85" i="9"/>
  <c r="D85" i="9"/>
  <c r="C638" i="1"/>
  <c r="C614" i="1"/>
  <c r="D615" i="1" s="1"/>
  <c r="C644" i="1"/>
  <c r="C557" i="1"/>
  <c r="C698" i="1"/>
  <c r="C702" i="1"/>
  <c r="C643" i="1"/>
  <c r="C621" i="1"/>
  <c r="C561" i="1"/>
  <c r="C551" i="1"/>
  <c r="C620" i="1"/>
  <c r="C641" i="1"/>
  <c r="C538" i="1"/>
  <c r="G538" i="1" s="1"/>
  <c r="C677" i="1"/>
  <c r="C529" i="1"/>
  <c r="G529" i="1" s="1"/>
  <c r="C567" i="1"/>
  <c r="C532" i="1"/>
  <c r="G532" i="1" s="1"/>
  <c r="H516" i="1"/>
  <c r="C520" i="1"/>
  <c r="G520" i="1" s="1"/>
  <c r="H522" i="1"/>
  <c r="C633" i="1"/>
  <c r="C572" i="1"/>
  <c r="C502" i="1"/>
  <c r="G502" i="1" s="1"/>
  <c r="H498" i="1"/>
  <c r="C645" i="1"/>
  <c r="C511" i="1"/>
  <c r="G511" i="1" s="1"/>
  <c r="C537" i="1"/>
  <c r="G537" i="1" s="1"/>
  <c r="C686" i="1"/>
  <c r="C631" i="1"/>
  <c r="C565" i="1"/>
  <c r="C547" i="1"/>
  <c r="C521" i="1"/>
  <c r="G521" i="1" s="1"/>
  <c r="C541" i="1"/>
  <c r="C563" i="1"/>
  <c r="C696" i="1"/>
  <c r="C691" i="1"/>
  <c r="C564" i="1"/>
  <c r="C670" i="1"/>
  <c r="C508" i="1"/>
  <c r="G508" i="1" s="1"/>
  <c r="C707" i="1"/>
  <c r="C519" i="1"/>
  <c r="G519" i="1" s="1"/>
  <c r="C688" i="1"/>
  <c r="C528" i="1"/>
  <c r="G528" i="1" s="1"/>
  <c r="C554" i="1"/>
  <c r="D277" i="9"/>
  <c r="C373" i="9"/>
  <c r="H181" i="9"/>
  <c r="E277" i="9"/>
  <c r="C181" i="9"/>
  <c r="H213" i="9"/>
  <c r="G149" i="9"/>
  <c r="H117" i="9"/>
  <c r="C501" i="1"/>
  <c r="G501" i="1" s="1"/>
  <c r="C673" i="1"/>
  <c r="C531" i="1"/>
  <c r="G531" i="1" s="1"/>
  <c r="C708" i="1"/>
  <c r="C622" i="1"/>
  <c r="C636" i="1"/>
  <c r="C617" i="1"/>
  <c r="C555" i="1"/>
  <c r="D117" i="9"/>
  <c r="C690" i="1"/>
  <c r="C518" i="1"/>
  <c r="C630" i="1"/>
  <c r="C546" i="1"/>
  <c r="C623" i="1"/>
  <c r="C562" i="1"/>
  <c r="C540" i="1"/>
  <c r="G540" i="1" s="1"/>
  <c r="C712" i="1"/>
  <c r="C507" i="1"/>
  <c r="C679" i="1"/>
  <c r="F21" i="9"/>
  <c r="C671" i="1"/>
  <c r="C499" i="1"/>
  <c r="G499" i="1" s="1"/>
  <c r="C689" i="1"/>
  <c r="C517" i="1"/>
  <c r="C711" i="1"/>
  <c r="C539" i="1"/>
  <c r="G539" i="1" s="1"/>
  <c r="C687" i="1"/>
  <c r="C515" i="1"/>
  <c r="G515" i="1" s="1"/>
  <c r="C533" i="1"/>
  <c r="G533" i="1" s="1"/>
  <c r="C705" i="1"/>
  <c r="C685" i="1"/>
  <c r="C513" i="1"/>
  <c r="C627" i="1"/>
  <c r="C560" i="1"/>
  <c r="C510" i="1"/>
  <c r="C682" i="1"/>
  <c r="C543" i="1"/>
  <c r="C523" i="1"/>
  <c r="G523" i="1" s="1"/>
  <c r="C695" i="1"/>
  <c r="H514" i="1"/>
  <c r="C433" i="1"/>
  <c r="H526" i="1"/>
  <c r="H512" i="1"/>
  <c r="H509" i="1"/>
  <c r="G524" i="1"/>
  <c r="H524" i="1" s="1"/>
  <c r="I364" i="9"/>
  <c r="C428" i="1"/>
  <c r="CE71" i="1"/>
  <c r="I373" i="9" s="1"/>
  <c r="C496" i="1"/>
  <c r="G496" i="1" s="1"/>
  <c r="C668" i="1"/>
  <c r="C21" i="9"/>
  <c r="G550" i="1"/>
  <c r="H550" i="1" s="1"/>
  <c r="F496" i="1"/>
  <c r="F545" i="1"/>
  <c r="F525" i="1"/>
  <c r="H525" i="1" s="1"/>
  <c r="F529" i="1"/>
  <c r="F521" i="1"/>
  <c r="F535" i="1"/>
  <c r="H535" i="1" s="1"/>
  <c r="H533" i="1"/>
  <c r="F533" i="1"/>
  <c r="H527" i="1"/>
  <c r="F527" i="1"/>
  <c r="F539" i="1"/>
  <c r="F519" i="1"/>
  <c r="F523" i="1"/>
  <c r="F537" i="1"/>
  <c r="H537" i="1"/>
  <c r="F531" i="1"/>
  <c r="H531" i="1"/>
  <c r="B433" i="1" l="1"/>
  <c r="D390" i="1"/>
  <c r="C126" i="8"/>
  <c r="H504" i="1"/>
  <c r="H545" i="1"/>
  <c r="H539" i="1"/>
  <c r="C648" i="1"/>
  <c r="M716" i="1" s="1"/>
  <c r="H529" i="1"/>
  <c r="H511" i="1"/>
  <c r="H523" i="1"/>
  <c r="H520" i="1"/>
  <c r="H521" i="1"/>
  <c r="H519" i="1"/>
  <c r="C441" i="1"/>
  <c r="G518" i="1"/>
  <c r="H518" i="1" s="1"/>
  <c r="G510" i="1"/>
  <c r="H510" i="1" s="1"/>
  <c r="G507" i="1"/>
  <c r="H507" i="1"/>
  <c r="G513" i="1"/>
  <c r="H513" i="1" s="1"/>
  <c r="G517" i="1"/>
  <c r="H517" i="1" s="1"/>
  <c r="G546" i="1"/>
  <c r="H546" i="1"/>
  <c r="H496" i="1"/>
  <c r="D671" i="1"/>
  <c r="D634" i="1"/>
  <c r="D638" i="1"/>
  <c r="D703" i="1"/>
  <c r="D670" i="1"/>
  <c r="D627" i="1"/>
  <c r="D621" i="1"/>
  <c r="D712" i="1"/>
  <c r="D678" i="1"/>
  <c r="D644" i="1"/>
  <c r="D697" i="1"/>
  <c r="D637" i="1"/>
  <c r="D635" i="1"/>
  <c r="D672" i="1"/>
  <c r="D626" i="1"/>
  <c r="D641" i="1"/>
  <c r="D633" i="1"/>
  <c r="D646" i="1"/>
  <c r="D708" i="1"/>
  <c r="D688" i="1"/>
  <c r="D679" i="1"/>
  <c r="D693" i="1"/>
  <c r="D618" i="1"/>
  <c r="D645" i="1"/>
  <c r="D676" i="1"/>
  <c r="D690" i="1"/>
  <c r="D687" i="1"/>
  <c r="D692" i="1"/>
  <c r="D622" i="1"/>
  <c r="D700" i="1"/>
  <c r="D623" i="1"/>
  <c r="D686" i="1"/>
  <c r="D699" i="1"/>
  <c r="D675" i="1"/>
  <c r="D630" i="1"/>
  <c r="D682" i="1"/>
  <c r="D639" i="1"/>
  <c r="D684" i="1"/>
  <c r="D642" i="1"/>
  <c r="D674" i="1"/>
  <c r="D716" i="1"/>
  <c r="D709" i="1"/>
  <c r="D636" i="1"/>
  <c r="D702" i="1"/>
  <c r="D713" i="1"/>
  <c r="D698" i="1"/>
  <c r="D616" i="1"/>
  <c r="D711" i="1"/>
  <c r="D632" i="1"/>
  <c r="D629" i="1"/>
  <c r="D620" i="1"/>
  <c r="D669" i="1"/>
  <c r="D691" i="1"/>
  <c r="D673" i="1"/>
  <c r="D677" i="1"/>
  <c r="D640" i="1"/>
  <c r="D689" i="1"/>
  <c r="D701" i="1"/>
  <c r="D696" i="1"/>
  <c r="D628" i="1"/>
  <c r="D631" i="1"/>
  <c r="D617" i="1"/>
  <c r="D707" i="1"/>
  <c r="D647" i="1"/>
  <c r="D710" i="1"/>
  <c r="D668" i="1"/>
  <c r="D680" i="1"/>
  <c r="D643" i="1"/>
  <c r="D619" i="1"/>
  <c r="D695" i="1"/>
  <c r="D683" i="1"/>
  <c r="D624" i="1"/>
  <c r="D625" i="1"/>
  <c r="D681" i="1"/>
  <c r="D704" i="1"/>
  <c r="D705" i="1"/>
  <c r="D706" i="1"/>
  <c r="D685" i="1"/>
  <c r="D694" i="1"/>
  <c r="C715" i="1"/>
  <c r="C716" i="1"/>
  <c r="B441" i="1" l="1"/>
  <c r="C141" i="8"/>
  <c r="D391" i="1"/>
  <c r="D393" i="1" s="1"/>
  <c r="E623" i="1"/>
  <c r="E716" i="1" s="1"/>
  <c r="E612" i="1"/>
  <c r="D715" i="1"/>
  <c r="C142" i="8" l="1"/>
  <c r="C146" i="8"/>
  <c r="D396" i="1"/>
  <c r="C151" i="8" s="1"/>
  <c r="E635" i="1"/>
  <c r="E636" i="1"/>
  <c r="E677" i="1"/>
  <c r="E684" i="1"/>
  <c r="E680" i="1"/>
  <c r="E629" i="1"/>
  <c r="E703" i="1"/>
  <c r="E669" i="1"/>
  <c r="E686" i="1"/>
  <c r="E627" i="1"/>
  <c r="E672" i="1"/>
  <c r="E633" i="1"/>
  <c r="E695" i="1"/>
  <c r="E640" i="1"/>
  <c r="E682" i="1"/>
  <c r="E691" i="1"/>
  <c r="E624" i="1"/>
  <c r="F624" i="1" s="1"/>
  <c r="E692" i="1"/>
  <c r="E632" i="1"/>
  <c r="E637" i="1"/>
  <c r="E671" i="1"/>
  <c r="E678" i="1"/>
  <c r="E711" i="1"/>
  <c r="E668" i="1"/>
  <c r="E674" i="1"/>
  <c r="E626" i="1"/>
  <c r="E693" i="1"/>
  <c r="E628" i="1"/>
  <c r="E670" i="1"/>
  <c r="E638" i="1"/>
  <c r="E701" i="1"/>
  <c r="E713" i="1"/>
  <c r="E673" i="1"/>
  <c r="E697" i="1"/>
  <c r="E639" i="1"/>
  <c r="E700" i="1"/>
  <c r="E704" i="1"/>
  <c r="E643" i="1"/>
  <c r="E702" i="1"/>
  <c r="E706" i="1"/>
  <c r="E642" i="1"/>
  <c r="E705" i="1"/>
  <c r="E679" i="1"/>
  <c r="E630" i="1"/>
  <c r="E644" i="1"/>
  <c r="E645" i="1"/>
  <c r="E708" i="1"/>
  <c r="E625" i="1"/>
  <c r="E689" i="1"/>
  <c r="E646" i="1"/>
  <c r="E683" i="1"/>
  <c r="E698" i="1"/>
  <c r="E676" i="1"/>
  <c r="E690" i="1"/>
  <c r="E681" i="1"/>
  <c r="E696" i="1"/>
  <c r="E685" i="1"/>
  <c r="E641" i="1"/>
  <c r="E707" i="1"/>
  <c r="E699" i="1"/>
  <c r="E631" i="1"/>
  <c r="E712" i="1"/>
  <c r="E675" i="1"/>
  <c r="E709" i="1"/>
  <c r="E647" i="1"/>
  <c r="E710" i="1"/>
  <c r="E688" i="1"/>
  <c r="E694" i="1"/>
  <c r="E634" i="1"/>
  <c r="E687" i="1"/>
  <c r="F627" i="1" l="1"/>
  <c r="F688" i="1"/>
  <c r="F637" i="1"/>
  <c r="F643" i="1"/>
  <c r="F690" i="1"/>
  <c r="F630" i="1"/>
  <c r="F692" i="1"/>
  <c r="F706" i="1"/>
  <c r="F638" i="1"/>
  <c r="F679" i="1"/>
  <c r="F641" i="1"/>
  <c r="F684" i="1"/>
  <c r="F634" i="1"/>
  <c r="F644" i="1"/>
  <c r="F629" i="1"/>
  <c r="F698" i="1"/>
  <c r="F683" i="1"/>
  <c r="F693" i="1"/>
  <c r="F645" i="1"/>
  <c r="F707" i="1"/>
  <c r="F639" i="1"/>
  <c r="F678" i="1"/>
  <c r="F705" i="1"/>
  <c r="F716" i="1"/>
  <c r="F672" i="1"/>
  <c r="F628" i="1"/>
  <c r="F691" i="1"/>
  <c r="F625" i="1"/>
  <c r="G625" i="1" s="1"/>
  <c r="F642" i="1"/>
  <c r="F702" i="1"/>
  <c r="F635" i="1"/>
  <c r="F710" i="1"/>
  <c r="F696" i="1"/>
  <c r="F713" i="1"/>
  <c r="F687" i="1"/>
  <c r="F673" i="1"/>
  <c r="F689" i="1"/>
  <c r="F646" i="1"/>
  <c r="F674" i="1"/>
  <c r="F671" i="1"/>
  <c r="F681" i="1"/>
  <c r="F685" i="1"/>
  <c r="F701" i="1"/>
  <c r="F640" i="1"/>
  <c r="F632" i="1"/>
  <c r="F712" i="1"/>
  <c r="F669" i="1"/>
  <c r="F680" i="1"/>
  <c r="F703" i="1"/>
  <c r="F697" i="1"/>
  <c r="F682" i="1"/>
  <c r="F675" i="1"/>
  <c r="F633" i="1"/>
  <c r="F631" i="1"/>
  <c r="F668" i="1"/>
  <c r="F686" i="1"/>
  <c r="F694" i="1"/>
  <c r="F709" i="1"/>
  <c r="F676" i="1"/>
  <c r="F670" i="1"/>
  <c r="F699" i="1"/>
  <c r="F695" i="1"/>
  <c r="F704" i="1"/>
  <c r="F677" i="1"/>
  <c r="F708" i="1"/>
  <c r="F626" i="1"/>
  <c r="F647" i="1"/>
  <c r="F700" i="1"/>
  <c r="F711" i="1"/>
  <c r="F636" i="1"/>
  <c r="E715" i="1"/>
  <c r="G694" i="1" l="1"/>
  <c r="G645" i="1"/>
  <c r="G642" i="1"/>
  <c r="G682" i="1"/>
  <c r="G685" i="1"/>
  <c r="G679" i="1"/>
  <c r="G641" i="1"/>
  <c r="G629" i="1"/>
  <c r="G671" i="1"/>
  <c r="G684" i="1"/>
  <c r="G634" i="1"/>
  <c r="G674" i="1"/>
  <c r="G676" i="1"/>
  <c r="G695" i="1"/>
  <c r="G668" i="1"/>
  <c r="G626" i="1"/>
  <c r="G683" i="1"/>
  <c r="G702" i="1"/>
  <c r="G691" i="1"/>
  <c r="G637" i="1"/>
  <c r="G701" i="1"/>
  <c r="G697" i="1"/>
  <c r="G707" i="1"/>
  <c r="G710" i="1"/>
  <c r="G644" i="1"/>
  <c r="G646" i="1"/>
  <c r="G700" i="1"/>
  <c r="G639" i="1"/>
  <c r="G678" i="1"/>
  <c r="G706" i="1"/>
  <c r="G632" i="1"/>
  <c r="G686" i="1"/>
  <c r="G713" i="1"/>
  <c r="G675" i="1"/>
  <c r="G628" i="1"/>
  <c r="G633" i="1"/>
  <c r="G692" i="1"/>
  <c r="G708" i="1"/>
  <c r="G690" i="1"/>
  <c r="G687" i="1"/>
  <c r="G688" i="1"/>
  <c r="G704" i="1"/>
  <c r="G670" i="1"/>
  <c r="G640" i="1"/>
  <c r="G638" i="1"/>
  <c r="G673" i="1"/>
  <c r="G643" i="1"/>
  <c r="G635" i="1"/>
  <c r="G672" i="1"/>
  <c r="G669" i="1"/>
  <c r="G705" i="1"/>
  <c r="G627" i="1"/>
  <c r="G636" i="1"/>
  <c r="G699" i="1"/>
  <c r="G681" i="1"/>
  <c r="G680" i="1"/>
  <c r="G696" i="1"/>
  <c r="G712" i="1"/>
  <c r="G630" i="1"/>
  <c r="G703" i="1"/>
  <c r="G716" i="1"/>
  <c r="G689" i="1"/>
  <c r="G647" i="1"/>
  <c r="G709" i="1"/>
  <c r="G711" i="1"/>
  <c r="G677" i="1"/>
  <c r="G698" i="1"/>
  <c r="G693" i="1"/>
  <c r="G631" i="1"/>
  <c r="F715" i="1"/>
  <c r="H628" i="1" l="1"/>
  <c r="H699" i="1" s="1"/>
  <c r="G715" i="1"/>
  <c r="H671" i="1" l="1"/>
  <c r="H701" i="1"/>
  <c r="H680" i="1"/>
  <c r="H700" i="1"/>
  <c r="H688" i="1"/>
  <c r="H709" i="1"/>
  <c r="H678" i="1"/>
  <c r="H647" i="1"/>
  <c r="H679" i="1"/>
  <c r="H632" i="1"/>
  <c r="H705" i="1"/>
  <c r="H706" i="1"/>
  <c r="H635" i="1"/>
  <c r="H692" i="1"/>
  <c r="H710" i="1"/>
  <c r="H644" i="1"/>
  <c r="H686" i="1"/>
  <c r="H640" i="1"/>
  <c r="H695" i="1"/>
  <c r="H638" i="1"/>
  <c r="H682" i="1"/>
  <c r="H696" i="1"/>
  <c r="H712" i="1"/>
  <c r="H630" i="1"/>
  <c r="H673" i="1"/>
  <c r="H639" i="1"/>
  <c r="H668" i="1"/>
  <c r="H703" i="1"/>
  <c r="H698" i="1"/>
  <c r="H643" i="1"/>
  <c r="H690" i="1"/>
  <c r="H687" i="1"/>
  <c r="H637" i="1"/>
  <c r="H691" i="1"/>
  <c r="H636" i="1"/>
  <c r="H685" i="1"/>
  <c r="H629" i="1"/>
  <c r="I629" i="1" s="1"/>
  <c r="H642" i="1"/>
  <c r="H697" i="1"/>
  <c r="H704" i="1"/>
  <c r="H689" i="1"/>
  <c r="H681" i="1"/>
  <c r="H669" i="1"/>
  <c r="H684" i="1"/>
  <c r="H670" i="1"/>
  <c r="H677" i="1"/>
  <c r="H633" i="1"/>
  <c r="H641" i="1"/>
  <c r="H711" i="1"/>
  <c r="H672" i="1"/>
  <c r="H708" i="1"/>
  <c r="H631" i="1"/>
  <c r="H713" i="1"/>
  <c r="H693" i="1"/>
  <c r="H683" i="1"/>
  <c r="H716" i="1"/>
  <c r="H645" i="1"/>
  <c r="H694" i="1"/>
  <c r="H674" i="1"/>
  <c r="H675" i="1"/>
  <c r="H702" i="1"/>
  <c r="H646" i="1"/>
  <c r="H676" i="1"/>
  <c r="H707" i="1"/>
  <c r="H634" i="1"/>
  <c r="H715" i="1" l="1"/>
  <c r="I635" i="1"/>
  <c r="I696" i="1"/>
  <c r="I688" i="1"/>
  <c r="I674" i="1"/>
  <c r="I690" i="1"/>
  <c r="I708" i="1"/>
  <c r="I707" i="1"/>
  <c r="I641" i="1"/>
  <c r="I678" i="1"/>
  <c r="I680" i="1"/>
  <c r="I712" i="1"/>
  <c r="I645" i="1"/>
  <c r="I643" i="1"/>
  <c r="I699" i="1"/>
  <c r="I638" i="1"/>
  <c r="I642" i="1"/>
  <c r="I695" i="1"/>
  <c r="I716" i="1"/>
  <c r="I668" i="1"/>
  <c r="I705" i="1"/>
  <c r="I710" i="1"/>
  <c r="I701" i="1"/>
  <c r="I684" i="1"/>
  <c r="I711" i="1"/>
  <c r="I677" i="1"/>
  <c r="I682" i="1"/>
  <c r="I692" i="1"/>
  <c r="I703" i="1"/>
  <c r="I673" i="1"/>
  <c r="I685" i="1"/>
  <c r="I700" i="1"/>
  <c r="I698" i="1"/>
  <c r="I697" i="1"/>
  <c r="I636" i="1"/>
  <c r="I687" i="1"/>
  <c r="I669" i="1"/>
  <c r="I646" i="1"/>
  <c r="I676" i="1"/>
  <c r="I630" i="1"/>
  <c r="J630" i="1" s="1"/>
  <c r="I633" i="1"/>
  <c r="I683" i="1"/>
  <c r="I679" i="1"/>
  <c r="I693" i="1"/>
  <c r="I670" i="1"/>
  <c r="I702" i="1"/>
  <c r="I675" i="1"/>
  <c r="I632" i="1"/>
  <c r="I671" i="1"/>
  <c r="I647" i="1"/>
  <c r="I637" i="1"/>
  <c r="I694" i="1"/>
  <c r="I706" i="1"/>
  <c r="I689" i="1"/>
  <c r="I713" i="1"/>
  <c r="I644" i="1"/>
  <c r="I639" i="1"/>
  <c r="I709" i="1"/>
  <c r="I691" i="1"/>
  <c r="I686" i="1"/>
  <c r="I681" i="1"/>
  <c r="I704" i="1"/>
  <c r="I631" i="1"/>
  <c r="I634" i="1"/>
  <c r="I672" i="1"/>
  <c r="I640" i="1"/>
  <c r="I715" i="1" l="1"/>
  <c r="J676" i="1"/>
  <c r="J672" i="1"/>
  <c r="J673" i="1"/>
  <c r="J710" i="1"/>
  <c r="J708" i="1"/>
  <c r="J706" i="1"/>
  <c r="J692" i="1"/>
  <c r="J637" i="1"/>
  <c r="J670" i="1"/>
  <c r="J702" i="1"/>
  <c r="J642" i="1"/>
  <c r="J687" i="1"/>
  <c r="J681" i="1"/>
  <c r="J700" i="1"/>
  <c r="J704" i="1"/>
  <c r="J693" i="1"/>
  <c r="J696" i="1"/>
  <c r="J634" i="1"/>
  <c r="J682" i="1"/>
  <c r="J713" i="1"/>
  <c r="J639" i="1"/>
  <c r="J712" i="1"/>
  <c r="J678" i="1"/>
  <c r="J695" i="1"/>
  <c r="J636" i="1"/>
  <c r="J669" i="1"/>
  <c r="J638" i="1"/>
  <c r="J707" i="1"/>
  <c r="J683" i="1"/>
  <c r="J644" i="1"/>
  <c r="J633" i="1"/>
  <c r="J689" i="1"/>
  <c r="J646" i="1"/>
  <c r="J668" i="1"/>
  <c r="J709" i="1"/>
  <c r="J685" i="1"/>
  <c r="J698" i="1"/>
  <c r="J699" i="1"/>
  <c r="J640" i="1"/>
  <c r="J679" i="1"/>
  <c r="J677" i="1"/>
  <c r="J645" i="1"/>
  <c r="J701" i="1"/>
  <c r="J632" i="1"/>
  <c r="J697" i="1"/>
  <c r="J691" i="1"/>
  <c r="J703" i="1"/>
  <c r="J631" i="1"/>
  <c r="J671" i="1"/>
  <c r="J675" i="1"/>
  <c r="J674" i="1"/>
  <c r="J680" i="1"/>
  <c r="J647" i="1"/>
  <c r="J635" i="1"/>
  <c r="J690" i="1"/>
  <c r="J694" i="1"/>
  <c r="J684" i="1"/>
  <c r="J643" i="1"/>
  <c r="J686" i="1"/>
  <c r="J641" i="1"/>
  <c r="J688" i="1"/>
  <c r="J711" i="1"/>
  <c r="J705" i="1"/>
  <c r="J716" i="1"/>
  <c r="L647" i="1" l="1"/>
  <c r="L708" i="1" s="1"/>
  <c r="K644" i="1"/>
  <c r="K674" i="1" s="1"/>
  <c r="J715" i="1"/>
  <c r="L687" i="1" l="1"/>
  <c r="L693" i="1"/>
  <c r="L683" i="1"/>
  <c r="L669" i="1"/>
  <c r="L701" i="1"/>
  <c r="L685" i="1"/>
  <c r="L709" i="1"/>
  <c r="L703" i="1"/>
  <c r="L684" i="1"/>
  <c r="L705" i="1"/>
  <c r="L673" i="1"/>
  <c r="L677" i="1"/>
  <c r="L675" i="1"/>
  <c r="L700" i="1"/>
  <c r="L668" i="1"/>
  <c r="L692" i="1"/>
  <c r="L689" i="1"/>
  <c r="L686" i="1"/>
  <c r="L671" i="1"/>
  <c r="L695" i="1"/>
  <c r="L682" i="1"/>
  <c r="L706" i="1"/>
  <c r="L676" i="1"/>
  <c r="L697" i="1"/>
  <c r="L707" i="1"/>
  <c r="L699" i="1"/>
  <c r="L713" i="1"/>
  <c r="L672" i="1"/>
  <c r="L696" i="1"/>
  <c r="L674" i="1"/>
  <c r="M674" i="1" s="1"/>
  <c r="I23" i="9" s="1"/>
  <c r="L688" i="1"/>
  <c r="L710" i="1"/>
  <c r="L690" i="1"/>
  <c r="L716" i="1"/>
  <c r="L704" i="1"/>
  <c r="L679" i="1"/>
  <c r="L702" i="1"/>
  <c r="L712" i="1"/>
  <c r="L680" i="1"/>
  <c r="L711" i="1"/>
  <c r="L691" i="1"/>
  <c r="L698" i="1"/>
  <c r="L670" i="1"/>
  <c r="L694" i="1"/>
  <c r="L681" i="1"/>
  <c r="L678" i="1"/>
  <c r="K709" i="1"/>
  <c r="K680" i="1"/>
  <c r="K704" i="1"/>
  <c r="K687" i="1"/>
  <c r="K699" i="1"/>
  <c r="K711" i="1"/>
  <c r="K695" i="1"/>
  <c r="K669" i="1"/>
  <c r="K673" i="1"/>
  <c r="K700" i="1"/>
  <c r="K684" i="1"/>
  <c r="M684" i="1" s="1"/>
  <c r="K670" i="1"/>
  <c r="K710" i="1"/>
  <c r="K693" i="1"/>
  <c r="K691" i="1"/>
  <c r="K677" i="1"/>
  <c r="M677" i="1" s="1"/>
  <c r="K706" i="1"/>
  <c r="K712" i="1"/>
  <c r="K689" i="1"/>
  <c r="M689" i="1" s="1"/>
  <c r="K686" i="1"/>
  <c r="K708" i="1"/>
  <c r="M708" i="1" s="1"/>
  <c r="K696" i="1"/>
  <c r="K716" i="1"/>
  <c r="K675" i="1"/>
  <c r="K671" i="1"/>
  <c r="M671" i="1" s="1"/>
  <c r="K694" i="1"/>
  <c r="K668" i="1"/>
  <c r="K679" i="1"/>
  <c r="K688" i="1"/>
  <c r="K713" i="1"/>
  <c r="K678" i="1"/>
  <c r="K702" i="1"/>
  <c r="K685" i="1"/>
  <c r="M685" i="1" s="1"/>
  <c r="K701" i="1"/>
  <c r="M701" i="1" s="1"/>
  <c r="K707" i="1"/>
  <c r="M707" i="1" s="1"/>
  <c r="K697" i="1"/>
  <c r="K705" i="1"/>
  <c r="K692" i="1"/>
  <c r="K681" i="1"/>
  <c r="K672" i="1"/>
  <c r="K676" i="1"/>
  <c r="K698" i="1"/>
  <c r="K683" i="1"/>
  <c r="K690" i="1"/>
  <c r="K682" i="1"/>
  <c r="K703" i="1"/>
  <c r="M673" i="1" l="1"/>
  <c r="H23" i="9" s="1"/>
  <c r="M675" i="1"/>
  <c r="M709" i="1"/>
  <c r="I183" i="9" s="1"/>
  <c r="M669" i="1"/>
  <c r="M700" i="1"/>
  <c r="G151" i="9" s="1"/>
  <c r="M672" i="1"/>
  <c r="M686" i="1"/>
  <c r="M693" i="1"/>
  <c r="G119" i="9" s="1"/>
  <c r="M713" i="1"/>
  <c r="M676" i="1"/>
  <c r="M705" i="1"/>
  <c r="M706" i="1"/>
  <c r="M687" i="1"/>
  <c r="M695" i="1"/>
  <c r="M683" i="1"/>
  <c r="M703" i="1"/>
  <c r="M682" i="1"/>
  <c r="M692" i="1"/>
  <c r="M697" i="1"/>
  <c r="M704" i="1"/>
  <c r="D183" i="9" s="1"/>
  <c r="M690" i="1"/>
  <c r="M696" i="1"/>
  <c r="C151" i="9" s="1"/>
  <c r="M711" i="1"/>
  <c r="D215" i="9" s="1"/>
  <c r="M688" i="1"/>
  <c r="I87" i="9" s="1"/>
  <c r="M679" i="1"/>
  <c r="G55" i="9" s="1"/>
  <c r="M691" i="1"/>
  <c r="E119" i="9" s="1"/>
  <c r="L715" i="1"/>
  <c r="F23" i="9"/>
  <c r="M680" i="1"/>
  <c r="E87" i="9"/>
  <c r="E55" i="9"/>
  <c r="M670" i="1"/>
  <c r="M698" i="1"/>
  <c r="H151" i="9"/>
  <c r="M694" i="1"/>
  <c r="M712" i="1"/>
  <c r="M699" i="1"/>
  <c r="M710" i="1"/>
  <c r="G183" i="9"/>
  <c r="K715" i="1"/>
  <c r="M668" i="1"/>
  <c r="F87" i="9"/>
  <c r="M702" i="1"/>
  <c r="C55" i="9"/>
  <c r="H183" i="9"/>
  <c r="C119" i="9"/>
  <c r="M678" i="1"/>
  <c r="M681" i="1"/>
  <c r="D23" i="9" l="1"/>
  <c r="D151" i="9"/>
  <c r="G23" i="9"/>
  <c r="G87" i="9"/>
  <c r="D55" i="9"/>
  <c r="I119" i="9"/>
  <c r="F183" i="9"/>
  <c r="F215" i="9"/>
  <c r="C183" i="9"/>
  <c r="D87" i="9"/>
  <c r="E183" i="9"/>
  <c r="F119" i="9"/>
  <c r="C87" i="9"/>
  <c r="H87" i="9"/>
  <c r="D119" i="9"/>
  <c r="H55" i="9"/>
  <c r="E23" i="9"/>
  <c r="F55" i="9"/>
  <c r="E215" i="9"/>
  <c r="E151" i="9"/>
  <c r="C23" i="9"/>
  <c r="M715" i="1"/>
  <c r="I151" i="9"/>
  <c r="I55" i="9"/>
  <c r="F151" i="9"/>
  <c r="H119" i="9"/>
  <c r="C215" i="9"/>
</calcChain>
</file>

<file path=xl/comments1.xml><?xml version="1.0" encoding="utf-8"?>
<comments xmlns="http://schemas.openxmlformats.org/spreadsheetml/2006/main">
  <authors>
    <author>Tan, Lisa</author>
    <author>tc={D367757A-E75D-4835-9823-FE0411778111}</author>
  </authors>
  <commentList>
    <comment ref="CD69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less acct 77099 FIT
</t>
        </r>
      </text>
    </comment>
    <comment ref="C255" authorId="1" shapeId="0">
      <text>
        <r>
          <rPr>
            <sz val="12"/>
            <rFont val="Courie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add rec from 3rd party payers</t>
        </r>
      </text>
    </comment>
  </commentList>
</comments>
</file>

<file path=xl/comments2.xml><?xml version="1.0" encoding="utf-8"?>
<comments xmlns="http://schemas.openxmlformats.org/spreadsheetml/2006/main">
  <authors>
    <author>Tan, Lisa</author>
    <author>JULIETA ESPORMA</author>
  </authors>
  <commentList>
    <comment ref="C175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VMOP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VMOP 78511
</t>
        </r>
      </text>
    </comment>
    <comment ref="C359" authorId="1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60" authorId="1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70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vmop</t>
        </r>
      </text>
    </comment>
    <comment ref="C389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back out below FIT</t>
        </r>
      </text>
    </comment>
    <comment ref="C392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also adjust account benefit allocation 71901 from VMOP</t>
        </r>
      </text>
    </comment>
    <comment ref="D396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vmuf
</t>
        </r>
      </text>
    </comment>
  </commentList>
</comments>
</file>

<file path=xl/sharedStrings.xml><?xml version="1.0" encoding="utf-8"?>
<sst xmlns="http://schemas.openxmlformats.org/spreadsheetml/2006/main" count="4407" uniqueCount="1025">
  <si>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</si>
  <si>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</si>
  <si>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</si>
  <si>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</si>
  <si>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</si>
  <si>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</si>
  <si>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</si>
  <si>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</si>
  <si>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</si>
  <si>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</si>
  <si>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</si>
  <si>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</si>
  <si>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</si>
  <si>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</si>
  <si>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</si>
  <si>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</si>
  <si>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</si>
  <si>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</si>
  <si>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</si>
  <si>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</si>
  <si>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</si>
  <si>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</si>
  <si>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</si>
  <si>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</si>
  <si>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</si>
  <si>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</si>
  <si>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</si>
  <si>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</si>
  <si>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</si>
  <si>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</si>
  <si>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</si>
  <si>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</si>
  <si>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</si>
  <si>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</si>
  <si>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</si>
  <si>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</si>
  <si>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</si>
  <si>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</si>
  <si>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</si>
  <si>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</si>
  <si>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</si>
  <si>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</si>
  <si>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</si>
  <si>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</si>
  <si>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</si>
  <si>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</si>
  <si>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</si>
  <si>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</si>
  <si>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</si>
  <si>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</si>
  <si>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</si>
  <si>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</si>
  <si>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</si>
  <si>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</si>
  <si>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</si>
  <si>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</si>
  <si>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</si>
  <si>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</si>
  <si>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</si>
  <si>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</si>
  <si>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</si>
  <si>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</si>
  <si>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</si>
  <si>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</si>
  <si>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</si>
  <si>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</si>
  <si>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</si>
  <si>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</si>
  <si>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</si>
  <si>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</si>
  <si>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</si>
  <si>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</si>
  <si>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</si>
  <si>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</si>
  <si>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</si>
  <si>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</si>
  <si>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</si>
  <si>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</si>
  <si>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</si>
  <si>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</si>
  <si>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</si>
  <si>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</si>
  <si>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</si>
  <si>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</si>
  <si>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</si>
  <si>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</si>
  <si>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</si>
  <si>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</si>
  <si>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</si>
  <si>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</si>
  <si>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</si>
  <si>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</si>
  <si>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</si>
  <si>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</si>
  <si>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</si>
  <si>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</si>
  <si>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</si>
  <si>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</si>
  <si>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</si>
  <si>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</si>
  <si>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</si>
  <si>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</si>
  <si>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</si>
  <si>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</si>
  <si>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</si>
  <si>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</si>
  <si>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</si>
  <si>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</si>
  <si>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</si>
  <si>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</si>
  <si>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</si>
  <si>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</si>
  <si>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</si>
  <si>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</si>
  <si>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</si>
  <si>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</si>
  <si>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</si>
  <si>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</si>
  <si>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</si>
  <si>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</si>
  <si>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</si>
  <si>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</si>
  <si>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</si>
  <si>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</si>
  <si>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</si>
  <si>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</si>
  <si>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</si>
  <si>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</si>
  <si>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</si>
  <si>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</si>
  <si>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</si>
  <si>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</si>
  <si>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</si>
  <si>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</si>
  <si>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</si>
  <si>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</si>
  <si>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</si>
  <si>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</si>
  <si>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</si>
  <si>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</si>
  <si>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</si>
  <si>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</si>
  <si>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</si>
  <si>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</si>
  <si>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</si>
  <si>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</si>
  <si>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</si>
  <si>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</si>
  <si>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</si>
  <si>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</si>
  <si>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</si>
  <si>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</si>
  <si>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</si>
  <si>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</si>
  <si>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</si>
  <si>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</si>
  <si>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</si>
  <si>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</si>
  <si>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</si>
  <si>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</si>
  <si>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</si>
  <si>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</si>
  <si>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</si>
  <si>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</si>
  <si>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</si>
  <si>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</si>
  <si>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</si>
  <si>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</si>
  <si>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</si>
  <si>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</si>
  <si>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</si>
  <si>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</si>
  <si>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</si>
  <si>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</si>
  <si>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</si>
  <si>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</si>
  <si>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</si>
  <si>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</si>
  <si>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</si>
  <si>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</si>
  <si>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</si>
  <si>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</si>
  <si>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</si>
  <si>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</si>
  <si>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</si>
  <si>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</si>
  <si>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</si>
  <si>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</si>
  <si>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</si>
  <si>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</si>
  <si>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</si>
  <si>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</si>
  <si>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</si>
  <si>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</si>
  <si>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</si>
  <si>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</si>
  <si>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</si>
  <si>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</si>
  <si>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</si>
  <si>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</si>
  <si>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</si>
  <si>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</si>
  <si>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</si>
  <si>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</si>
  <si>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</si>
  <si>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</si>
  <si>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</si>
  <si>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</si>
  <si>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</si>
  <si>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</si>
  <si>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</si>
  <si>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</si>
  <si>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</si>
  <si>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</si>
  <si>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</si>
  <si>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</si>
  <si>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</si>
  <si>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</si>
  <si>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</si>
  <si>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</si>
  <si>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</si>
  <si>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</si>
  <si>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</si>
  <si>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</si>
  <si>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</si>
  <si>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</si>
  <si>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</si>
  <si>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</si>
  <si>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</si>
  <si>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</si>
  <si>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</si>
  <si>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</si>
  <si>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</si>
  <si>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</si>
  <si>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</si>
  <si>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</si>
  <si>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</si>
  <si>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</si>
  <si>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</si>
  <si>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</si>
  <si>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</si>
  <si>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</si>
  <si>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</si>
  <si>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</si>
  <si>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</si>
  <si>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</si>
  <si>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</si>
  <si>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</si>
  <si>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</si>
  <si>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</si>
  <si>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</si>
  <si>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</si>
  <si>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</si>
  <si>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</si>
  <si>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</si>
  <si>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</si>
  <si>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</si>
  <si>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</si>
  <si>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</si>
  <si>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</si>
  <si>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</si>
  <si>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</si>
  <si>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</si>
  <si>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</si>
  <si>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</si>
  <si>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</si>
  <si>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</si>
  <si>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</si>
  <si>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</si>
  <si>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</si>
  <si>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</si>
  <si>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</si>
  <si>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</si>
  <si>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</si>
  <si>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</si>
  <si>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</si>
  <si>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</si>
  <si>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</si>
  <si>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</si>
  <si>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</si>
  <si>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</si>
  <si>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</si>
  <si>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</si>
  <si>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</si>
  <si>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</si>
  <si>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</si>
  <si>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</si>
  <si>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</si>
  <si>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</si>
  <si>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</si>
  <si>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</si>
  <si>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</si>
  <si>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</si>
  <si>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</si>
  <si>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</si>
  <si>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</si>
  <si>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</si>
  <si>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</si>
  <si>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</si>
  <si>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</si>
  <si>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</si>
  <si>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</si>
  <si>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</si>
  <si>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</si>
  <si>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</si>
  <si>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</si>
  <si>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</si>
  <si>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</si>
  <si>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</si>
  <si>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</si>
  <si>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</si>
  <si>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</si>
  <si>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</si>
  <si>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</si>
  <si>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</si>
  <si>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</si>
  <si>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</si>
  <si>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</si>
  <si>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</si>
  <si>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</si>
  <si>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</si>
  <si>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</si>
  <si>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</si>
  <si>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</si>
  <si>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</si>
  <si>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</si>
  <si>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</si>
  <si>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</si>
  <si>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</si>
  <si>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</si>
  <si>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</si>
  <si>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</si>
  <si>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</si>
  <si>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</si>
  <si>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</si>
  <si>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</si>
  <si>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</si>
  <si>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</si>
  <si>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</si>
  <si>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</si>
  <si>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</si>
  <si>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</si>
  <si>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</si>
  <si>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</si>
  <si>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</si>
  <si>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</si>
  <si>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</si>
  <si>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</si>
  <si>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</si>
  <si>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</si>
  <si>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</si>
  <si>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</si>
  <si>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</si>
  <si>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</si>
  <si>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</si>
  <si>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</si>
  <si>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</si>
  <si>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</si>
  <si>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</si>
  <si>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</si>
  <si>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</si>
  <si>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</si>
  <si>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</si>
  <si>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</si>
  <si>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</si>
  <si>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</si>
  <si>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</si>
  <si>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</si>
  <si>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</si>
  <si>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</si>
  <si>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</si>
  <si>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</si>
  <si>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</si>
  <si>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</si>
  <si>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</si>
  <si>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</si>
  <si>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</si>
  <si>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</si>
  <si>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</si>
  <si>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</si>
  <si>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</si>
  <si>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</si>
  <si>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</si>
  <si>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</si>
  <si>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</si>
  <si>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</si>
  <si>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</si>
  <si>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</si>
  <si>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</si>
  <si>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</si>
  <si>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</si>
  <si>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</si>
  <si>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</si>
  <si>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</si>
  <si>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</si>
  <si>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</si>
  <si>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</si>
  <si>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</si>
  <si>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</si>
  <si>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</si>
  <si>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</si>
  <si>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</si>
  <si>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</si>
  <si>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</si>
  <si>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</si>
  <si>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</si>
  <si>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</si>
  <si>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</si>
  <si>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</si>
  <si>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</si>
  <si>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</si>
  <si>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</si>
  <si>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</si>
  <si>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</si>
  <si>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</si>
  <si>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</si>
  <si>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</si>
  <si>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</si>
  <si>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</si>
  <si>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</si>
  <si>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</si>
  <si>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</si>
  <si>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</si>
  <si>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</si>
  <si>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</si>
  <si>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</si>
  <si>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</si>
  <si>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</si>
  <si>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</si>
  <si>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</si>
  <si>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</si>
  <si>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</si>
  <si>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</si>
  <si>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</si>
  <si>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</si>
  <si>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</si>
  <si>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</si>
  <si>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</si>
  <si>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</si>
  <si>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</si>
  <si>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</si>
  <si>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</si>
  <si>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</si>
  <si>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</si>
  <si>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</si>
  <si>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</si>
  <si>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</si>
  <si>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</si>
  <si>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</si>
  <si>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</si>
  <si>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</si>
  <si>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</si>
  <si>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</si>
  <si>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</si>
  <si>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</si>
  <si>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</si>
  <si>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</si>
  <si>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</si>
  <si>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</si>
  <si>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</si>
  <si>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</si>
  <si>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</si>
  <si>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</si>
  <si>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</si>
  <si>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</si>
  <si>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</si>
  <si>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</si>
  <si>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</si>
  <si>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</si>
  <si>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</si>
  <si>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</si>
  <si>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</si>
  <si>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</si>
  <si>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</si>
  <si>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</si>
  <si>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</si>
  <si>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</si>
  <si>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</si>
  <si>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</si>
  <si>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</si>
  <si>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</si>
  <si>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</si>
  <si>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</si>
  <si>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</si>
  <si>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</si>
  <si>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</si>
  <si>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</si>
  <si>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</si>
  <si>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</si>
  <si>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</si>
  <si>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</si>
  <si>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</si>
  <si>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</si>
  <si>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</si>
  <si>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</si>
  <si>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</si>
  <si>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</si>
  <si>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</si>
  <si>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</si>
  <si>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</si>
  <si>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</si>
  <si>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</si>
  <si>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</si>
  <si>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</si>
  <si>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</si>
  <si>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</si>
  <si>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</si>
  <si>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</si>
  <si>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</si>
  <si>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</si>
  <si>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</si>
  <si>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</si>
  <si>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</si>
  <si>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</si>
  <si>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</si>
  <si>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</si>
  <si>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</si>
  <si>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</si>
  <si>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</si>
  <si>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</si>
  <si>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</si>
  <si>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</si>
  <si>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</si>
  <si>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</si>
  <si>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</si>
  <si>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</si>
  <si>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</si>
  <si>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</si>
  <si>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</si>
  <si>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</si>
  <si>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</si>
  <si>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</si>
  <si>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</si>
  <si>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</si>
  <si>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</si>
  <si>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</si>
  <si>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</si>
  <si>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</si>
  <si>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</si>
  <si>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</si>
  <si>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</si>
  <si>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</si>
  <si>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</si>
  <si>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</si>
  <si>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</si>
  <si>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</si>
  <si>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</si>
  <si>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</si>
  <si>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</si>
  <si>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</si>
  <si>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</si>
  <si>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</si>
  <si>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</si>
  <si>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</si>
  <si>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</si>
  <si>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</si>
  <si>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</si>
  <si>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</si>
  <si>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</si>
  <si>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</si>
  <si>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</si>
  <si>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</si>
  <si>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</si>
  <si>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</si>
  <si>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</si>
  <si>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</si>
  <si>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</si>
  <si>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</si>
  <si>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</si>
  <si>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</si>
  <si>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</si>
  <si>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</si>
  <si>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</si>
  <si>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</si>
  <si>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</si>
  <si>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</si>
  <si>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</si>
  <si>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</si>
  <si>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</si>
  <si>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</si>
  <si>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</si>
  <si>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</si>
  <si>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</si>
  <si>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</si>
  <si>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</si>
  <si>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</si>
  <si>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</si>
  <si>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</si>
  <si>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</si>
  <si>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</si>
  <si>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</si>
  <si>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</si>
  <si>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</si>
  <si>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</si>
  <si>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</si>
  <si>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</si>
  <si>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</si>
  <si>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</si>
  <si>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</si>
  <si>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</si>
  <si>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</si>
  <si>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</si>
  <si>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</si>
  <si>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</si>
  <si>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</si>
  <si>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</si>
  <si>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</si>
  <si>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</si>
  <si>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</si>
  <si>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</si>
  <si>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</si>
  <si>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</si>
  <si>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</si>
  <si>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</si>
  <si>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</si>
  <si>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</si>
  <si>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</si>
  <si>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</si>
  <si>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</si>
  <si>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</si>
  <si>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</si>
  <si>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</si>
  <si>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</si>
  <si>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</si>
  <si>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</si>
  <si>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</si>
  <si>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</si>
  <si>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</si>
  <si>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</si>
  <si>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</si>
  <si>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</si>
  <si>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</si>
  <si>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</si>
  <si>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</si>
  <si>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</si>
  <si>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</si>
  <si>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</si>
  <si>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</si>
  <si>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</si>
  <si>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</si>
  <si>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</si>
  <si>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</si>
  <si>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</si>
  <si>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</si>
  <si>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</si>
  <si>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</si>
  <si>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</si>
  <si>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</si>
  <si>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</si>
  <si>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</si>
  <si>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</si>
  <si>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</si>
  <si>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</si>
  <si>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</si>
  <si>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</si>
  <si>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</si>
  <si>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</si>
  <si>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</si>
  <si>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</si>
  <si>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</si>
  <si>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</si>
  <si>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</si>
  <si>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</si>
  <si>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</si>
  <si>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</si>
  <si>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</si>
  <si>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</si>
  <si>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</si>
  <si>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</si>
  <si>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</si>
  <si>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</si>
  <si>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</si>
  <si>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</si>
  <si>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</si>
  <si>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</si>
  <si>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</si>
  <si>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</si>
  <si>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</si>
  <si>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</si>
  <si>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</si>
  <si>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</si>
  <si>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</si>
  <si>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</si>
  <si>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</si>
  <si>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</si>
  <si>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</si>
  <si>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</si>
  <si>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</si>
  <si>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</si>
  <si>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</si>
  <si>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</si>
  <si>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</si>
  <si>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</si>
  <si>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</si>
  <si>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</si>
  <si>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</si>
  <si>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</si>
  <si>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</si>
  <si>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</si>
  <si>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</si>
  <si>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</si>
  <si>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</si>
  <si>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</si>
  <si>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</si>
  <si>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</si>
  <si>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</si>
  <si>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</si>
  <si>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</si>
  <si>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</si>
  <si>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</si>
  <si>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</si>
  <si>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</si>
  <si>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</si>
  <si>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</si>
  <si>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</si>
  <si>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</si>
  <si>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</si>
  <si>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</si>
  <si>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</si>
  <si>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</si>
  <si>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</si>
  <si>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</si>
  <si>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</si>
  <si>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</si>
  <si>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</si>
  <si>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</si>
  <si>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</si>
  <si>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</si>
  <si>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</si>
  <si>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</si>
  <si>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</si>
  <si>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</si>
  <si>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</si>
  <si>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</si>
  <si>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</si>
  <si>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</si>
  <si>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</si>
  <si>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</si>
  <si>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</si>
  <si>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</si>
  <si>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</si>
  <si>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</si>
  <si>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</si>
  <si>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</si>
  <si>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</si>
  <si>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</si>
  <si>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</si>
  <si>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</si>
  <si>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</si>
  <si>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</si>
  <si>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</si>
  <si>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</si>
  <si>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</si>
  <si>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</si>
  <si>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</si>
  <si>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</si>
  <si>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</si>
  <si>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</si>
  <si>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</si>
  <si>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</si>
  <si>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</si>
  <si>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</si>
  <si>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</si>
  <si>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</si>
  <si>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</si>
  <si>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</si>
  <si>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</si>
  <si>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</si>
  <si>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</si>
  <si>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</si>
  <si>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</si>
  <si>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</si>
  <si>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</si>
  <si>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</si>
  <si>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</si>
  <si>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</si>
  <si>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</si>
  <si>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</si>
  <si>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</si>
  <si>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</si>
  <si>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</si>
  <si>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</si>
  <si>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</si>
  <si>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</si>
  <si>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</si>
  <si>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</si>
  <si>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</si>
  <si>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</si>
  <si>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</si>
  <si>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</si>
  <si>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</si>
  <si>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</si>
  <si>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</si>
  <si>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</si>
  <si>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</si>
  <si>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</si>
  <si>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</si>
  <si>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</si>
  <si>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</si>
  <si>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</si>
  <si>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</si>
  <si>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</si>
  <si>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</si>
  <si>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</si>
  <si>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</si>
  <si>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</si>
  <si>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</si>
  <si>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</si>
  <si>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</si>
  <si>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</si>
  <si>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</si>
  <si>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</si>
  <si>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</si>
  <si>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</si>
  <si>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</si>
  <si>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</si>
  <si>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</si>
  <si>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</si>
  <si>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</si>
  <si>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</si>
  <si>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</si>
  <si>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</si>
  <si>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</si>
  <si>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</si>
  <si>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</si>
  <si>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</si>
  <si>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</si>
  <si>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</si>
  <si>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</si>
  <si>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</si>
  <si>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</si>
  <si>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</si>
  <si>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</si>
  <si>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</si>
  <si>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</si>
  <si>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</si>
  <si>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</si>
  <si>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</si>
  <si>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</si>
  <si>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</si>
  <si>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</si>
  <si>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</si>
  <si>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</si>
  <si>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</si>
  <si>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</si>
  <si>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</si>
  <si>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</si>
  <si>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</si>
  <si>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</si>
  <si>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</si>
  <si>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</si>
  <si>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</si>
  <si>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</si>
  <si>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</si>
  <si>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</si>
  <si>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</si>
  <si>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</si>
  <si>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</si>
  <si>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</si>
  <si>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</si>
  <si>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</si>
  <si>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</si>
  <si>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</si>
  <si>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</si>
  <si>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</si>
  <si>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</si>
  <si>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</si>
  <si>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</si>
  <si>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</si>
  <si>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</si>
  <si>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</si>
  <si>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</si>
  <si>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</si>
  <si>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</si>
  <si>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</si>
  <si>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</si>
  <si>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</si>
  <si>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</si>
  <si>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</si>
  <si>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</si>
  <si>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</si>
  <si>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</si>
  <si>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</si>
  <si>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</si>
  <si>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</si>
  <si>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</si>
  <si>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</si>
  <si>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</si>
  <si>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</si>
  <si>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</si>
  <si>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</si>
  <si>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</si>
  <si>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</si>
  <si>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</si>
  <si>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</si>
  <si>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</si>
  <si>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</si>
  <si>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</si>
  <si>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</si>
  <si>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</si>
  <si>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</si>
  <si>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</si>
  <si>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</si>
  <si>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</si>
  <si>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</si>
  <si>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</si>
  <si>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</si>
  <si>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</si>
  <si>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</si>
  <si>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</si>
  <si>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</si>
  <si>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</si>
  <si>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</si>
  <si>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</si>
  <si>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</si>
  <si>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</si>
  <si>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</si>
  <si>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</si>
  <si>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</si>
  <si>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</si>
  <si>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</si>
  <si>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</si>
  <si>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</si>
  <si>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</si>
  <si>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</si>
  <si>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</si>
  <si>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</si>
  <si>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</si>
  <si>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</si>
  <si>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</si>
  <si>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</si>
  <si>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</si>
  <si>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</si>
  <si>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</si>
  <si>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</si>
  <si>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</si>
  <si>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</si>
  <si>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</si>
  <si>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</si>
  <si>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</si>
  <si>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</si>
  <si>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</si>
  <si>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</si>
  <si>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</si>
  <si>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</si>
  <si>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</si>
  <si>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</si>
  <si>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</si>
  <si>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</si>
  <si>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</si>
  <si>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</si>
  <si>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</si>
  <si>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</si>
  <si>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</si>
  <si>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</si>
  <si>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</si>
  <si>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</si>
  <si>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</si>
  <si>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</si>
  <si>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</si>
  <si>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</si>
  <si>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</si>
  <si>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</si>
  <si>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</si>
  <si>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</si>
  <si>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</si>
  <si>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</si>
  <si>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</si>
  <si>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</si>
  <si>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</si>
  <si>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</si>
  <si>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</si>
  <si>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</si>
  <si>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</si>
  <si>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</si>
  <si>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</si>
  <si>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</si>
  <si>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</si>
  <si>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</si>
  <si>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</si>
  <si>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</si>
  <si>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</si>
  <si>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</si>
  <si>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</si>
  <si>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</si>
  <si>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</si>
  <si>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</si>
  <si>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</si>
  <si>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</si>
  <si>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</si>
  <si>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</si>
  <si>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</si>
  <si>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</si>
  <si>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</si>
  <si>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</si>
  <si>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</si>
  <si>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</si>
  <si>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</si>
  <si>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</si>
  <si>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</si>
  <si>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</si>
  <si>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</si>
  <si>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</si>
  <si>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King</t>
  </si>
  <si>
    <t>010</t>
  </si>
  <si>
    <t>Virginia Mason Medical Center</t>
  </si>
  <si>
    <t>1100 Ninth Avenue</t>
  </si>
  <si>
    <t>P.O. Box 900</t>
  </si>
  <si>
    <t>Seattle, WA 98111</t>
  </si>
  <si>
    <t>Gary Kaplan MD</t>
  </si>
  <si>
    <t>Craig Goodrich</t>
  </si>
  <si>
    <t>Tod Hamachek</t>
  </si>
  <si>
    <t>(206) 625-7371</t>
  </si>
  <si>
    <t>(206) 625-7333</t>
  </si>
  <si>
    <t>Change in RVU measurement</t>
  </si>
  <si>
    <t>Underreported RVU in 2017</t>
  </si>
  <si>
    <t>Increased supply costs</t>
  </si>
  <si>
    <t>P.O Box 900</t>
  </si>
  <si>
    <t>Setttle, WA 98111</t>
  </si>
  <si>
    <t>Gary Kaplan, MD</t>
  </si>
  <si>
    <t>Other Assets, Right of Use Asset, Net</t>
  </si>
  <si>
    <t>Federal Income/State Income Taxes</t>
  </si>
  <si>
    <t>Non Operating Rev Net of Exp, backout ac71901</t>
  </si>
  <si>
    <t xml:space="preserve">Dry Pounds of Laundry </t>
  </si>
  <si>
    <t>New procedure for the full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</si>
</sst>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u/>
      <sz val="12"/>
      <color indexed="12"/>
      <name val="Arial"/>
      <family val="2"/>
    </font>
    <font>
      <u/>
      <sz val="12"/>
      <color indexed="12"/>
      <name val="Courier"/>
      <family val="3"/>
    </font>
    <font>
      <sz val="13"/>
      <name val="Arial"/>
      <family val="2"/>
    </font>
    <font>
      <sz val="13"/>
      <color indexed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37" fontId="8" fillId="0" borderId="0"/>
  </cellStyleXfs>
  <cellXfs count="396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7" fontId="7" fillId="0" borderId="0" xfId="0" quotePrefix="1" applyFont="1" applyAlignment="1" applyProtection="1">
      <alignment horizontal="left"/>
    </xf>
    <xf numFmtId="38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17" fillId="0" borderId="0" xfId="2" applyNumberFormat="1" applyFont="1" applyAlignment="1" applyProtection="1"/>
    <xf numFmtId="37" fontId="18" fillId="0" borderId="0" xfId="2" applyNumberFormat="1" applyFont="1" applyAlignment="1" applyProtection="1">
      <alignment horizontal="left"/>
    </xf>
    <xf numFmtId="37" fontId="7" fillId="8" borderId="0" xfId="0" applyFont="1" applyFill="1" applyProtection="1"/>
    <xf numFmtId="38" fontId="7" fillId="8" borderId="0" xfId="0" applyNumberFormat="1" applyFont="1" applyFill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19" fillId="0" borderId="0" xfId="0" quotePrefix="1" applyFont="1" applyAlignment="1" applyProtection="1">
      <alignment horizontal="left"/>
    </xf>
    <xf numFmtId="37" fontId="19" fillId="0" borderId="0" xfId="0" applyFont="1" applyProtection="1"/>
    <xf numFmtId="38" fontId="19" fillId="0" borderId="0" xfId="0" applyNumberFormat="1" applyFont="1" applyProtection="1"/>
    <xf numFmtId="37" fontId="19" fillId="0" borderId="0" xfId="0" applyFont="1" applyAlignment="1" applyProtection="1">
      <alignment horizontal="center"/>
    </xf>
    <xf numFmtId="37" fontId="19" fillId="3" borderId="0" xfId="0" applyFont="1" applyFill="1" applyProtection="1"/>
    <xf numFmtId="38" fontId="19" fillId="3" borderId="0" xfId="0" applyNumberFormat="1" applyFont="1" applyFill="1" applyAlignment="1" applyProtection="1">
      <alignment horizontal="center"/>
    </xf>
    <xf numFmtId="37" fontId="19" fillId="3" borderId="0" xfId="0" applyFont="1" applyFill="1" applyAlignment="1" applyProtection="1">
      <alignment horizontal="center"/>
    </xf>
    <xf numFmtId="37" fontId="7" fillId="3" borderId="0" xfId="0" applyFont="1" applyFill="1" applyAlignment="1" applyProtection="1">
      <alignment horizontal="center"/>
    </xf>
    <xf numFmtId="37" fontId="19" fillId="3" borderId="0" xfId="0" quotePrefix="1" applyFont="1" applyFill="1" applyAlignment="1" applyProtection="1">
      <alignment horizontal="center"/>
    </xf>
    <xf numFmtId="37" fontId="20" fillId="0" borderId="1" xfId="0" applyNumberFormat="1" applyFont="1" applyBorder="1" applyAlignment="1" applyProtection="1">
      <protection locked="0"/>
    </xf>
    <xf numFmtId="37" fontId="20" fillId="0" borderId="1" xfId="0" quotePrefix="1" applyNumberFormat="1" applyFont="1" applyBorder="1" applyProtection="1">
      <protection locked="0"/>
    </xf>
    <xf numFmtId="37" fontId="21" fillId="0" borderId="1" xfId="0" quotePrefix="1" applyNumberFormat="1" applyFont="1" applyBorder="1" applyProtection="1">
      <protection locked="0"/>
    </xf>
    <xf numFmtId="37" fontId="7" fillId="3" borderId="0" xfId="0" applyNumberFormat="1" applyFont="1" applyFill="1" applyProtection="1"/>
    <xf numFmtId="37" fontId="19" fillId="3" borderId="0" xfId="0" quotePrefix="1" applyNumberFormat="1" applyFont="1" applyFill="1" applyAlignment="1" applyProtection="1"/>
    <xf numFmtId="37" fontId="19" fillId="3" borderId="0" xfId="0" applyNumberFormat="1" applyFont="1" applyFill="1" applyProtection="1"/>
    <xf numFmtId="37" fontId="19" fillId="3" borderId="0" xfId="0" quotePrefix="1" applyFont="1" applyFill="1" applyAlignment="1" applyProtection="1">
      <alignment horizontal="left"/>
    </xf>
    <xf numFmtId="38" fontId="19" fillId="3" borderId="0" xfId="0" applyNumberFormat="1" applyFont="1" applyFill="1" applyProtection="1"/>
    <xf numFmtId="37" fontId="7" fillId="3" borderId="0" xfId="0" applyFont="1" applyFill="1" applyProtection="1"/>
    <xf numFmtId="166" fontId="19" fillId="3" borderId="0" xfId="0" applyNumberFormat="1" applyFont="1" applyFill="1" applyAlignment="1" applyProtection="1">
      <alignment horizontal="center"/>
    </xf>
    <xf numFmtId="37" fontId="19" fillId="3" borderId="0" xfId="0" quotePrefix="1" applyFont="1" applyFill="1" applyAlignment="1" applyProtection="1">
      <alignment horizontal="fill"/>
    </xf>
    <xf numFmtId="37" fontId="7" fillId="3" borderId="0" xfId="0" quotePrefix="1" applyFont="1" applyFill="1" applyAlignment="1" applyProtection="1">
      <alignment horizontal="fill"/>
    </xf>
    <xf numFmtId="37" fontId="20" fillId="0" borderId="1" xfId="1" quotePrefix="1" applyNumberFormat="1" applyFont="1" applyBorder="1" applyProtection="1">
      <protection locked="0"/>
    </xf>
    <xf numFmtId="37" fontId="19" fillId="3" borderId="0" xfId="1" applyNumberFormat="1" applyFont="1" applyFill="1" applyProtection="1"/>
    <xf numFmtId="37" fontId="20" fillId="0" borderId="1" xfId="1" applyNumberFormat="1" applyFont="1" applyBorder="1" applyProtection="1">
      <protection locked="0"/>
    </xf>
    <xf numFmtId="37" fontId="7" fillId="3" borderId="0" xfId="1" applyNumberFormat="1" applyFont="1" applyFill="1" applyProtection="1"/>
    <xf numFmtId="37" fontId="21" fillId="0" borderId="1" xfId="1" quotePrefix="1" applyNumberFormat="1" applyFont="1" applyBorder="1" applyProtection="1">
      <protection locked="0"/>
    </xf>
    <xf numFmtId="37" fontId="7" fillId="3" borderId="0" xfId="0" quotePrefix="1" applyNumberFormat="1" applyFont="1" applyFill="1" applyAlignment="1" applyProtection="1">
      <alignment horizontal="fill"/>
    </xf>
    <xf numFmtId="39" fontId="19" fillId="3" borderId="0" xfId="0" quotePrefix="1" applyNumberFormat="1" applyFont="1" applyFill="1" applyAlignment="1" applyProtection="1">
      <alignment horizontal="left"/>
    </xf>
    <xf numFmtId="39" fontId="20" fillId="0" borderId="1" xfId="3" quotePrefix="1" applyNumberFormat="1" applyFont="1" applyBorder="1" applyProtection="1">
      <protection locked="0"/>
    </xf>
    <xf numFmtId="39" fontId="20" fillId="0" borderId="1" xfId="0" quotePrefix="1" applyNumberFormat="1" applyFont="1" applyBorder="1" applyProtection="1">
      <protection locked="0"/>
    </xf>
    <xf numFmtId="39" fontId="20" fillId="0" borderId="1" xfId="0" applyNumberFormat="1" applyFont="1" applyBorder="1" applyProtection="1">
      <protection locked="0"/>
    </xf>
    <xf numFmtId="39" fontId="20" fillId="0" borderId="1" xfId="1" quotePrefix="1" applyNumberFormat="1" applyFont="1" applyBorder="1" applyProtection="1">
      <protection locked="0"/>
    </xf>
    <xf numFmtId="39" fontId="21" fillId="0" borderId="1" xfId="1" quotePrefix="1" applyNumberFormat="1" applyFont="1" applyBorder="1" applyProtection="1">
      <protection locked="0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21" fillId="0" borderId="1" xfId="1" applyNumberFormat="1" applyFont="1" applyBorder="1" applyProtection="1">
      <protection locked="0"/>
    </xf>
    <xf numFmtId="37" fontId="21" fillId="4" borderId="1" xfId="0" quotePrefix="1" applyNumberFormat="1" applyFont="1" applyFill="1" applyBorder="1" applyProtection="1">
      <protection locked="0"/>
    </xf>
    <xf numFmtId="37" fontId="7" fillId="3" borderId="0" xfId="0" quotePrefix="1" applyNumberFormat="1" applyFont="1" applyFill="1" applyAlignment="1" applyProtection="1"/>
    <xf numFmtId="37" fontId="19" fillId="3" borderId="0" xfId="0" quotePrefix="1" applyNumberFormat="1" applyFont="1" applyFill="1" applyAlignment="1" applyProtection="1">
      <alignment horizontal="fill"/>
    </xf>
    <xf numFmtId="37" fontId="19" fillId="3" borderId="0" xfId="1" quotePrefix="1" applyNumberFormat="1" applyFont="1" applyFill="1" applyAlignment="1" applyProtection="1">
      <alignment horizontal="fill"/>
    </xf>
    <xf numFmtId="165" fontId="20" fillId="0" borderId="1" xfId="1" quotePrefix="1" applyNumberFormat="1" applyFont="1" applyBorder="1" applyProtection="1">
      <protection locked="0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7" fillId="3" borderId="0" xfId="0" applyFont="1" applyFill="1" applyAlignment="1" applyProtection="1">
      <alignment horizontal="centerContinuous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49" fontId="21" fillId="4" borderId="1" xfId="0" quotePrefix="1" applyNumberFormat="1" applyFont="1" applyFill="1" applyBorder="1" applyAlignment="1" applyProtection="1">
      <protection locked="0"/>
    </xf>
    <xf numFmtId="37" fontId="8" fillId="3" borderId="0" xfId="0" applyFont="1" applyFill="1" applyProtection="1"/>
    <xf numFmtId="37" fontId="7" fillId="3" borderId="0" xfId="0" applyFont="1" applyFill="1" applyAlignment="1" applyProtection="1"/>
    <xf numFmtId="38" fontId="21" fillId="4" borderId="1" xfId="0" quotePrefix="1" applyNumberFormat="1" applyFont="1" applyFill="1" applyBorder="1" applyAlignment="1" applyProtection="1">
      <protection locked="0"/>
    </xf>
    <xf numFmtId="38" fontId="22" fillId="4" borderId="14" xfId="0" applyNumberFormat="1" applyFont="1" applyFill="1" applyBorder="1" applyProtection="1">
      <protection locked="0"/>
    </xf>
    <xf numFmtId="38" fontId="21" fillId="4" borderId="8" xfId="0" applyNumberFormat="1" applyFont="1" applyFill="1" applyBorder="1" applyProtection="1">
      <protection locked="0"/>
    </xf>
    <xf numFmtId="38" fontId="21" fillId="4" borderId="2" xfId="0" applyNumberFormat="1" applyFont="1" applyFill="1" applyBorder="1" applyProtection="1">
      <protection locked="0"/>
    </xf>
    <xf numFmtId="49" fontId="22" fillId="4" borderId="14" xfId="0" applyNumberFormat="1" applyFont="1" applyFill="1" applyBorder="1" applyProtection="1">
      <protection locked="0"/>
    </xf>
    <xf numFmtId="49" fontId="22" fillId="4" borderId="14" xfId="0" applyNumberFormat="1" applyFont="1" applyFill="1" applyBorder="1" applyAlignment="1" applyProtection="1">
      <alignment horizontal="left"/>
      <protection locked="0"/>
    </xf>
    <xf numFmtId="38" fontId="22" fillId="4" borderId="1" xfId="0" quotePrefix="1" applyNumberFormat="1" applyFont="1" applyFill="1" applyBorder="1" applyAlignment="1" applyProtection="1">
      <alignment horizontal="left"/>
      <protection locked="0"/>
    </xf>
    <xf numFmtId="49" fontId="22" fillId="4" borderId="1" xfId="0" quotePrefix="1" applyNumberFormat="1" applyFont="1" applyFill="1" applyBorder="1" applyAlignment="1" applyProtection="1">
      <alignment horizontal="left"/>
      <protection locked="0"/>
    </xf>
    <xf numFmtId="38" fontId="7" fillId="3" borderId="0" xfId="0" applyNumberFormat="1" applyFont="1" applyFill="1" applyProtection="1"/>
    <xf numFmtId="37" fontId="21" fillId="3" borderId="0" xfId="0" applyFont="1" applyFill="1" applyAlignment="1" applyProtection="1">
      <alignment horizontal="centerContinuous"/>
    </xf>
    <xf numFmtId="38" fontId="21" fillId="4" borderId="1" xfId="0" applyNumberFormat="1" applyFont="1" applyFill="1" applyBorder="1" applyProtection="1">
      <protection locked="0"/>
    </xf>
    <xf numFmtId="38" fontId="21" fillId="4" borderId="1" xfId="0" applyNumberFormat="1" applyFont="1" applyFill="1" applyBorder="1" applyAlignment="1" applyProtection="1">
      <alignment horizontal="center"/>
      <protection locked="0"/>
    </xf>
    <xf numFmtId="38" fontId="7" fillId="3" borderId="0" xfId="0" applyNumberFormat="1" applyFont="1" applyFill="1" applyAlignment="1" applyProtection="1">
      <alignment horizontal="right"/>
    </xf>
    <xf numFmtId="37" fontId="7" fillId="3" borderId="0" xfId="0" quotePrefix="1" applyFont="1" applyFill="1" applyAlignment="1" applyProtection="1">
      <alignment horizontal="centerContinuous"/>
    </xf>
    <xf numFmtId="38" fontId="7" fillId="3" borderId="0" xfId="0" applyNumberFormat="1" applyFont="1" applyFill="1" applyAlignment="1" applyProtection="1">
      <alignment horizontal="center"/>
    </xf>
    <xf numFmtId="37" fontId="21" fillId="4" borderId="1" xfId="0" applyFont="1" applyFill="1" applyBorder="1" applyProtection="1">
      <protection locked="0"/>
    </xf>
    <xf numFmtId="37" fontId="21" fillId="3" borderId="0" xfId="0" quotePrefix="1" applyFont="1" applyFill="1" applyAlignment="1" applyProtection="1">
      <alignment horizontal="left"/>
    </xf>
    <xf numFmtId="37" fontId="21" fillId="3" borderId="0" xfId="0" applyFont="1" applyFill="1" applyAlignment="1" applyProtection="1">
      <alignment horizontal="center"/>
    </xf>
    <xf numFmtId="38" fontId="21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8" fontId="21" fillId="3" borderId="0" xfId="0" applyNumberFormat="1" applyFont="1" applyFill="1" applyProtection="1"/>
    <xf numFmtId="37" fontId="21" fillId="3" borderId="0" xfId="0" applyFont="1" applyFill="1" applyProtection="1"/>
    <xf numFmtId="37" fontId="0" fillId="0" borderId="0" xfId="0" applyFont="1" applyProtection="1"/>
    <xf numFmtId="37" fontId="7" fillId="3" borderId="0" xfId="0" applyFont="1" applyFill="1" applyAlignment="1" applyProtection="1">
      <alignment horizontal="left"/>
    </xf>
    <xf numFmtId="38" fontId="21" fillId="3" borderId="8" xfId="0" applyNumberFormat="1" applyFont="1" applyFill="1" applyBorder="1" applyAlignment="1" applyProtection="1">
      <alignment horizontal="center"/>
      <protection locked="0"/>
    </xf>
    <xf numFmtId="37" fontId="19" fillId="3" borderId="0" xfId="0" applyFont="1" applyFill="1" applyAlignment="1" applyProtection="1">
      <alignment horizontal="centerContinuous"/>
    </xf>
    <xf numFmtId="37" fontId="20" fillId="3" borderId="0" xfId="0" applyFont="1" applyFill="1" applyAlignment="1" applyProtection="1">
      <alignment horizontal="centerContinuous"/>
    </xf>
    <xf numFmtId="37" fontId="19" fillId="3" borderId="0" xfId="0" applyFont="1" applyFill="1" applyAlignment="1" applyProtection="1"/>
    <xf numFmtId="37" fontId="19" fillId="3" borderId="0" xfId="0" applyFont="1" applyFill="1" applyAlignment="1" applyProtection="1">
      <alignment horizontal="right"/>
    </xf>
    <xf numFmtId="38" fontId="20" fillId="4" borderId="1" xfId="43" applyNumberFormat="1" applyFont="1" applyFill="1" applyBorder="1" applyProtection="1">
      <protection locked="0"/>
    </xf>
    <xf numFmtId="38" fontId="20" fillId="4" borderId="1" xfId="0" applyNumberFormat="1" applyFont="1" applyFill="1" applyBorder="1" applyProtection="1">
      <protection locked="0"/>
    </xf>
    <xf numFmtId="40" fontId="20" fillId="4" borderId="1" xfId="0" applyNumberFormat="1" applyFont="1" applyFill="1" applyBorder="1" applyProtection="1">
      <protection locked="0"/>
    </xf>
    <xf numFmtId="39" fontId="7" fillId="0" borderId="0" xfId="0" applyNumberFormat="1" applyFont="1" applyProtection="1"/>
    <xf numFmtId="37" fontId="7" fillId="0" borderId="0" xfId="0" applyFont="1" applyAlignment="1" applyProtection="1">
      <alignment horizontal="center"/>
    </xf>
    <xf numFmtId="3" fontId="7" fillId="0" borderId="0" xfId="0" applyNumberFormat="1" applyFont="1" applyProtection="1"/>
    <xf numFmtId="37" fontId="7" fillId="0" borderId="0" xfId="0" applyFont="1" applyFill="1" applyAlignment="1" applyProtection="1"/>
    <xf numFmtId="37" fontId="7" fillId="0" borderId="0" xfId="0" quotePrefix="1" applyFont="1" applyAlignment="1" applyProtection="1">
      <alignment horizontal="fill"/>
    </xf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7" fillId="0" borderId="0" xfId="0" applyFont="1" applyProtection="1">
      <protection locked="0"/>
    </xf>
    <xf numFmtId="164" fontId="7" fillId="0" borderId="0" xfId="0" applyNumberFormat="1" applyFont="1" applyProtection="1"/>
    <xf numFmtId="37" fontId="21" fillId="0" borderId="0" xfId="0" applyFont="1" applyProtection="1"/>
    <xf numFmtId="164" fontId="7" fillId="0" borderId="0" xfId="0" applyNumberFormat="1" applyFont="1" applyAlignment="1" applyProtection="1">
      <alignment horizontal="left"/>
    </xf>
    <xf numFmtId="37" fontId="27" fillId="0" borderId="0" xfId="0" applyFont="1" applyProtection="1"/>
    <xf numFmtId="37" fontId="27" fillId="0" borderId="0" xfId="0" quotePrefix="1" applyFont="1" applyAlignment="1" applyProtection="1"/>
    <xf numFmtId="2" fontId="27" fillId="0" borderId="0" xfId="0" applyNumberFormat="1" applyFont="1" applyProtection="1"/>
    <xf numFmtId="10" fontId="27" fillId="0" borderId="0" xfId="0" applyNumberFormat="1" applyFont="1" applyProtection="1"/>
    <xf numFmtId="37" fontId="27" fillId="0" borderId="0" xfId="0" applyFont="1" applyProtection="1">
      <protection locked="0"/>
    </xf>
    <xf numFmtId="1" fontId="27" fillId="0" borderId="0" xfId="0" applyNumberFormat="1" applyFont="1" applyAlignment="1" applyProtection="1">
      <alignment horizontal="center"/>
    </xf>
    <xf numFmtId="37" fontId="11" fillId="3" borderId="0" xfId="0" applyFont="1" applyFill="1" applyAlignment="1" applyProtection="1">
      <alignment horizontal="center" vertical="center"/>
    </xf>
    <xf numFmtId="37" fontId="21" fillId="3" borderId="0" xfId="0" applyFont="1" applyFill="1" applyAlignment="1" applyProtection="1">
      <alignment horizontal="center" vertical="center"/>
    </xf>
  </cellXfs>
  <cellStyles count="44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2" xfId="32"/>
    <cellStyle name="Normal 94" xfId="31"/>
    <cellStyle name="Normal_2007 DOH actual-- Julie (backup)" xfId="43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n, Lisa" id="{B05C7496-562F-4865-BB14-8720A6C02A36}" userId="S::Lisa.Tan@virginiamason.org::1f5fbc0c-87a3-46f9-b3a6-dc9d940eef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5" dT="2020-06-12T21:44:05.48" personId="{B05C7496-562F-4865-BB14-8720A6C02A36}" id="{D367757A-E75D-4835-9823-FE0411778111}">
    <text>add rec from 3rd party payers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19.0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3" style="180" customWidth="1"/>
    <col min="6" max="26" width="11.75" style="180" customWidth="1"/>
    <col min="27" max="27" width="11.75" style="180"/>
    <col min="28" max="28" width="11.75" style="180" customWidth="1"/>
    <col min="29" max="29" width="11.75" style="180"/>
    <col min="30" max="31" width="11.75" style="180" customWidth="1"/>
    <col min="32" max="82" width="11.75" style="180"/>
    <col min="83" max="83" width="12.9140625" style="180" customWidth="1"/>
    <col min="84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SUM(C47:CC47)</f>
        <v>17997847.899999999</v>
      </c>
      <c r="C47" s="184">
        <v>5625</v>
      </c>
      <c r="D47" s="184"/>
      <c r="E47" s="184">
        <v>36008</v>
      </c>
      <c r="F47" s="184"/>
      <c r="G47" s="184"/>
      <c r="H47" s="184"/>
      <c r="I47" s="184"/>
      <c r="J47" s="184"/>
      <c r="K47" s="184">
        <v>146391</v>
      </c>
      <c r="L47" s="184"/>
      <c r="M47" s="184"/>
      <c r="N47" s="184"/>
      <c r="O47" s="184"/>
      <c r="P47" s="184">
        <v>18975</v>
      </c>
      <c r="Q47" s="184">
        <v>7827</v>
      </c>
      <c r="R47" s="184">
        <v>2002631</v>
      </c>
      <c r="S47" s="184">
        <v>5694</v>
      </c>
      <c r="T47" s="184"/>
      <c r="U47" s="184">
        <v>952519</v>
      </c>
      <c r="V47" s="184"/>
      <c r="W47" s="184">
        <v>201187</v>
      </c>
      <c r="X47" s="184">
        <v>440912</v>
      </c>
      <c r="Y47" s="184">
        <v>673323</v>
      </c>
      <c r="Z47" s="184">
        <v>724949</v>
      </c>
      <c r="AA47" s="184">
        <v>62804</v>
      </c>
      <c r="AB47" s="184">
        <v>21285</v>
      </c>
      <c r="AC47" s="184">
        <v>2511</v>
      </c>
      <c r="AD47" s="184">
        <v>1489</v>
      </c>
      <c r="AE47" s="184">
        <v>307067</v>
      </c>
      <c r="AF47" s="184">
        <v>52747</v>
      </c>
      <c r="AG47" s="184">
        <v>833453</v>
      </c>
      <c r="AH47" s="184"/>
      <c r="AI47" s="184"/>
      <c r="AJ47" s="184">
        <v>15189491</v>
      </c>
      <c r="AK47" s="184"/>
      <c r="AL47" s="184"/>
      <c r="AM47" s="184"/>
      <c r="AN47" s="184"/>
      <c r="AO47" s="184"/>
      <c r="AP47" s="184">
        <v>9032104</v>
      </c>
      <c r="AQ47" s="184"/>
      <c r="AR47" s="184"/>
      <c r="AS47" s="184"/>
      <c r="AT47" s="184">
        <v>62118</v>
      </c>
      <c r="AU47" s="184"/>
      <c r="AV47" s="184">
        <v>288792</v>
      </c>
      <c r="AW47" s="184">
        <v>775596</v>
      </c>
      <c r="AX47" s="184">
        <v>181</v>
      </c>
      <c r="AY47" s="184">
        <v>4195</v>
      </c>
      <c r="AZ47" s="184"/>
      <c r="BA47" s="184"/>
      <c r="BB47" s="184">
        <v>420</v>
      </c>
      <c r="BC47" s="184"/>
      <c r="BD47" s="184">
        <v>303609</v>
      </c>
      <c r="BE47" s="184">
        <v>-8136</v>
      </c>
      <c r="BF47" s="184"/>
      <c r="BG47" s="184">
        <v>3968</v>
      </c>
      <c r="BH47" s="184">
        <v>7867</v>
      </c>
      <c r="BI47" s="184">
        <v>17719</v>
      </c>
      <c r="BJ47" s="184">
        <v>-7706</v>
      </c>
      <c r="BK47" s="184">
        <v>157166</v>
      </c>
      <c r="BL47" s="184">
        <v>14821</v>
      </c>
      <c r="BM47" s="184">
        <v>70358</v>
      </c>
      <c r="BN47" s="184">
        <v>18684</v>
      </c>
      <c r="BO47" s="184">
        <v>1461975</v>
      </c>
      <c r="BP47" s="184">
        <v>10795</v>
      </c>
      <c r="BQ47" s="184"/>
      <c r="BR47" s="184">
        <v>134019</v>
      </c>
      <c r="BS47" s="184"/>
      <c r="BT47" s="184">
        <v>-64.400000000000006</v>
      </c>
      <c r="BU47" s="184">
        <v>-2900</v>
      </c>
      <c r="BV47" s="184">
        <v>350</v>
      </c>
      <c r="BW47" s="184">
        <v>-16393036.5</v>
      </c>
      <c r="BX47" s="184">
        <v>244763.5</v>
      </c>
      <c r="BY47" s="184">
        <v>38174.400000000001</v>
      </c>
      <c r="BZ47" s="184"/>
      <c r="CA47" s="184">
        <v>60846.400000000001</v>
      </c>
      <c r="CB47" s="184"/>
      <c r="CC47" s="184">
        <v>14281.5</v>
      </c>
      <c r="CD47" s="195"/>
      <c r="CE47" s="195">
        <f>SUM(C47:CC47)</f>
        <v>17997847.899999999</v>
      </c>
    </row>
    <row r="48" spans="1:83" ht="12.6" customHeight="1" x14ac:dyDescent="0.25">
      <c r="A48" s="175" t="s">
        <v>205</v>
      </c>
      <c r="B48" s="183">
        <f>114707743-B47</f>
        <v>96709895.099999994</v>
      </c>
      <c r="C48" s="241">
        <f>ROUND(((B48/CE61)*C61),0)</f>
        <v>1639442</v>
      </c>
      <c r="D48" s="241">
        <f>ROUND(((B48/CE61)*D61),0)</f>
        <v>0</v>
      </c>
      <c r="E48" s="195">
        <f>ROUND(((B48/CE61)*E61),0)</f>
        <v>7609646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1674392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2102734</v>
      </c>
      <c r="Q48" s="195">
        <f>ROUND(((B48/CE61)*Q61),0)</f>
        <v>1370021</v>
      </c>
      <c r="R48" s="195">
        <f>ROUND(((B48/CE61)*R61),0)</f>
        <v>3174514</v>
      </c>
      <c r="S48" s="195">
        <f>ROUND(((B48/CE61)*S61),0)</f>
        <v>1201363</v>
      </c>
      <c r="T48" s="195">
        <f>ROUND(((B48/CE61)*T61),0)</f>
        <v>391332</v>
      </c>
      <c r="U48" s="195">
        <f>ROUND(((B48/CE61)*U61),0)</f>
        <v>2948973</v>
      </c>
      <c r="V48" s="195">
        <f>ROUND(((B48/CE61)*V61),0)</f>
        <v>0</v>
      </c>
      <c r="W48" s="195">
        <f>ROUND(((B48/CE61)*W61),0)</f>
        <v>354247</v>
      </c>
      <c r="X48" s="195">
        <f>ROUND(((B48/CE61)*X61),0)</f>
        <v>695322</v>
      </c>
      <c r="Y48" s="195">
        <f>ROUND(((B48/CE61)*Y61),0)</f>
        <v>2385623</v>
      </c>
      <c r="Z48" s="195">
        <f>ROUND(((B48/CE61)*Z61),0)</f>
        <v>1272071</v>
      </c>
      <c r="AA48" s="195">
        <f>ROUND(((B48/CE61)*AA61),0)</f>
        <v>193723</v>
      </c>
      <c r="AB48" s="195">
        <f>ROUND(((B48/CE61)*AB61),0)</f>
        <v>1525705</v>
      </c>
      <c r="AC48" s="195">
        <f>ROUND(((B48/CE61)*AC61),0)</f>
        <v>313677</v>
      </c>
      <c r="AD48" s="195">
        <f>ROUND(((B48/CE61)*AD61),0)</f>
        <v>22160</v>
      </c>
      <c r="AE48" s="195">
        <f>ROUND(((B48/CE61)*AE61),0)</f>
        <v>1398975</v>
      </c>
      <c r="AF48" s="195">
        <f>ROUND(((B48/CE61)*AF61),0)</f>
        <v>114424</v>
      </c>
      <c r="AG48" s="195">
        <f>ROUND(((B48/CE61)*AG61),0)</f>
        <v>1783751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24342948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17653349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337758</v>
      </c>
      <c r="AU48" s="195">
        <f>ROUND(((B48/CE61)*AU61),0)</f>
        <v>0</v>
      </c>
      <c r="AV48" s="195">
        <f>ROUND(((B48/CE61)*AV61),0)</f>
        <v>1250114</v>
      </c>
      <c r="AW48" s="195">
        <f>ROUND(((B48/CE61)*AW61),0)</f>
        <v>2300188</v>
      </c>
      <c r="AX48" s="195">
        <f>ROUND(((B48/CE61)*AX61),0)</f>
        <v>61961</v>
      </c>
      <c r="AY48" s="195">
        <f>ROUND(((B48/CE61)*AY61),0)</f>
        <v>511197</v>
      </c>
      <c r="AZ48" s="195">
        <f>ROUND(((B48/CE61)*AZ61),0)</f>
        <v>262355</v>
      </c>
      <c r="BA48" s="195">
        <f>ROUND(((B48/CE61)*BA61),0)</f>
        <v>0</v>
      </c>
      <c r="BB48" s="195">
        <f>ROUND(((B48/CE61)*BB61),0)</f>
        <v>113405</v>
      </c>
      <c r="BC48" s="195">
        <f>ROUND(((B48/CE61)*BC61),0)</f>
        <v>0</v>
      </c>
      <c r="BD48" s="195">
        <f>ROUND(((B48/CE61)*BD61),0)</f>
        <v>1316007</v>
      </c>
      <c r="BE48" s="195">
        <f>ROUND(((B48/CE61)*BE61),0)</f>
        <v>383619</v>
      </c>
      <c r="BF48" s="195">
        <f>ROUND(((B48/CE61)*BF61),0)</f>
        <v>0</v>
      </c>
      <c r="BG48" s="195">
        <f>ROUND(((B48/CE61)*BG61),0)</f>
        <v>821307</v>
      </c>
      <c r="BH48" s="195">
        <f>ROUND(((B48/CE61)*BH61),0)</f>
        <v>2941104</v>
      </c>
      <c r="BI48" s="195">
        <f>ROUND(((B48/CE61)*BI61),0)</f>
        <v>180837</v>
      </c>
      <c r="BJ48" s="195">
        <f>ROUND(((B48/CE61)*BJ61),0)</f>
        <v>359853</v>
      </c>
      <c r="BK48" s="195">
        <f>ROUND(((B48/CE61)*BK61),0)</f>
        <v>2410778</v>
      </c>
      <c r="BL48" s="195">
        <f>ROUND(((B48/CE61)*BL61),0)</f>
        <v>1021299</v>
      </c>
      <c r="BM48" s="195">
        <f>ROUND(((B48/CE61)*BM61),0)</f>
        <v>445162</v>
      </c>
      <c r="BN48" s="195">
        <f>ROUND(((B48/CE61)*BN61),0)</f>
        <v>1904406</v>
      </c>
      <c r="BO48" s="195">
        <f>ROUND(((B48/CE61)*BO61),0)</f>
        <v>132581</v>
      </c>
      <c r="BP48" s="195">
        <f>ROUND(((B48/CE61)*BP61),0)</f>
        <v>330336</v>
      </c>
      <c r="BQ48" s="195">
        <f>ROUND(((B48/CE61)*BQ61),0)</f>
        <v>0</v>
      </c>
      <c r="BR48" s="195">
        <f>ROUND(((B48/CE61)*BR61),0)</f>
        <v>93724</v>
      </c>
      <c r="BS48" s="195">
        <f>ROUND(((B48/CE61)*BS61),0)</f>
        <v>0</v>
      </c>
      <c r="BT48" s="195">
        <f>ROUND(((B48/CE61)*BT61),0)</f>
        <v>24642</v>
      </c>
      <c r="BU48" s="195">
        <f>ROUND(((B48/CE61)*BU61),0)</f>
        <v>50933</v>
      </c>
      <c r="BV48" s="195">
        <f>ROUND(((B48/CE61)*BV61),0)</f>
        <v>465117</v>
      </c>
      <c r="BW48" s="195">
        <f>ROUND(((B48/CE61)*BW61),0)</f>
        <v>964113</v>
      </c>
      <c r="BX48" s="195">
        <f>ROUND(((B48/CE61)*BX61),0)</f>
        <v>1440497</v>
      </c>
      <c r="BY48" s="195">
        <f>ROUND(((B48/CE61)*BY61),0)</f>
        <v>994446</v>
      </c>
      <c r="BZ48" s="195">
        <f>ROUND(((B48/CE61)*BZ61),0)</f>
        <v>0</v>
      </c>
      <c r="CA48" s="195">
        <f>ROUND(((B48/CE61)*CA61),0)</f>
        <v>738727</v>
      </c>
      <c r="CB48" s="195">
        <f>ROUND(((B48/CE61)*CB61),0)</f>
        <v>0</v>
      </c>
      <c r="CC48" s="195">
        <f>ROUND(((B48/CE61)*CC61),0)</f>
        <v>685036</v>
      </c>
      <c r="CD48" s="195"/>
      <c r="CE48" s="195">
        <f>SUM(C48:CD48)</f>
        <v>96709894</v>
      </c>
    </row>
    <row r="49" spans="1:84" ht="12.6" customHeight="1" x14ac:dyDescent="0.25">
      <c r="A49" s="175" t="s">
        <v>206</v>
      </c>
      <c r="B49" s="195">
        <f>B47+B48</f>
        <v>114707743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40618973</v>
      </c>
      <c r="C51" s="184">
        <v>1680900</v>
      </c>
      <c r="D51" s="184"/>
      <c r="E51" s="184">
        <v>2433959</v>
      </c>
      <c r="F51" s="184"/>
      <c r="G51" s="184"/>
      <c r="H51" s="184"/>
      <c r="I51" s="184"/>
      <c r="J51" s="184"/>
      <c r="K51" s="184">
        <v>469748</v>
      </c>
      <c r="L51" s="184"/>
      <c r="M51" s="184"/>
      <c r="N51" s="184"/>
      <c r="O51" s="184"/>
      <c r="P51" s="184">
        <v>3853279</v>
      </c>
      <c r="Q51" s="184">
        <v>899718</v>
      </c>
      <c r="R51" s="184">
        <v>318029</v>
      </c>
      <c r="S51" s="184">
        <v>702319</v>
      </c>
      <c r="T51" s="184">
        <v>23311</v>
      </c>
      <c r="U51" s="184">
        <v>493157</v>
      </c>
      <c r="V51" s="184"/>
      <c r="W51" s="184">
        <v>609064</v>
      </c>
      <c r="X51" s="184">
        <v>374879</v>
      </c>
      <c r="Y51" s="184">
        <v>2273678</v>
      </c>
      <c r="Z51" s="184">
        <v>688238</v>
      </c>
      <c r="AA51" s="184">
        <v>84070</v>
      </c>
      <c r="AB51" s="184">
        <v>387439</v>
      </c>
      <c r="AC51" s="184">
        <v>82165</v>
      </c>
      <c r="AD51" s="184">
        <v>16207</v>
      </c>
      <c r="AE51" s="184">
        <v>32835</v>
      </c>
      <c r="AF51" s="184">
        <v>5333</v>
      </c>
      <c r="AG51" s="184">
        <v>531083</v>
      </c>
      <c r="AH51" s="184"/>
      <c r="AI51" s="184"/>
      <c r="AJ51" s="184">
        <v>3090673</v>
      </c>
      <c r="AK51" s="184"/>
      <c r="AL51" s="184"/>
      <c r="AM51" s="184"/>
      <c r="AN51" s="184"/>
      <c r="AO51" s="184"/>
      <c r="AP51" s="184">
        <v>3511766</v>
      </c>
      <c r="AQ51" s="184"/>
      <c r="AR51" s="184"/>
      <c r="AS51" s="184"/>
      <c r="AT51" s="184">
        <v>935</v>
      </c>
      <c r="AU51" s="184"/>
      <c r="AV51" s="184">
        <v>1285509</v>
      </c>
      <c r="AW51" s="184">
        <v>69254</v>
      </c>
      <c r="AX51" s="184">
        <v>14641</v>
      </c>
      <c r="AY51" s="184">
        <v>18520</v>
      </c>
      <c r="AZ51" s="184">
        <v>165830</v>
      </c>
      <c r="BA51" s="184">
        <v>5667</v>
      </c>
      <c r="BB51" s="184">
        <v>1148</v>
      </c>
      <c r="BC51" s="184">
        <v>90501</v>
      </c>
      <c r="BD51" s="184">
        <v>22178</v>
      </c>
      <c r="BE51" s="184">
        <v>7497981</v>
      </c>
      <c r="BF51" s="184">
        <v>100427</v>
      </c>
      <c r="BG51" s="184">
        <v>7743</v>
      </c>
      <c r="BH51" s="184">
        <v>7709821</v>
      </c>
      <c r="BI51" s="184">
        <v>14739</v>
      </c>
      <c r="BJ51" s="184">
        <v>7002</v>
      </c>
      <c r="BK51" s="184">
        <v>32957</v>
      </c>
      <c r="BL51" s="184">
        <v>16214</v>
      </c>
      <c r="BM51" s="184">
        <v>74497</v>
      </c>
      <c r="BN51" s="184">
        <v>7322</v>
      </c>
      <c r="BO51" s="184">
        <v>76643</v>
      </c>
      <c r="BP51" s="184">
        <v>118095</v>
      </c>
      <c r="BQ51" s="184"/>
      <c r="BR51" s="184">
        <v>3936</v>
      </c>
      <c r="BS51" s="184"/>
      <c r="BT51" s="184">
        <v>8854</v>
      </c>
      <c r="BU51" s="184">
        <v>2717</v>
      </c>
      <c r="BV51" s="184">
        <v>337438</v>
      </c>
      <c r="BW51" s="184">
        <v>40</v>
      </c>
      <c r="BX51" s="184">
        <v>187355</v>
      </c>
      <c r="BY51" s="184">
        <v>44080</v>
      </c>
      <c r="BZ51" s="184"/>
      <c r="CA51" s="184">
        <v>2755</v>
      </c>
      <c r="CB51" s="184"/>
      <c r="CC51" s="184">
        <v>132324</v>
      </c>
      <c r="CD51" s="195"/>
      <c r="CE51" s="195">
        <f>SUM(C51:CD51)</f>
        <v>40618973</v>
      </c>
    </row>
    <row r="52" spans="1:84" ht="12.6" customHeight="1" x14ac:dyDescent="0.25">
      <c r="A52" s="171" t="s">
        <v>208</v>
      </c>
      <c r="B52" s="184">
        <f>40618973-B51</f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40618973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6191</v>
      </c>
      <c r="D59" s="184"/>
      <c r="E59" s="184">
        <v>58280</v>
      </c>
      <c r="F59" s="184"/>
      <c r="G59" s="184"/>
      <c r="H59" s="184"/>
      <c r="I59" s="184"/>
      <c r="J59" s="184"/>
      <c r="K59" s="184">
        <v>12159</v>
      </c>
      <c r="L59" s="184"/>
      <c r="M59" s="184"/>
      <c r="N59" s="184"/>
      <c r="O59" s="184"/>
      <c r="P59" s="185">
        <v>2263054</v>
      </c>
      <c r="Q59" s="185">
        <v>2027302</v>
      </c>
      <c r="R59" s="185">
        <v>2347015</v>
      </c>
      <c r="S59" s="244"/>
      <c r="T59" s="244"/>
      <c r="U59" s="220">
        <v>2519092</v>
      </c>
      <c r="V59" s="185"/>
      <c r="W59" s="185">
        <v>105837</v>
      </c>
      <c r="X59" s="185">
        <v>165057</v>
      </c>
      <c r="Y59" s="185">
        <v>171978</v>
      </c>
      <c r="Z59" s="185">
        <v>185863</v>
      </c>
      <c r="AA59" s="185">
        <v>23016</v>
      </c>
      <c r="AB59" s="244"/>
      <c r="AC59" s="185">
        <v>147963</v>
      </c>
      <c r="AD59" s="185">
        <v>15947</v>
      </c>
      <c r="AE59" s="185">
        <v>222607</v>
      </c>
      <c r="AF59" s="185">
        <v>3322</v>
      </c>
      <c r="AG59" s="185">
        <v>24985</v>
      </c>
      <c r="AH59" s="185"/>
      <c r="AI59" s="185"/>
      <c r="AJ59" s="185">
        <v>357634</v>
      </c>
      <c r="AK59" s="185"/>
      <c r="AL59" s="185"/>
      <c r="AM59" s="185"/>
      <c r="AN59" s="185"/>
      <c r="AO59" s="185"/>
      <c r="AP59" s="185">
        <v>574796</v>
      </c>
      <c r="AQ59" s="185"/>
      <c r="AR59" s="185"/>
      <c r="AS59" s="185"/>
      <c r="AT59" s="185">
        <v>123</v>
      </c>
      <c r="AU59" s="185"/>
      <c r="AV59" s="244"/>
      <c r="AW59" s="244"/>
      <c r="AX59" s="244"/>
      <c r="AY59" s="185">
        <v>376953</v>
      </c>
      <c r="AZ59" s="185">
        <v>876750</v>
      </c>
      <c r="BA59" s="244"/>
      <c r="BB59" s="244"/>
      <c r="BC59" s="244"/>
      <c r="BD59" s="244"/>
      <c r="BE59" s="185">
        <v>1533878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93.69</v>
      </c>
      <c r="D60" s="187"/>
      <c r="E60" s="187">
        <v>541.4</v>
      </c>
      <c r="F60" s="219"/>
      <c r="G60" s="187"/>
      <c r="H60" s="187"/>
      <c r="I60" s="187"/>
      <c r="J60" s="219"/>
      <c r="K60" s="187">
        <v>129.76</v>
      </c>
      <c r="L60" s="187"/>
      <c r="M60" s="187"/>
      <c r="N60" s="187"/>
      <c r="O60" s="187"/>
      <c r="P60" s="217">
        <v>123.87</v>
      </c>
      <c r="Q60" s="217">
        <v>73.78</v>
      </c>
      <c r="R60" s="217">
        <v>79.56</v>
      </c>
      <c r="S60" s="217">
        <v>122.58</v>
      </c>
      <c r="T60" s="217">
        <v>17.84</v>
      </c>
      <c r="U60" s="217">
        <v>170.77</v>
      </c>
      <c r="V60" s="217"/>
      <c r="W60" s="217">
        <v>11.58</v>
      </c>
      <c r="X60" s="217">
        <v>19.829999999999998</v>
      </c>
      <c r="Y60" s="217">
        <v>119.56</v>
      </c>
      <c r="Z60" s="217">
        <v>40.11</v>
      </c>
      <c r="AA60" s="217">
        <v>7.68</v>
      </c>
      <c r="AB60" s="217">
        <v>79.819999999999993</v>
      </c>
      <c r="AC60" s="217">
        <v>20.329999999999998</v>
      </c>
      <c r="AD60" s="217"/>
      <c r="AE60" s="217">
        <v>76.69</v>
      </c>
      <c r="AF60" s="217">
        <v>6.62</v>
      </c>
      <c r="AG60" s="217">
        <v>74.27</v>
      </c>
      <c r="AH60" s="217"/>
      <c r="AI60" s="217"/>
      <c r="AJ60" s="217">
        <v>883.47</v>
      </c>
      <c r="AK60" s="217"/>
      <c r="AL60" s="217"/>
      <c r="AM60" s="217"/>
      <c r="AN60" s="217"/>
      <c r="AO60" s="217"/>
      <c r="AP60" s="217">
        <v>846.95</v>
      </c>
      <c r="AQ60" s="217"/>
      <c r="AR60" s="217"/>
      <c r="AS60" s="217"/>
      <c r="AT60" s="217">
        <v>19.75</v>
      </c>
      <c r="AU60" s="217"/>
      <c r="AV60" s="217">
        <v>56.15</v>
      </c>
      <c r="AW60" s="217">
        <v>152.97999999999999</v>
      </c>
      <c r="AX60" s="217">
        <v>4</v>
      </c>
      <c r="AY60" s="217">
        <v>57.48</v>
      </c>
      <c r="AZ60" s="217">
        <v>32.44</v>
      </c>
      <c r="BA60" s="217"/>
      <c r="BB60" s="217">
        <v>7.54</v>
      </c>
      <c r="BC60" s="217"/>
      <c r="BD60" s="217">
        <v>53.58</v>
      </c>
      <c r="BE60" s="217">
        <v>32.24</v>
      </c>
      <c r="BF60" s="217"/>
      <c r="BG60" s="217">
        <v>102.12</v>
      </c>
      <c r="BH60" s="217">
        <v>156.53</v>
      </c>
      <c r="BI60" s="217">
        <v>7.24</v>
      </c>
      <c r="BJ60" s="217">
        <v>21.56</v>
      </c>
      <c r="BK60" s="217">
        <v>207.39</v>
      </c>
      <c r="BL60" s="217">
        <v>86.3</v>
      </c>
      <c r="BM60" s="217">
        <v>19.920000000000002</v>
      </c>
      <c r="BN60" s="217">
        <v>56.6</v>
      </c>
      <c r="BO60" s="217">
        <v>6.85</v>
      </c>
      <c r="BP60" s="217">
        <v>16.399999999999999</v>
      </c>
      <c r="BQ60" s="217"/>
      <c r="BR60" s="217">
        <v>4.92</v>
      </c>
      <c r="BS60" s="217"/>
      <c r="BT60" s="217">
        <v>1.59</v>
      </c>
      <c r="BU60" s="217">
        <v>7.77</v>
      </c>
      <c r="BV60" s="217">
        <v>43.89</v>
      </c>
      <c r="BW60" s="217">
        <v>9.14</v>
      </c>
      <c r="BX60" s="217">
        <v>76.19</v>
      </c>
      <c r="BY60" s="217">
        <v>55.03</v>
      </c>
      <c r="BZ60" s="217"/>
      <c r="CA60" s="217">
        <v>47.01</v>
      </c>
      <c r="CB60" s="217"/>
      <c r="CC60" s="217">
        <v>38.479999999999997</v>
      </c>
      <c r="CD60" s="245" t="s">
        <v>221</v>
      </c>
      <c r="CE60" s="247">
        <f t="shared" ref="CE60:CE70" si="0">SUM(C60:CD60)</f>
        <v>4921.25</v>
      </c>
    </row>
    <row r="61" spans="1:84" ht="12.6" customHeight="1" x14ac:dyDescent="0.25">
      <c r="A61" s="171" t="s">
        <v>235</v>
      </c>
      <c r="B61" s="175"/>
      <c r="C61" s="184">
        <v>9543839</v>
      </c>
      <c r="D61" s="184"/>
      <c r="E61" s="184">
        <v>44298743</v>
      </c>
      <c r="F61" s="185"/>
      <c r="G61" s="184"/>
      <c r="H61" s="184"/>
      <c r="I61" s="185"/>
      <c r="J61" s="185"/>
      <c r="K61" s="185">
        <v>9747295</v>
      </c>
      <c r="L61" s="185"/>
      <c r="M61" s="184"/>
      <c r="N61" s="184"/>
      <c r="O61" s="184"/>
      <c r="P61" s="185">
        <v>12240844</v>
      </c>
      <c r="Q61" s="185">
        <v>7975433</v>
      </c>
      <c r="R61" s="185">
        <v>18480096</v>
      </c>
      <c r="S61" s="185">
        <v>6993605</v>
      </c>
      <c r="T61" s="185">
        <v>2278098</v>
      </c>
      <c r="U61" s="185">
        <v>17167134</v>
      </c>
      <c r="V61" s="185"/>
      <c r="W61" s="185">
        <v>2062213</v>
      </c>
      <c r="X61" s="185">
        <v>4047745</v>
      </c>
      <c r="Y61" s="185">
        <v>13887649</v>
      </c>
      <c r="Z61" s="185">
        <v>7405226</v>
      </c>
      <c r="AA61" s="185">
        <v>1127739</v>
      </c>
      <c r="AB61" s="185">
        <v>8881729</v>
      </c>
      <c r="AC61" s="185">
        <v>1826036</v>
      </c>
      <c r="AD61" s="185">
        <v>129003</v>
      </c>
      <c r="AE61" s="185">
        <v>8143982</v>
      </c>
      <c r="AF61" s="185">
        <v>666109</v>
      </c>
      <c r="AG61" s="185">
        <v>10383918</v>
      </c>
      <c r="AH61" s="185"/>
      <c r="AI61" s="185"/>
      <c r="AJ61" s="185">
        <v>141709873</v>
      </c>
      <c r="AK61" s="185"/>
      <c r="AL61" s="185"/>
      <c r="AM61" s="185"/>
      <c r="AN61" s="185"/>
      <c r="AO61" s="185"/>
      <c r="AP61" s="185">
        <v>102767085</v>
      </c>
      <c r="AQ61" s="185"/>
      <c r="AR61" s="185"/>
      <c r="AS61" s="185"/>
      <c r="AT61" s="185">
        <v>1966221</v>
      </c>
      <c r="AU61" s="185"/>
      <c r="AV61" s="185">
        <v>7277405</v>
      </c>
      <c r="AW61" s="185">
        <v>13390299</v>
      </c>
      <c r="AX61" s="185">
        <v>360697</v>
      </c>
      <c r="AY61" s="185">
        <v>2975877</v>
      </c>
      <c r="AZ61" s="185">
        <v>1527270</v>
      </c>
      <c r="BA61" s="185"/>
      <c r="BB61" s="185">
        <v>660174</v>
      </c>
      <c r="BC61" s="185"/>
      <c r="BD61" s="185">
        <v>7660995</v>
      </c>
      <c r="BE61" s="185">
        <v>2233199</v>
      </c>
      <c r="BF61" s="185"/>
      <c r="BG61" s="185">
        <v>4781151</v>
      </c>
      <c r="BH61" s="185">
        <v>17121326</v>
      </c>
      <c r="BI61" s="185">
        <v>1052724</v>
      </c>
      <c r="BJ61" s="185">
        <v>2094844</v>
      </c>
      <c r="BK61" s="185">
        <v>14034085</v>
      </c>
      <c r="BL61" s="185">
        <v>5945382</v>
      </c>
      <c r="BM61" s="185">
        <v>2591462</v>
      </c>
      <c r="BN61" s="185">
        <v>11086295</v>
      </c>
      <c r="BO61" s="185">
        <v>771805</v>
      </c>
      <c r="BP61" s="185">
        <v>1923017</v>
      </c>
      <c r="BQ61" s="185"/>
      <c r="BR61" s="185">
        <v>545604</v>
      </c>
      <c r="BS61" s="185"/>
      <c r="BT61" s="185">
        <v>143452.5</v>
      </c>
      <c r="BU61" s="185">
        <v>296498.5</v>
      </c>
      <c r="BV61" s="185">
        <v>2707631.5</v>
      </c>
      <c r="BW61" s="185">
        <v>5612480.4000000004</v>
      </c>
      <c r="BX61" s="185">
        <v>8385698.4000000004</v>
      </c>
      <c r="BY61" s="185">
        <v>5789062.4000000004</v>
      </c>
      <c r="BZ61" s="185"/>
      <c r="CA61" s="185">
        <v>4300423.2</v>
      </c>
      <c r="CB61" s="185"/>
      <c r="CC61" s="185">
        <f>3987861+3</f>
        <v>3987864</v>
      </c>
      <c r="CD61" s="245" t="s">
        <v>221</v>
      </c>
      <c r="CE61" s="195">
        <f t="shared" si="0"/>
        <v>562986336.89999998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1645067</v>
      </c>
      <c r="D62" s="195">
        <f t="shared" si="1"/>
        <v>0</v>
      </c>
      <c r="E62" s="195">
        <f t="shared" si="1"/>
        <v>7645654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1820783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2121709</v>
      </c>
      <c r="Q62" s="195">
        <f t="shared" si="1"/>
        <v>1377848</v>
      </c>
      <c r="R62" s="195">
        <f t="shared" si="1"/>
        <v>5177145</v>
      </c>
      <c r="S62" s="195">
        <f t="shared" si="1"/>
        <v>1207057</v>
      </c>
      <c r="T62" s="195">
        <f t="shared" si="1"/>
        <v>391332</v>
      </c>
      <c r="U62" s="195">
        <f t="shared" si="1"/>
        <v>3901492</v>
      </c>
      <c r="V62" s="195">
        <f t="shared" si="1"/>
        <v>0</v>
      </c>
      <c r="W62" s="195">
        <f t="shared" si="1"/>
        <v>555434</v>
      </c>
      <c r="X62" s="195">
        <f t="shared" si="1"/>
        <v>1136234</v>
      </c>
      <c r="Y62" s="195">
        <f t="shared" si="1"/>
        <v>3058946</v>
      </c>
      <c r="Z62" s="195">
        <f t="shared" si="1"/>
        <v>1997020</v>
      </c>
      <c r="AA62" s="195">
        <f t="shared" si="1"/>
        <v>256527</v>
      </c>
      <c r="AB62" s="195">
        <f t="shared" si="1"/>
        <v>1546990</v>
      </c>
      <c r="AC62" s="195">
        <f t="shared" si="1"/>
        <v>316188</v>
      </c>
      <c r="AD62" s="195">
        <f t="shared" si="1"/>
        <v>23649</v>
      </c>
      <c r="AE62" s="195">
        <f t="shared" si="1"/>
        <v>1706042</v>
      </c>
      <c r="AF62" s="195">
        <f t="shared" si="1"/>
        <v>167171</v>
      </c>
      <c r="AG62" s="195">
        <f t="shared" si="1"/>
        <v>2617204</v>
      </c>
      <c r="AH62" s="195">
        <f t="shared" si="1"/>
        <v>0</v>
      </c>
      <c r="AI62" s="195">
        <f t="shared" si="1"/>
        <v>0</v>
      </c>
      <c r="AJ62" s="195">
        <f t="shared" si="1"/>
        <v>39532439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26685453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399876</v>
      </c>
      <c r="AU62" s="195">
        <f t="shared" si="1"/>
        <v>0</v>
      </c>
      <c r="AV62" s="195">
        <f t="shared" si="1"/>
        <v>1538906</v>
      </c>
      <c r="AW62" s="195">
        <f t="shared" si="1"/>
        <v>3075784</v>
      </c>
      <c r="AX62" s="195">
        <f t="shared" si="1"/>
        <v>62142</v>
      </c>
      <c r="AY62" s="195">
        <f>ROUND(AY47+AY48,0)</f>
        <v>515392</v>
      </c>
      <c r="AZ62" s="195">
        <f>ROUND(AZ47+AZ48,0)</f>
        <v>262355</v>
      </c>
      <c r="BA62" s="195">
        <f>ROUND(BA47+BA48,0)</f>
        <v>0</v>
      </c>
      <c r="BB62" s="195">
        <f t="shared" si="1"/>
        <v>113825</v>
      </c>
      <c r="BC62" s="195">
        <f t="shared" si="1"/>
        <v>0</v>
      </c>
      <c r="BD62" s="195">
        <f t="shared" si="1"/>
        <v>1619616</v>
      </c>
      <c r="BE62" s="195">
        <f t="shared" si="1"/>
        <v>375483</v>
      </c>
      <c r="BF62" s="195">
        <f t="shared" si="1"/>
        <v>0</v>
      </c>
      <c r="BG62" s="195">
        <f t="shared" si="1"/>
        <v>825275</v>
      </c>
      <c r="BH62" s="195">
        <f t="shared" si="1"/>
        <v>2948971</v>
      </c>
      <c r="BI62" s="195">
        <f t="shared" si="1"/>
        <v>198556</v>
      </c>
      <c r="BJ62" s="195">
        <f t="shared" si="1"/>
        <v>352147</v>
      </c>
      <c r="BK62" s="195">
        <f t="shared" si="1"/>
        <v>2567944</v>
      </c>
      <c r="BL62" s="195">
        <f t="shared" si="1"/>
        <v>1036120</v>
      </c>
      <c r="BM62" s="195">
        <f t="shared" si="1"/>
        <v>515520</v>
      </c>
      <c r="BN62" s="195">
        <f t="shared" si="1"/>
        <v>1923090</v>
      </c>
      <c r="BO62" s="195">
        <f t="shared" ref="BO62:CC62" si="2">ROUND(BO47+BO48,0)</f>
        <v>1594556</v>
      </c>
      <c r="BP62" s="195">
        <f t="shared" si="2"/>
        <v>341131</v>
      </c>
      <c r="BQ62" s="195">
        <f t="shared" si="2"/>
        <v>0</v>
      </c>
      <c r="BR62" s="195">
        <f t="shared" si="2"/>
        <v>227743</v>
      </c>
      <c r="BS62" s="195">
        <f t="shared" si="2"/>
        <v>0</v>
      </c>
      <c r="BT62" s="195">
        <f t="shared" si="2"/>
        <v>24578</v>
      </c>
      <c r="BU62" s="195">
        <f t="shared" si="2"/>
        <v>48033</v>
      </c>
      <c r="BV62" s="195">
        <f t="shared" si="2"/>
        <v>465467</v>
      </c>
      <c r="BW62" s="195">
        <f t="shared" si="2"/>
        <v>-15428924</v>
      </c>
      <c r="BX62" s="195">
        <f t="shared" si="2"/>
        <v>1685261</v>
      </c>
      <c r="BY62" s="195">
        <f t="shared" si="2"/>
        <v>1032620</v>
      </c>
      <c r="BZ62" s="195">
        <f t="shared" si="2"/>
        <v>0</v>
      </c>
      <c r="CA62" s="195">
        <f t="shared" si="2"/>
        <v>799573</v>
      </c>
      <c r="CB62" s="195">
        <f t="shared" si="2"/>
        <v>0</v>
      </c>
      <c r="CC62" s="195">
        <f t="shared" si="2"/>
        <v>699318</v>
      </c>
      <c r="CD62" s="245" t="s">
        <v>221</v>
      </c>
      <c r="CE62" s="195">
        <f t="shared" si="0"/>
        <v>114707742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26580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1875374</v>
      </c>
      <c r="Q63" s="185"/>
      <c r="R63" s="185">
        <v>8340</v>
      </c>
      <c r="S63" s="185"/>
      <c r="T63" s="185"/>
      <c r="U63" s="185">
        <v>33201</v>
      </c>
      <c r="V63" s="185"/>
      <c r="W63" s="185"/>
      <c r="X63" s="185"/>
      <c r="Y63" s="185">
        <v>54052</v>
      </c>
      <c r="Z63" s="185">
        <v>30717</v>
      </c>
      <c r="AA63" s="185">
        <v>0</v>
      </c>
      <c r="AB63" s="185">
        <v>19968</v>
      </c>
      <c r="AC63" s="185"/>
      <c r="AD63" s="185"/>
      <c r="AE63" s="185">
        <v>11</v>
      </c>
      <c r="AF63" s="185"/>
      <c r="AG63" s="185">
        <v>197878</v>
      </c>
      <c r="AH63" s="185"/>
      <c r="AI63" s="185"/>
      <c r="AJ63" s="185">
        <v>1037918</v>
      </c>
      <c r="AK63" s="185"/>
      <c r="AL63" s="185"/>
      <c r="AM63" s="185"/>
      <c r="AN63" s="185"/>
      <c r="AO63" s="185"/>
      <c r="AP63" s="185">
        <v>85589</v>
      </c>
      <c r="AQ63" s="185"/>
      <c r="AR63" s="185"/>
      <c r="AS63" s="185"/>
      <c r="AT63" s="185">
        <v>765400</v>
      </c>
      <c r="AU63" s="185"/>
      <c r="AV63" s="185">
        <v>104674</v>
      </c>
      <c r="AW63" s="185">
        <v>156265</v>
      </c>
      <c r="AX63" s="185">
        <v>715924</v>
      </c>
      <c r="AY63" s="185"/>
      <c r="AZ63" s="185"/>
      <c r="BA63" s="185"/>
      <c r="BB63" s="185"/>
      <c r="BC63" s="185"/>
      <c r="BD63" s="185">
        <v>1120279</v>
      </c>
      <c r="BE63" s="185">
        <v>37879</v>
      </c>
      <c r="BF63" s="185"/>
      <c r="BG63" s="185"/>
      <c r="BH63" s="185">
        <v>48000</v>
      </c>
      <c r="BI63" s="185">
        <v>64886</v>
      </c>
      <c r="BJ63" s="185"/>
      <c r="BK63" s="185">
        <v>2599477</v>
      </c>
      <c r="BL63" s="185"/>
      <c r="BM63" s="185"/>
      <c r="BN63" s="185">
        <v>14617</v>
      </c>
      <c r="BO63" s="185"/>
      <c r="BP63" s="185">
        <v>53</v>
      </c>
      <c r="BQ63" s="185"/>
      <c r="BR63" s="185">
        <v>383254</v>
      </c>
      <c r="BS63" s="185"/>
      <c r="BT63" s="185"/>
      <c r="BU63" s="185"/>
      <c r="BV63" s="185"/>
      <c r="BW63" s="185">
        <v>20523</v>
      </c>
      <c r="BX63" s="185">
        <v>8325</v>
      </c>
      <c r="BY63" s="185">
        <v>44</v>
      </c>
      <c r="BZ63" s="185"/>
      <c r="CA63" s="185">
        <v>59983</v>
      </c>
      <c r="CB63" s="185"/>
      <c r="CC63" s="185">
        <f>1870024-1</f>
        <v>1870023</v>
      </c>
      <c r="CD63" s="245" t="s">
        <v>221</v>
      </c>
      <c r="CE63" s="195">
        <f t="shared" si="0"/>
        <v>11339234</v>
      </c>
      <c r="CF63" s="248"/>
    </row>
    <row r="64" spans="1:84" ht="12.6" customHeight="1" x14ac:dyDescent="0.25">
      <c r="A64" s="171" t="s">
        <v>237</v>
      </c>
      <c r="B64" s="175"/>
      <c r="C64" s="184">
        <v>1565125</v>
      </c>
      <c r="D64" s="184"/>
      <c r="E64" s="185">
        <v>4282194</v>
      </c>
      <c r="F64" s="185"/>
      <c r="G64" s="184"/>
      <c r="H64" s="184"/>
      <c r="I64" s="185"/>
      <c r="J64" s="185"/>
      <c r="K64" s="185">
        <v>1338100</v>
      </c>
      <c r="L64" s="185"/>
      <c r="M64" s="184"/>
      <c r="N64" s="184">
        <v>13899</v>
      </c>
      <c r="O64" s="184"/>
      <c r="P64" s="185">
        <v>50604463</v>
      </c>
      <c r="Q64" s="185">
        <v>1105724</v>
      </c>
      <c r="R64" s="185">
        <v>4137631</v>
      </c>
      <c r="S64" s="185">
        <v>706740</v>
      </c>
      <c r="T64" s="185">
        <v>678163</v>
      </c>
      <c r="U64" s="185">
        <v>11949158</v>
      </c>
      <c r="V64" s="185"/>
      <c r="W64" s="185">
        <v>468141</v>
      </c>
      <c r="X64" s="185">
        <v>664339</v>
      </c>
      <c r="Y64" s="185">
        <v>6122631</v>
      </c>
      <c r="Z64" s="185">
        <v>391420</v>
      </c>
      <c r="AA64" s="185">
        <v>9016365</v>
      </c>
      <c r="AB64" s="185">
        <v>34991585</v>
      </c>
      <c r="AC64" s="185">
        <v>317091</v>
      </c>
      <c r="AD64" s="185">
        <v>38845</v>
      </c>
      <c r="AE64" s="185">
        <v>893345</v>
      </c>
      <c r="AF64" s="185">
        <v>766</v>
      </c>
      <c r="AG64" s="185">
        <v>954591</v>
      </c>
      <c r="AH64" s="185"/>
      <c r="AI64" s="185"/>
      <c r="AJ64" s="185">
        <v>93789459</v>
      </c>
      <c r="AK64" s="185"/>
      <c r="AL64" s="185"/>
      <c r="AM64" s="185"/>
      <c r="AN64" s="185"/>
      <c r="AO64" s="185"/>
      <c r="AP64" s="185">
        <v>36357173</v>
      </c>
      <c r="AQ64" s="185"/>
      <c r="AR64" s="185"/>
      <c r="AS64" s="185"/>
      <c r="AT64" s="185">
        <v>3317692</v>
      </c>
      <c r="AU64" s="185"/>
      <c r="AV64" s="185">
        <v>14669557</v>
      </c>
      <c r="AW64" s="185">
        <v>314424</v>
      </c>
      <c r="AX64" s="185">
        <v>428</v>
      </c>
      <c r="AY64" s="185">
        <v>1010587</v>
      </c>
      <c r="AZ64" s="185">
        <v>2753365</v>
      </c>
      <c r="BA64" s="185"/>
      <c r="BB64" s="185">
        <v>1231</v>
      </c>
      <c r="BC64" s="185">
        <v>184087</v>
      </c>
      <c r="BD64" s="185">
        <v>210809</v>
      </c>
      <c r="BE64" s="185">
        <v>264587</v>
      </c>
      <c r="BF64" s="185">
        <v>33411</v>
      </c>
      <c r="BG64" s="185">
        <v>9804</v>
      </c>
      <c r="BH64" s="185">
        <v>64431</v>
      </c>
      <c r="BI64" s="185">
        <v>116499</v>
      </c>
      <c r="BJ64" s="185">
        <v>27317</v>
      </c>
      <c r="BK64" s="185">
        <v>376096</v>
      </c>
      <c r="BL64" s="185">
        <v>64284</v>
      </c>
      <c r="BM64" s="185">
        <v>28151</v>
      </c>
      <c r="BN64" s="185">
        <v>38444</v>
      </c>
      <c r="BO64" s="185">
        <v>760967</v>
      </c>
      <c r="BP64" s="185">
        <v>20056</v>
      </c>
      <c r="BQ64" s="185"/>
      <c r="BR64" s="185">
        <v>2327</v>
      </c>
      <c r="BS64" s="185"/>
      <c r="BT64" s="185">
        <v>1629</v>
      </c>
      <c r="BU64" s="185">
        <v>12588</v>
      </c>
      <c r="BV64" s="185">
        <v>96602</v>
      </c>
      <c r="BW64" s="185">
        <v>10882</v>
      </c>
      <c r="BX64" s="185">
        <v>101529</v>
      </c>
      <c r="BY64" s="185">
        <v>193371</v>
      </c>
      <c r="BZ64" s="185"/>
      <c r="CA64" s="185">
        <v>26415</v>
      </c>
      <c r="CB64" s="185"/>
      <c r="CC64" s="185">
        <v>354280</v>
      </c>
      <c r="CD64" s="245" t="s">
        <v>221</v>
      </c>
      <c r="CE64" s="195">
        <f t="shared" si="0"/>
        <v>285452798</v>
      </c>
      <c r="CF64" s="248"/>
    </row>
    <row r="65" spans="1:84" ht="12.6" customHeight="1" x14ac:dyDescent="0.25">
      <c r="A65" s="171" t="s">
        <v>238</v>
      </c>
      <c r="B65" s="175"/>
      <c r="C65" s="184">
        <v>31055</v>
      </c>
      <c r="D65" s="184"/>
      <c r="E65" s="184">
        <v>190149</v>
      </c>
      <c r="F65" s="184"/>
      <c r="G65" s="184"/>
      <c r="H65" s="184"/>
      <c r="I65" s="185"/>
      <c r="J65" s="184"/>
      <c r="K65" s="185">
        <v>358183</v>
      </c>
      <c r="L65" s="185"/>
      <c r="M65" s="184"/>
      <c r="N65" s="184">
        <v>20</v>
      </c>
      <c r="O65" s="184"/>
      <c r="P65" s="185">
        <v>90415</v>
      </c>
      <c r="Q65" s="185">
        <v>38464</v>
      </c>
      <c r="R65" s="185">
        <v>30789</v>
      </c>
      <c r="S65" s="185">
        <v>25007</v>
      </c>
      <c r="T65" s="185">
        <v>2536</v>
      </c>
      <c r="U65" s="185">
        <v>49397</v>
      </c>
      <c r="V65" s="185"/>
      <c r="W65" s="185">
        <v>12585</v>
      </c>
      <c r="X65" s="185">
        <v>10695</v>
      </c>
      <c r="Y65" s="185">
        <v>58803</v>
      </c>
      <c r="Z65" s="185">
        <v>29678</v>
      </c>
      <c r="AA65" s="185">
        <v>4686</v>
      </c>
      <c r="AB65" s="185">
        <v>31652</v>
      </c>
      <c r="AC65" s="185">
        <v>5098</v>
      </c>
      <c r="AD65" s="185">
        <v>1703</v>
      </c>
      <c r="AE65" s="185">
        <v>26866</v>
      </c>
      <c r="AF65" s="185">
        <v>2363</v>
      </c>
      <c r="AG65" s="185">
        <v>27737</v>
      </c>
      <c r="AH65" s="185"/>
      <c r="AI65" s="185"/>
      <c r="AJ65" s="185">
        <v>607007</v>
      </c>
      <c r="AK65" s="185"/>
      <c r="AL65" s="185"/>
      <c r="AM65" s="185"/>
      <c r="AN65" s="185"/>
      <c r="AO65" s="185"/>
      <c r="AP65" s="185">
        <v>1774987</v>
      </c>
      <c r="AQ65" s="185"/>
      <c r="AR65" s="185"/>
      <c r="AS65" s="185"/>
      <c r="AT65" s="185">
        <v>7630</v>
      </c>
      <c r="AU65" s="185"/>
      <c r="AV65" s="185">
        <v>34580</v>
      </c>
      <c r="AW65" s="185">
        <v>33055</v>
      </c>
      <c r="AX65" s="185">
        <v>1181</v>
      </c>
      <c r="AY65" s="185">
        <v>9984</v>
      </c>
      <c r="AZ65" s="185">
        <v>37645</v>
      </c>
      <c r="BA65" s="185">
        <v>879</v>
      </c>
      <c r="BB65" s="185">
        <v>8610</v>
      </c>
      <c r="BC65" s="185">
        <v>9864</v>
      </c>
      <c r="BD65" s="185">
        <v>84599</v>
      </c>
      <c r="BE65" s="185">
        <v>6138199</v>
      </c>
      <c r="BF65" s="185">
        <v>1228499</v>
      </c>
      <c r="BG65" s="185">
        <v>54851</v>
      </c>
      <c r="BH65" s="185">
        <v>403573</v>
      </c>
      <c r="BI65" s="185">
        <v>17408</v>
      </c>
      <c r="BJ65" s="185">
        <v>8338</v>
      </c>
      <c r="BK65" s="185">
        <v>70778</v>
      </c>
      <c r="BL65" s="185">
        <v>32217</v>
      </c>
      <c r="BM65" s="185">
        <v>7852</v>
      </c>
      <c r="BN65" s="185">
        <v>83263</v>
      </c>
      <c r="BO65" s="185">
        <v>4029</v>
      </c>
      <c r="BP65" s="185">
        <v>14131</v>
      </c>
      <c r="BQ65" s="185"/>
      <c r="BR65" s="185">
        <v>12561</v>
      </c>
      <c r="BS65" s="185"/>
      <c r="BT65" s="185">
        <v>483</v>
      </c>
      <c r="BU65" s="185">
        <v>5295</v>
      </c>
      <c r="BV65" s="185">
        <v>60122</v>
      </c>
      <c r="BW65" s="185">
        <v>4285</v>
      </c>
      <c r="BX65" s="185">
        <v>70132</v>
      </c>
      <c r="BY65" s="185">
        <v>41194</v>
      </c>
      <c r="BZ65" s="185"/>
      <c r="CA65" s="185">
        <v>7640</v>
      </c>
      <c r="CB65" s="185"/>
      <c r="CC65" s="185">
        <f>248474-1</f>
        <v>248473</v>
      </c>
      <c r="CD65" s="245" t="s">
        <v>221</v>
      </c>
      <c r="CE65" s="195">
        <f t="shared" si="0"/>
        <v>12151225</v>
      </c>
      <c r="CF65" s="248"/>
    </row>
    <row r="66" spans="1:84" ht="12.6" customHeight="1" x14ac:dyDescent="0.25">
      <c r="A66" s="171" t="s">
        <v>239</v>
      </c>
      <c r="B66" s="175"/>
      <c r="C66" s="184">
        <v>44691</v>
      </c>
      <c r="D66" s="184"/>
      <c r="E66" s="184">
        <v>156421</v>
      </c>
      <c r="F66" s="184"/>
      <c r="G66" s="184"/>
      <c r="H66" s="184"/>
      <c r="I66" s="184"/>
      <c r="J66" s="184"/>
      <c r="K66" s="185">
        <v>868924</v>
      </c>
      <c r="L66" s="185"/>
      <c r="M66" s="184"/>
      <c r="N66" s="184">
        <v>960</v>
      </c>
      <c r="O66" s="185"/>
      <c r="P66" s="185">
        <v>416735</v>
      </c>
      <c r="Q66" s="185">
        <v>17273</v>
      </c>
      <c r="R66" s="185">
        <v>13167</v>
      </c>
      <c r="S66" s="184">
        <v>55196</v>
      </c>
      <c r="T66" s="184">
        <v>1837</v>
      </c>
      <c r="U66" s="185">
        <v>4413389</v>
      </c>
      <c r="V66" s="185"/>
      <c r="W66" s="185">
        <v>168813</v>
      </c>
      <c r="X66" s="185">
        <v>54173</v>
      </c>
      <c r="Y66" s="185">
        <v>239584</v>
      </c>
      <c r="Z66" s="185">
        <v>344468</v>
      </c>
      <c r="AA66" s="185">
        <v>2397</v>
      </c>
      <c r="AB66" s="185">
        <v>315560</v>
      </c>
      <c r="AC66" s="185">
        <v>332</v>
      </c>
      <c r="AD66" s="185">
        <v>1491029</v>
      </c>
      <c r="AE66" s="185">
        <v>62528</v>
      </c>
      <c r="AF66" s="185">
        <v>423</v>
      </c>
      <c r="AG66" s="185">
        <v>34423</v>
      </c>
      <c r="AH66" s="185"/>
      <c r="AI66" s="185"/>
      <c r="AJ66" s="185">
        <v>2387781</v>
      </c>
      <c r="AK66" s="185"/>
      <c r="AL66" s="185"/>
      <c r="AM66" s="185"/>
      <c r="AN66" s="185"/>
      <c r="AO66" s="185"/>
      <c r="AP66" s="185">
        <v>2132034</v>
      </c>
      <c r="AQ66" s="185"/>
      <c r="AR66" s="185"/>
      <c r="AS66" s="185"/>
      <c r="AT66" s="185">
        <v>1740181</v>
      </c>
      <c r="AU66" s="185"/>
      <c r="AV66" s="185">
        <v>99389</v>
      </c>
      <c r="AW66" s="185">
        <v>344693</v>
      </c>
      <c r="AX66" s="185">
        <v>3039</v>
      </c>
      <c r="AY66" s="185">
        <v>374259</v>
      </c>
      <c r="AZ66" s="185">
        <v>148320</v>
      </c>
      <c r="BA66" s="185">
        <v>1846460</v>
      </c>
      <c r="BB66" s="185">
        <v>14932</v>
      </c>
      <c r="BC66" s="185">
        <v>3173934</v>
      </c>
      <c r="BD66" s="185">
        <v>701248</v>
      </c>
      <c r="BE66" s="185">
        <v>4585749</v>
      </c>
      <c r="BF66" s="185">
        <v>8272599</v>
      </c>
      <c r="BG66" s="185">
        <v>583</v>
      </c>
      <c r="BH66" s="185">
        <v>1090099</v>
      </c>
      <c r="BI66" s="185">
        <v>669958</v>
      </c>
      <c r="BJ66" s="185">
        <v>523937</v>
      </c>
      <c r="BK66" s="185">
        <v>1276259</v>
      </c>
      <c r="BL66" s="185">
        <v>1402</v>
      </c>
      <c r="BM66" s="185">
        <v>1127112</v>
      </c>
      <c r="BN66" s="185">
        <v>281394</v>
      </c>
      <c r="BO66" s="185">
        <v>44313</v>
      </c>
      <c r="BP66" s="185">
        <v>203194</v>
      </c>
      <c r="BQ66" s="185"/>
      <c r="BR66" s="185">
        <v>1205675</v>
      </c>
      <c r="BS66" s="185"/>
      <c r="BT66" s="185"/>
      <c r="BU66" s="185">
        <v>45490</v>
      </c>
      <c r="BV66" s="185">
        <v>516013</v>
      </c>
      <c r="BW66" s="185">
        <v>37055</v>
      </c>
      <c r="BX66" s="185">
        <v>3097679</v>
      </c>
      <c r="BY66" s="185">
        <v>61002</v>
      </c>
      <c r="BZ66" s="185"/>
      <c r="CA66" s="185">
        <v>133664</v>
      </c>
      <c r="CB66" s="185"/>
      <c r="CC66" s="185">
        <f>4453351+1</f>
        <v>4453352</v>
      </c>
      <c r="CD66" s="245" t="s">
        <v>221</v>
      </c>
      <c r="CE66" s="195">
        <f t="shared" si="0"/>
        <v>49295122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1680900</v>
      </c>
      <c r="D67" s="195">
        <f>ROUND(D51+D52,0)</f>
        <v>0</v>
      </c>
      <c r="E67" s="195">
        <f t="shared" ref="E67:BP67" si="3">ROUND(E51+E52,0)</f>
        <v>2433959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469748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3853279</v>
      </c>
      <c r="Q67" s="195">
        <f t="shared" si="3"/>
        <v>899718</v>
      </c>
      <c r="R67" s="195">
        <f t="shared" si="3"/>
        <v>318029</v>
      </c>
      <c r="S67" s="195">
        <f t="shared" si="3"/>
        <v>702319</v>
      </c>
      <c r="T67" s="195">
        <f t="shared" si="3"/>
        <v>23311</v>
      </c>
      <c r="U67" s="195">
        <f t="shared" si="3"/>
        <v>493157</v>
      </c>
      <c r="V67" s="195">
        <f t="shared" si="3"/>
        <v>0</v>
      </c>
      <c r="W67" s="195">
        <f t="shared" si="3"/>
        <v>609064</v>
      </c>
      <c r="X67" s="195">
        <f t="shared" si="3"/>
        <v>374879</v>
      </c>
      <c r="Y67" s="195">
        <f t="shared" si="3"/>
        <v>2273678</v>
      </c>
      <c r="Z67" s="195">
        <f t="shared" si="3"/>
        <v>688238</v>
      </c>
      <c r="AA67" s="195">
        <f t="shared" si="3"/>
        <v>84070</v>
      </c>
      <c r="AB67" s="195">
        <f t="shared" si="3"/>
        <v>387439</v>
      </c>
      <c r="AC67" s="195">
        <f t="shared" si="3"/>
        <v>82165</v>
      </c>
      <c r="AD67" s="195">
        <f t="shared" si="3"/>
        <v>16207</v>
      </c>
      <c r="AE67" s="195">
        <f t="shared" si="3"/>
        <v>32835</v>
      </c>
      <c r="AF67" s="195">
        <f t="shared" si="3"/>
        <v>5333</v>
      </c>
      <c r="AG67" s="195">
        <f t="shared" si="3"/>
        <v>531083</v>
      </c>
      <c r="AH67" s="195">
        <f t="shared" si="3"/>
        <v>0</v>
      </c>
      <c r="AI67" s="195">
        <f t="shared" si="3"/>
        <v>0</v>
      </c>
      <c r="AJ67" s="195">
        <f t="shared" si="3"/>
        <v>3090673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3511766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935</v>
      </c>
      <c r="AU67" s="195">
        <f t="shared" si="3"/>
        <v>0</v>
      </c>
      <c r="AV67" s="195">
        <f t="shared" si="3"/>
        <v>1285509</v>
      </c>
      <c r="AW67" s="195">
        <f t="shared" si="3"/>
        <v>69254</v>
      </c>
      <c r="AX67" s="195">
        <f t="shared" si="3"/>
        <v>14641</v>
      </c>
      <c r="AY67" s="195">
        <f t="shared" si="3"/>
        <v>18520</v>
      </c>
      <c r="AZ67" s="195">
        <f>ROUND(AZ51+AZ52,0)</f>
        <v>165830</v>
      </c>
      <c r="BA67" s="195">
        <f>ROUND(BA51+BA52,0)</f>
        <v>5667</v>
      </c>
      <c r="BB67" s="195">
        <f t="shared" si="3"/>
        <v>1148</v>
      </c>
      <c r="BC67" s="195">
        <f t="shared" si="3"/>
        <v>90501</v>
      </c>
      <c r="BD67" s="195">
        <f t="shared" si="3"/>
        <v>22178</v>
      </c>
      <c r="BE67" s="195">
        <f t="shared" si="3"/>
        <v>7497981</v>
      </c>
      <c r="BF67" s="195">
        <f t="shared" si="3"/>
        <v>100427</v>
      </c>
      <c r="BG67" s="195">
        <f t="shared" si="3"/>
        <v>7743</v>
      </c>
      <c r="BH67" s="195">
        <f t="shared" si="3"/>
        <v>7709821</v>
      </c>
      <c r="BI67" s="195">
        <f t="shared" si="3"/>
        <v>14739</v>
      </c>
      <c r="BJ67" s="195">
        <f t="shared" si="3"/>
        <v>7002</v>
      </c>
      <c r="BK67" s="195">
        <f t="shared" si="3"/>
        <v>32957</v>
      </c>
      <c r="BL67" s="195">
        <f t="shared" si="3"/>
        <v>16214</v>
      </c>
      <c r="BM67" s="195">
        <f t="shared" si="3"/>
        <v>74497</v>
      </c>
      <c r="BN67" s="195">
        <f t="shared" si="3"/>
        <v>7322</v>
      </c>
      <c r="BO67" s="195">
        <f t="shared" si="3"/>
        <v>76643</v>
      </c>
      <c r="BP67" s="195">
        <f t="shared" si="3"/>
        <v>118095</v>
      </c>
      <c r="BQ67" s="195">
        <f t="shared" ref="BQ67:CC67" si="4">ROUND(BQ51+BQ52,0)</f>
        <v>0</v>
      </c>
      <c r="BR67" s="195">
        <f t="shared" si="4"/>
        <v>3936</v>
      </c>
      <c r="BS67" s="195">
        <f t="shared" si="4"/>
        <v>0</v>
      </c>
      <c r="BT67" s="195">
        <f t="shared" si="4"/>
        <v>8854</v>
      </c>
      <c r="BU67" s="195">
        <f t="shared" si="4"/>
        <v>2717</v>
      </c>
      <c r="BV67" s="195">
        <f t="shared" si="4"/>
        <v>337438</v>
      </c>
      <c r="BW67" s="195">
        <f t="shared" si="4"/>
        <v>40</v>
      </c>
      <c r="BX67" s="195">
        <f t="shared" si="4"/>
        <v>187355</v>
      </c>
      <c r="BY67" s="195">
        <f t="shared" si="4"/>
        <v>44080</v>
      </c>
      <c r="BZ67" s="195">
        <f t="shared" si="4"/>
        <v>0</v>
      </c>
      <c r="CA67" s="195">
        <f t="shared" si="4"/>
        <v>2755</v>
      </c>
      <c r="CB67" s="195">
        <f t="shared" si="4"/>
        <v>0</v>
      </c>
      <c r="CC67" s="195">
        <f t="shared" si="4"/>
        <v>132324</v>
      </c>
      <c r="CD67" s="245" t="s">
        <v>221</v>
      </c>
      <c r="CE67" s="195">
        <f t="shared" si="0"/>
        <v>40618973</v>
      </c>
      <c r="CF67" s="248"/>
    </row>
    <row r="68" spans="1:84" ht="12.6" customHeight="1" x14ac:dyDescent="0.25">
      <c r="A68" s="171" t="s">
        <v>240</v>
      </c>
      <c r="B68" s="175"/>
      <c r="C68" s="184">
        <v>7458</v>
      </c>
      <c r="D68" s="184"/>
      <c r="E68" s="184">
        <v>2886230</v>
      </c>
      <c r="F68" s="184"/>
      <c r="G68" s="184"/>
      <c r="H68" s="184"/>
      <c r="I68" s="184"/>
      <c r="J68" s="184"/>
      <c r="K68" s="185">
        <v>435067</v>
      </c>
      <c r="L68" s="185"/>
      <c r="M68" s="184"/>
      <c r="N68" s="184">
        <v>57</v>
      </c>
      <c r="O68" s="184"/>
      <c r="P68" s="185">
        <v>335372</v>
      </c>
      <c r="Q68" s="185">
        <v>159250</v>
      </c>
      <c r="R68" s="185">
        <v>51</v>
      </c>
      <c r="S68" s="185"/>
      <c r="T68" s="185"/>
      <c r="U68" s="185">
        <v>434433</v>
      </c>
      <c r="V68" s="185"/>
      <c r="W68" s="185">
        <v>2382</v>
      </c>
      <c r="X68" s="185">
        <v>49</v>
      </c>
      <c r="Y68" s="185">
        <v>7313</v>
      </c>
      <c r="Z68" s="185">
        <v>2069</v>
      </c>
      <c r="AA68" s="185">
        <v>18</v>
      </c>
      <c r="AB68" s="185">
        <v>13196</v>
      </c>
      <c r="AC68" s="185">
        <v>2587</v>
      </c>
      <c r="AD68" s="185">
        <v>2167</v>
      </c>
      <c r="AE68" s="185"/>
      <c r="AF68" s="185"/>
      <c r="AG68" s="185">
        <v>2886</v>
      </c>
      <c r="AH68" s="185"/>
      <c r="AI68" s="185"/>
      <c r="AJ68" s="185">
        <v>205305</v>
      </c>
      <c r="AK68" s="185"/>
      <c r="AL68" s="185"/>
      <c r="AM68" s="185"/>
      <c r="AN68" s="185"/>
      <c r="AO68" s="185"/>
      <c r="AP68" s="185">
        <v>5252855</v>
      </c>
      <c r="AQ68" s="185"/>
      <c r="AR68" s="185"/>
      <c r="AS68" s="185"/>
      <c r="AT68" s="185"/>
      <c r="AU68" s="185"/>
      <c r="AV68" s="185">
        <v>47819</v>
      </c>
      <c r="AW68" s="185">
        <v>317698</v>
      </c>
      <c r="AX68" s="185"/>
      <c r="AY68" s="185"/>
      <c r="AZ68" s="185"/>
      <c r="BA68" s="185"/>
      <c r="BB68" s="185"/>
      <c r="BC68" s="185"/>
      <c r="BD68" s="185">
        <v>112348</v>
      </c>
      <c r="BE68" s="185">
        <v>609186</v>
      </c>
      <c r="BF68" s="185"/>
      <c r="BG68" s="185">
        <v>306428</v>
      </c>
      <c r="BH68" s="185">
        <v>2082835</v>
      </c>
      <c r="BI68" s="185"/>
      <c r="BJ68" s="185">
        <v>112563</v>
      </c>
      <c r="BK68" s="185">
        <v>788444</v>
      </c>
      <c r="BL68" s="185"/>
      <c r="BM68" s="185">
        <v>74798</v>
      </c>
      <c r="BN68" s="185">
        <v>46623</v>
      </c>
      <c r="BO68" s="185"/>
      <c r="BP68" s="185"/>
      <c r="BQ68" s="185"/>
      <c r="BR68" s="185"/>
      <c r="BS68" s="185"/>
      <c r="BT68" s="185"/>
      <c r="BU68" s="185"/>
      <c r="BV68" s="185">
        <v>440247</v>
      </c>
      <c r="BW68" s="185"/>
      <c r="BX68" s="185">
        <v>410458</v>
      </c>
      <c r="BY68" s="185">
        <v>11966</v>
      </c>
      <c r="BZ68" s="185"/>
      <c r="CA68" s="185"/>
      <c r="CB68" s="185"/>
      <c r="CC68" s="185">
        <f>1485315-2</f>
        <v>1485313</v>
      </c>
      <c r="CD68" s="245" t="s">
        <v>221</v>
      </c>
      <c r="CE68" s="195">
        <f t="shared" si="0"/>
        <v>16595471</v>
      </c>
      <c r="CF68" s="248"/>
    </row>
    <row r="69" spans="1:84" ht="12.6" customHeight="1" x14ac:dyDescent="0.25">
      <c r="A69" s="171" t="s">
        <v>241</v>
      </c>
      <c r="B69" s="175"/>
      <c r="C69" s="184">
        <v>128895</v>
      </c>
      <c r="D69" s="184"/>
      <c r="E69" s="185">
        <v>460767</v>
      </c>
      <c r="F69" s="185"/>
      <c r="G69" s="184"/>
      <c r="H69" s="184"/>
      <c r="I69" s="185"/>
      <c r="J69" s="185"/>
      <c r="K69" s="185">
        <v>702643</v>
      </c>
      <c r="L69" s="185"/>
      <c r="M69" s="184"/>
      <c r="N69" s="184">
        <v>-15110</v>
      </c>
      <c r="O69" s="184"/>
      <c r="P69" s="185">
        <v>2808639</v>
      </c>
      <c r="Q69" s="185">
        <v>121796</v>
      </c>
      <c r="R69" s="220">
        <v>808278</v>
      </c>
      <c r="S69" s="185">
        <v>442580</v>
      </c>
      <c r="T69" s="184">
        <v>10455</v>
      </c>
      <c r="U69" s="185">
        <v>1085369</v>
      </c>
      <c r="V69" s="185"/>
      <c r="W69" s="184">
        <v>520098</v>
      </c>
      <c r="X69" s="185">
        <v>582517</v>
      </c>
      <c r="Y69" s="185">
        <v>2663909</v>
      </c>
      <c r="Z69" s="185">
        <v>762543</v>
      </c>
      <c r="AA69" s="185">
        <v>310297</v>
      </c>
      <c r="AB69" s="185">
        <v>575898</v>
      </c>
      <c r="AC69" s="185">
        <v>84340</v>
      </c>
      <c r="AD69" s="185">
        <v>19149</v>
      </c>
      <c r="AE69" s="185">
        <v>71901</v>
      </c>
      <c r="AF69" s="185">
        <v>5698</v>
      </c>
      <c r="AG69" s="185">
        <v>108474</v>
      </c>
      <c r="AH69" s="185"/>
      <c r="AI69" s="185"/>
      <c r="AJ69" s="185">
        <v>5238987</v>
      </c>
      <c r="AK69" s="185"/>
      <c r="AL69" s="185"/>
      <c r="AM69" s="185"/>
      <c r="AN69" s="185"/>
      <c r="AO69" s="184"/>
      <c r="AP69" s="185">
        <v>5229349</v>
      </c>
      <c r="AQ69" s="184"/>
      <c r="AR69" s="184"/>
      <c r="AS69" s="184"/>
      <c r="AT69" s="184">
        <v>28910</v>
      </c>
      <c r="AU69" s="185"/>
      <c r="AV69" s="185">
        <v>1285181</v>
      </c>
      <c r="AW69" s="185">
        <v>499375</v>
      </c>
      <c r="AX69" s="185">
        <v>141154</v>
      </c>
      <c r="AY69" s="185">
        <v>14101</v>
      </c>
      <c r="AZ69" s="185">
        <v>349377</v>
      </c>
      <c r="BA69" s="185"/>
      <c r="BB69" s="185">
        <v>132057</v>
      </c>
      <c r="BC69" s="185">
        <v>41964</v>
      </c>
      <c r="BD69" s="185">
        <v>2470559</v>
      </c>
      <c r="BE69" s="185">
        <v>3276074</v>
      </c>
      <c r="BF69" s="185">
        <v>25443</v>
      </c>
      <c r="BG69" s="185">
        <v>169456</v>
      </c>
      <c r="BH69" s="220">
        <v>12909191</v>
      </c>
      <c r="BI69" s="185">
        <v>1140481</v>
      </c>
      <c r="BJ69" s="185">
        <v>-8414</v>
      </c>
      <c r="BK69" s="185">
        <v>1094555</v>
      </c>
      <c r="BL69" s="185">
        <v>7793</v>
      </c>
      <c r="BM69" s="185">
        <v>107837</v>
      </c>
      <c r="BN69" s="185">
        <v>2171262</v>
      </c>
      <c r="BO69" s="185">
        <v>-82993</v>
      </c>
      <c r="BP69" s="185">
        <v>533702</v>
      </c>
      <c r="BQ69" s="185"/>
      <c r="BR69" s="185">
        <v>308297</v>
      </c>
      <c r="BS69" s="185"/>
      <c r="BT69" s="185">
        <v>1031</v>
      </c>
      <c r="BU69" s="185">
        <v>1183483</v>
      </c>
      <c r="BV69" s="185">
        <v>753670</v>
      </c>
      <c r="BW69" s="185">
        <v>1715573</v>
      </c>
      <c r="BX69" s="185">
        <v>5879428</v>
      </c>
      <c r="BY69" s="185">
        <v>270699</v>
      </c>
      <c r="BZ69" s="185"/>
      <c r="CA69" s="185">
        <v>177077</v>
      </c>
      <c r="CB69" s="185"/>
      <c r="CC69" s="185">
        <v>1413670</v>
      </c>
      <c r="CD69" s="188">
        <f>45619071-2956392-549670-448</f>
        <v>42112561</v>
      </c>
      <c r="CE69" s="195">
        <f t="shared" si="0"/>
        <v>102850026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>
        <v>5880692</v>
      </c>
      <c r="L70" s="185"/>
      <c r="M70" s="184"/>
      <c r="N70" s="184"/>
      <c r="O70" s="184"/>
      <c r="P70" s="184"/>
      <c r="Q70" s="184"/>
      <c r="R70" s="184">
        <v>53084</v>
      </c>
      <c r="S70" s="184">
        <v>8487</v>
      </c>
      <c r="T70" s="184"/>
      <c r="U70" s="185">
        <v>42217</v>
      </c>
      <c r="V70" s="184"/>
      <c r="W70" s="184"/>
      <c r="X70" s="185"/>
      <c r="Y70" s="185">
        <v>27367</v>
      </c>
      <c r="Z70" s="185">
        <v>2299591</v>
      </c>
      <c r="AA70" s="185"/>
      <c r="AB70" s="185">
        <v>955979</v>
      </c>
      <c r="AC70" s="185"/>
      <c r="AD70" s="185"/>
      <c r="AE70" s="185">
        <v>403</v>
      </c>
      <c r="AF70" s="185">
        <v>1726</v>
      </c>
      <c r="AG70" s="185"/>
      <c r="AH70" s="185"/>
      <c r="AI70" s="185"/>
      <c r="AJ70" s="185">
        <v>5666564</v>
      </c>
      <c r="AK70" s="185"/>
      <c r="AL70" s="185"/>
      <c r="AM70" s="185"/>
      <c r="AN70" s="185"/>
      <c r="AO70" s="185"/>
      <c r="AP70" s="185">
        <v>2010418</v>
      </c>
      <c r="AQ70" s="185"/>
      <c r="AR70" s="185"/>
      <c r="AS70" s="185"/>
      <c r="AT70" s="185">
        <v>150</v>
      </c>
      <c r="AU70" s="185"/>
      <c r="AV70" s="185">
        <v>178579</v>
      </c>
      <c r="AW70" s="185">
        <v>20666</v>
      </c>
      <c r="AX70" s="185"/>
      <c r="AY70" s="185"/>
      <c r="AZ70" s="185">
        <v>4414491</v>
      </c>
      <c r="BA70" s="185"/>
      <c r="BB70" s="185"/>
      <c r="BC70" s="185"/>
      <c r="BD70" s="185">
        <v>14817247</v>
      </c>
      <c r="BE70" s="185">
        <v>272058</v>
      </c>
      <c r="BF70" s="185"/>
      <c r="BG70" s="185">
        <v>448</v>
      </c>
      <c r="BH70" s="185">
        <v>3182</v>
      </c>
      <c r="BI70" s="185"/>
      <c r="BJ70" s="185"/>
      <c r="BK70" s="185"/>
      <c r="BL70" s="185"/>
      <c r="BM70" s="185">
        <v>384176</v>
      </c>
      <c r="BN70" s="185">
        <v>15570099</v>
      </c>
      <c r="BO70" s="185"/>
      <c r="BP70" s="185"/>
      <c r="BQ70" s="185"/>
      <c r="BR70" s="185"/>
      <c r="BS70" s="185"/>
      <c r="BT70" s="185"/>
      <c r="BU70" s="185">
        <v>328264</v>
      </c>
      <c r="BV70" s="185">
        <v>134521</v>
      </c>
      <c r="BW70" s="185"/>
      <c r="BX70" s="185">
        <v>5027409</v>
      </c>
      <c r="BY70" s="185">
        <v>71453</v>
      </c>
      <c r="BZ70" s="185"/>
      <c r="CA70" s="185">
        <v>93139</v>
      </c>
      <c r="CB70" s="185"/>
      <c r="CC70" s="185">
        <v>8765345</v>
      </c>
      <c r="CD70" s="188">
        <f>-370772-2</f>
        <v>-370774</v>
      </c>
      <c r="CE70" s="195">
        <f t="shared" si="0"/>
        <v>66656981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14647030</v>
      </c>
      <c r="D71" s="195">
        <f t="shared" ref="D71:AI71" si="5">SUM(D61:D69)-D70</f>
        <v>0</v>
      </c>
      <c r="E71" s="195">
        <f t="shared" si="5"/>
        <v>62380697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9860051</v>
      </c>
      <c r="L71" s="195">
        <f t="shared" si="5"/>
        <v>0</v>
      </c>
      <c r="M71" s="195">
        <f t="shared" si="5"/>
        <v>0</v>
      </c>
      <c r="N71" s="195">
        <f t="shared" si="5"/>
        <v>-174</v>
      </c>
      <c r="O71" s="195">
        <f t="shared" si="5"/>
        <v>0</v>
      </c>
      <c r="P71" s="195">
        <f t="shared" si="5"/>
        <v>74346830</v>
      </c>
      <c r="Q71" s="195">
        <f t="shared" si="5"/>
        <v>11695506</v>
      </c>
      <c r="R71" s="195">
        <f t="shared" si="5"/>
        <v>28920442</v>
      </c>
      <c r="S71" s="195">
        <f t="shared" si="5"/>
        <v>10124017</v>
      </c>
      <c r="T71" s="195">
        <f t="shared" si="5"/>
        <v>3385732</v>
      </c>
      <c r="U71" s="195">
        <f t="shared" si="5"/>
        <v>39484513</v>
      </c>
      <c r="V71" s="195">
        <f t="shared" si="5"/>
        <v>0</v>
      </c>
      <c r="W71" s="195">
        <f t="shared" si="5"/>
        <v>4398730</v>
      </c>
      <c r="X71" s="195">
        <f t="shared" si="5"/>
        <v>6870631</v>
      </c>
      <c r="Y71" s="195">
        <f t="shared" si="5"/>
        <v>28339198</v>
      </c>
      <c r="Z71" s="195">
        <f t="shared" si="5"/>
        <v>9351788</v>
      </c>
      <c r="AA71" s="195">
        <f t="shared" si="5"/>
        <v>10802099</v>
      </c>
      <c r="AB71" s="195">
        <f t="shared" si="5"/>
        <v>45808038</v>
      </c>
      <c r="AC71" s="195">
        <f t="shared" si="5"/>
        <v>2633837</v>
      </c>
      <c r="AD71" s="195">
        <f t="shared" si="5"/>
        <v>1721752</v>
      </c>
      <c r="AE71" s="195">
        <f t="shared" si="5"/>
        <v>10937107</v>
      </c>
      <c r="AF71" s="195">
        <f t="shared" si="5"/>
        <v>846137</v>
      </c>
      <c r="AG71" s="195">
        <f t="shared" si="5"/>
        <v>14858194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281932878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181785873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8226695</v>
      </c>
      <c r="AU71" s="195">
        <f t="shared" si="6"/>
        <v>0</v>
      </c>
      <c r="AV71" s="195">
        <f t="shared" si="6"/>
        <v>26164441</v>
      </c>
      <c r="AW71" s="195">
        <f t="shared" si="6"/>
        <v>18180181</v>
      </c>
      <c r="AX71" s="195">
        <f t="shared" si="6"/>
        <v>1299206</v>
      </c>
      <c r="AY71" s="195">
        <f t="shared" si="6"/>
        <v>4918720</v>
      </c>
      <c r="AZ71" s="195">
        <f t="shared" si="6"/>
        <v>829671</v>
      </c>
      <c r="BA71" s="195">
        <f t="shared" si="6"/>
        <v>1853006</v>
      </c>
      <c r="BB71" s="195">
        <f t="shared" si="6"/>
        <v>931977</v>
      </c>
      <c r="BC71" s="195">
        <f t="shared" si="6"/>
        <v>3500350</v>
      </c>
      <c r="BD71" s="195">
        <f t="shared" si="6"/>
        <v>-814616</v>
      </c>
      <c r="BE71" s="195">
        <f t="shared" si="6"/>
        <v>24746279</v>
      </c>
      <c r="BF71" s="195">
        <f t="shared" si="6"/>
        <v>9660379</v>
      </c>
      <c r="BG71" s="195">
        <f t="shared" si="6"/>
        <v>6154843</v>
      </c>
      <c r="BH71" s="195">
        <f t="shared" si="6"/>
        <v>44375065</v>
      </c>
      <c r="BI71" s="195">
        <f t="shared" si="6"/>
        <v>3275251</v>
      </c>
      <c r="BJ71" s="195">
        <f t="shared" si="6"/>
        <v>3117734</v>
      </c>
      <c r="BK71" s="195">
        <f t="shared" si="6"/>
        <v>22840595</v>
      </c>
      <c r="BL71" s="195">
        <f t="shared" si="6"/>
        <v>7103412</v>
      </c>
      <c r="BM71" s="195">
        <f t="shared" si="6"/>
        <v>4143053</v>
      </c>
      <c r="BN71" s="195">
        <f t="shared" si="6"/>
        <v>82211</v>
      </c>
      <c r="BO71" s="195">
        <f t="shared" si="6"/>
        <v>3169320</v>
      </c>
      <c r="BP71" s="195">
        <f t="shared" ref="BP71:CC71" si="7">SUM(BP61:BP69)-BP70</f>
        <v>3153379</v>
      </c>
      <c r="BQ71" s="195">
        <f t="shared" si="7"/>
        <v>0</v>
      </c>
      <c r="BR71" s="195">
        <f t="shared" si="7"/>
        <v>2689397</v>
      </c>
      <c r="BS71" s="195">
        <f t="shared" si="7"/>
        <v>0</v>
      </c>
      <c r="BT71" s="195">
        <f t="shared" si="7"/>
        <v>180027.5</v>
      </c>
      <c r="BU71" s="195">
        <f t="shared" si="7"/>
        <v>1265840.5</v>
      </c>
      <c r="BV71" s="195">
        <f t="shared" si="7"/>
        <v>5242669.5</v>
      </c>
      <c r="BW71" s="195">
        <f t="shared" si="7"/>
        <v>-8028085.5999999996</v>
      </c>
      <c r="BX71" s="195">
        <f t="shared" si="7"/>
        <v>14798456.399999999</v>
      </c>
      <c r="BY71" s="195">
        <f t="shared" si="7"/>
        <v>7372585.4000000004</v>
      </c>
      <c r="BZ71" s="195">
        <f t="shared" si="7"/>
        <v>0</v>
      </c>
      <c r="CA71" s="195">
        <f t="shared" si="7"/>
        <v>5414391.2000000002</v>
      </c>
      <c r="CB71" s="195">
        <f t="shared" si="7"/>
        <v>0</v>
      </c>
      <c r="CC71" s="195">
        <f t="shared" si="7"/>
        <v>5879272</v>
      </c>
      <c r="CD71" s="241">
        <f>CD69-CD70</f>
        <v>42483335</v>
      </c>
      <c r="CE71" s="195">
        <f>SUM(CE61:CE69)-CE70</f>
        <v>1129339946.9000001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39977036</v>
      </c>
      <c r="D73" s="184"/>
      <c r="E73" s="185">
        <v>203609887</v>
      </c>
      <c r="F73" s="185"/>
      <c r="G73" s="184"/>
      <c r="H73" s="184"/>
      <c r="I73" s="185"/>
      <c r="J73" s="185"/>
      <c r="K73" s="185">
        <v>9922622</v>
      </c>
      <c r="L73" s="185"/>
      <c r="M73" s="184"/>
      <c r="N73" s="184"/>
      <c r="O73" s="184"/>
      <c r="P73" s="185">
        <v>282401101</v>
      </c>
      <c r="Q73" s="185">
        <v>7444583</v>
      </c>
      <c r="R73" s="185">
        <v>11296913</v>
      </c>
      <c r="S73" s="185"/>
      <c r="T73" s="185">
        <v>3184981</v>
      </c>
      <c r="U73" s="185">
        <v>33647003</v>
      </c>
      <c r="V73" s="185"/>
      <c r="W73" s="185">
        <v>4359329</v>
      </c>
      <c r="X73" s="185">
        <v>13451482</v>
      </c>
      <c r="Y73" s="185">
        <v>37088150</v>
      </c>
      <c r="Z73" s="185">
        <v>1033284</v>
      </c>
      <c r="AA73" s="185">
        <v>1374637</v>
      </c>
      <c r="AB73" s="185">
        <v>31303612</v>
      </c>
      <c r="AC73" s="185">
        <v>16160775</v>
      </c>
      <c r="AD73" s="185">
        <v>5299558</v>
      </c>
      <c r="AE73" s="185">
        <v>13495522</v>
      </c>
      <c r="AF73" s="185"/>
      <c r="AG73" s="185">
        <v>10591395</v>
      </c>
      <c r="AH73" s="185"/>
      <c r="AI73" s="185"/>
      <c r="AJ73" s="185">
        <v>26504630</v>
      </c>
      <c r="AK73" s="185"/>
      <c r="AL73" s="185"/>
      <c r="AM73" s="185"/>
      <c r="AN73" s="185"/>
      <c r="AO73" s="185"/>
      <c r="AP73" s="185">
        <v>7838</v>
      </c>
      <c r="AQ73" s="185"/>
      <c r="AR73" s="185"/>
      <c r="AS73" s="185"/>
      <c r="AT73" s="185">
        <v>13405000</v>
      </c>
      <c r="AU73" s="185"/>
      <c r="AV73" s="185">
        <f>25360989+1367025+87+12274-1</f>
        <v>26740374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792299712</v>
      </c>
      <c r="CF73" s="248"/>
    </row>
    <row r="74" spans="1:84" ht="12.6" customHeight="1" x14ac:dyDescent="0.25">
      <c r="A74" s="171" t="s">
        <v>246</v>
      </c>
      <c r="B74" s="175"/>
      <c r="C74" s="184">
        <v>87749</v>
      </c>
      <c r="D74" s="184"/>
      <c r="E74" s="185">
        <v>19681896</v>
      </c>
      <c r="F74" s="185"/>
      <c r="G74" s="184"/>
      <c r="H74" s="184"/>
      <c r="I74" s="184"/>
      <c r="J74" s="185"/>
      <c r="K74" s="185">
        <v>932322</v>
      </c>
      <c r="L74" s="185"/>
      <c r="M74" s="184"/>
      <c r="N74" s="184"/>
      <c r="O74" s="184"/>
      <c r="P74" s="185">
        <v>189474814</v>
      </c>
      <c r="Q74" s="185">
        <v>15638130</v>
      </c>
      <c r="R74" s="185">
        <v>66727759</v>
      </c>
      <c r="S74" s="185"/>
      <c r="T74" s="185">
        <v>652770</v>
      </c>
      <c r="U74" s="185">
        <v>114665436</v>
      </c>
      <c r="V74" s="185"/>
      <c r="W74" s="185">
        <v>27367591</v>
      </c>
      <c r="X74" s="185">
        <v>46298339</v>
      </c>
      <c r="Y74" s="185">
        <v>82071068</v>
      </c>
      <c r="Z74" s="185">
        <v>23700333</v>
      </c>
      <c r="AA74" s="185">
        <v>34448986</v>
      </c>
      <c r="AB74" s="185">
        <v>28208525</v>
      </c>
      <c r="AC74" s="185">
        <v>462647</v>
      </c>
      <c r="AD74" s="185">
        <v>413330</v>
      </c>
      <c r="AE74" s="185">
        <v>15775002</v>
      </c>
      <c r="AF74" s="185">
        <v>889419</v>
      </c>
      <c r="AG74" s="185">
        <v>46171165</v>
      </c>
      <c r="AH74" s="185"/>
      <c r="AI74" s="185"/>
      <c r="AJ74" s="185">
        <v>616470597</v>
      </c>
      <c r="AK74" s="185"/>
      <c r="AL74" s="185"/>
      <c r="AM74" s="185"/>
      <c r="AN74" s="185"/>
      <c r="AO74" s="185"/>
      <c r="AP74" s="185">
        <v>435726533</v>
      </c>
      <c r="AQ74" s="185"/>
      <c r="AR74" s="185"/>
      <c r="AS74" s="185"/>
      <c r="AT74" s="185"/>
      <c r="AU74" s="185"/>
      <c r="AV74" s="185">
        <f>89107978+346164+1229591+74568+77741-2</f>
        <v>90836040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1856700451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40064785</v>
      </c>
      <c r="D75" s="195">
        <f t="shared" si="9"/>
        <v>0</v>
      </c>
      <c r="E75" s="195">
        <f t="shared" si="9"/>
        <v>223291783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10854944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471875915</v>
      </c>
      <c r="Q75" s="195">
        <f t="shared" si="9"/>
        <v>23082713</v>
      </c>
      <c r="R75" s="195">
        <f t="shared" si="9"/>
        <v>78024672</v>
      </c>
      <c r="S75" s="195">
        <f t="shared" si="9"/>
        <v>0</v>
      </c>
      <c r="T75" s="195">
        <f t="shared" si="9"/>
        <v>3837751</v>
      </c>
      <c r="U75" s="195">
        <f t="shared" si="9"/>
        <v>148312439</v>
      </c>
      <c r="V75" s="195">
        <f t="shared" si="9"/>
        <v>0</v>
      </c>
      <c r="W75" s="195">
        <f t="shared" si="9"/>
        <v>31726920</v>
      </c>
      <c r="X75" s="195">
        <f t="shared" si="9"/>
        <v>59749821</v>
      </c>
      <c r="Y75" s="195">
        <f t="shared" si="9"/>
        <v>119159218</v>
      </c>
      <c r="Z75" s="195">
        <f t="shared" si="9"/>
        <v>24733617</v>
      </c>
      <c r="AA75" s="195">
        <f t="shared" si="9"/>
        <v>35823623</v>
      </c>
      <c r="AB75" s="195">
        <f t="shared" si="9"/>
        <v>59512137</v>
      </c>
      <c r="AC75" s="195">
        <f t="shared" si="9"/>
        <v>16623422</v>
      </c>
      <c r="AD75" s="195">
        <f t="shared" si="9"/>
        <v>5712888</v>
      </c>
      <c r="AE75" s="195">
        <f t="shared" si="9"/>
        <v>29270524</v>
      </c>
      <c r="AF75" s="195">
        <f t="shared" si="9"/>
        <v>889419</v>
      </c>
      <c r="AG75" s="195">
        <f t="shared" si="9"/>
        <v>56762560</v>
      </c>
      <c r="AH75" s="195">
        <f t="shared" si="9"/>
        <v>0</v>
      </c>
      <c r="AI75" s="195">
        <f t="shared" si="9"/>
        <v>0</v>
      </c>
      <c r="AJ75" s="195">
        <f t="shared" si="9"/>
        <v>642975227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435734371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13405000</v>
      </c>
      <c r="AU75" s="195">
        <f t="shared" si="9"/>
        <v>0</v>
      </c>
      <c r="AV75" s="195">
        <f t="shared" si="9"/>
        <v>117576414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2649000163</v>
      </c>
      <c r="CF75" s="248"/>
    </row>
    <row r="76" spans="1:84" ht="12.6" customHeight="1" x14ac:dyDescent="0.25">
      <c r="A76" s="171" t="s">
        <v>248</v>
      </c>
      <c r="B76" s="175"/>
      <c r="C76" s="184">
        <v>23731</v>
      </c>
      <c r="D76" s="184"/>
      <c r="E76" s="185">
        <v>121615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47987</v>
      </c>
      <c r="Q76" s="185">
        <v>28384</v>
      </c>
      <c r="R76" s="185">
        <v>20413</v>
      </c>
      <c r="S76" s="185">
        <v>18051</v>
      </c>
      <c r="T76" s="185">
        <v>733</v>
      </c>
      <c r="U76" s="185">
        <v>29906</v>
      </c>
      <c r="V76" s="185"/>
      <c r="W76" s="185">
        <v>6723</v>
      </c>
      <c r="X76" s="185">
        <v>4038</v>
      </c>
      <c r="Y76" s="185">
        <v>34680</v>
      </c>
      <c r="Z76" s="185">
        <v>11369</v>
      </c>
      <c r="AA76" s="185">
        <v>6016</v>
      </c>
      <c r="AB76" s="185">
        <v>11158</v>
      </c>
      <c r="AC76" s="185">
        <v>1522</v>
      </c>
      <c r="AD76" s="185">
        <v>1588</v>
      </c>
      <c r="AE76" s="185">
        <v>18982</v>
      </c>
      <c r="AF76" s="185">
        <v>1041</v>
      </c>
      <c r="AG76" s="185">
        <v>15166</v>
      </c>
      <c r="AH76" s="185"/>
      <c r="AI76" s="185"/>
      <c r="AJ76" s="185">
        <v>219409</v>
      </c>
      <c r="AK76" s="185"/>
      <c r="AL76" s="185"/>
      <c r="AM76" s="185"/>
      <c r="AN76" s="185"/>
      <c r="AO76" s="185"/>
      <c r="AP76" s="185">
        <v>258547</v>
      </c>
      <c r="AQ76" s="185"/>
      <c r="AR76" s="185"/>
      <c r="AS76" s="185"/>
      <c r="AT76" s="185">
        <v>2215</v>
      </c>
      <c r="AU76" s="185"/>
      <c r="AV76" s="185">
        <v>22218</v>
      </c>
      <c r="AW76" s="185">
        <v>16656</v>
      </c>
      <c r="AX76" s="185">
        <v>2154</v>
      </c>
      <c r="AY76" s="185">
        <v>5532</v>
      </c>
      <c r="AZ76" s="185">
        <v>17109</v>
      </c>
      <c r="BA76" s="185">
        <v>3205</v>
      </c>
      <c r="BB76" s="185">
        <v>366</v>
      </c>
      <c r="BC76" s="185">
        <v>680</v>
      </c>
      <c r="BD76" s="185">
        <v>7788</v>
      </c>
      <c r="BE76" s="185">
        <v>379101</v>
      </c>
      <c r="BF76" s="185">
        <v>8267</v>
      </c>
      <c r="BG76" s="185">
        <v>11872</v>
      </c>
      <c r="BH76" s="185">
        <v>45901</v>
      </c>
      <c r="BI76" s="185">
        <v>7478</v>
      </c>
      <c r="BJ76" s="185">
        <v>3420</v>
      </c>
      <c r="BK76" s="185">
        <v>23944</v>
      </c>
      <c r="BL76" s="185">
        <v>7469</v>
      </c>
      <c r="BM76" s="185">
        <v>4197</v>
      </c>
      <c r="BN76" s="185">
        <v>10876</v>
      </c>
      <c r="BO76" s="185">
        <v>3380</v>
      </c>
      <c r="BP76" s="185">
        <v>5259</v>
      </c>
      <c r="BQ76" s="185"/>
      <c r="BR76" s="185"/>
      <c r="BS76" s="185"/>
      <c r="BT76" s="185">
        <v>849</v>
      </c>
      <c r="BU76" s="185">
        <v>5560</v>
      </c>
      <c r="BV76" s="185">
        <v>14063</v>
      </c>
      <c r="BW76" s="185"/>
      <c r="BX76" s="185">
        <v>21980</v>
      </c>
      <c r="BY76" s="185">
        <v>6264</v>
      </c>
      <c r="BZ76" s="185"/>
      <c r="CA76" s="185">
        <v>3905</v>
      </c>
      <c r="CB76" s="185"/>
      <c r="CC76" s="185">
        <v>11111</v>
      </c>
      <c r="CD76" s="245" t="s">
        <v>221</v>
      </c>
      <c r="CE76" s="195">
        <f t="shared" si="8"/>
        <v>1533878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12423</v>
      </c>
      <c r="D77" s="184"/>
      <c r="E77" s="184">
        <v>330224</v>
      </c>
      <c r="F77" s="184"/>
      <c r="G77" s="184"/>
      <c r="H77" s="184"/>
      <c r="I77" s="184"/>
      <c r="J77" s="184"/>
      <c r="K77" s="184"/>
      <c r="L77" s="184"/>
      <c r="M77" s="184"/>
      <c r="N77" s="184">
        <v>568</v>
      </c>
      <c r="O77" s="184"/>
      <c r="P77" s="184"/>
      <c r="Q77" s="184">
        <v>356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32682</v>
      </c>
      <c r="AH77" s="184"/>
      <c r="AI77" s="184"/>
      <c r="AJ77" s="184">
        <v>631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69</v>
      </c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376953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2479</v>
      </c>
      <c r="D78" s="184"/>
      <c r="E78" s="184">
        <v>12704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5013</v>
      </c>
      <c r="Q78" s="184">
        <v>2965</v>
      </c>
      <c r="R78" s="184">
        <v>2132</v>
      </c>
      <c r="S78" s="184">
        <v>1886</v>
      </c>
      <c r="T78" s="184">
        <v>77</v>
      </c>
      <c r="U78" s="184">
        <v>3124</v>
      </c>
      <c r="V78" s="184"/>
      <c r="W78" s="184">
        <v>702</v>
      </c>
      <c r="X78" s="184">
        <v>422</v>
      </c>
      <c r="Y78" s="184">
        <v>3623</v>
      </c>
      <c r="Z78" s="184">
        <v>1188</v>
      </c>
      <c r="AA78" s="184">
        <v>628</v>
      </c>
      <c r="AB78" s="184">
        <v>1166</v>
      </c>
      <c r="AC78" s="184">
        <v>159</v>
      </c>
      <c r="AD78" s="184">
        <v>166</v>
      </c>
      <c r="AE78" s="184">
        <v>1983</v>
      </c>
      <c r="AF78" s="184">
        <v>109</v>
      </c>
      <c r="AG78" s="184">
        <v>1584</v>
      </c>
      <c r="AH78" s="184"/>
      <c r="AI78" s="184"/>
      <c r="AJ78" s="184">
        <v>22919</v>
      </c>
      <c r="AK78" s="184"/>
      <c r="AL78" s="184"/>
      <c r="AM78" s="184"/>
      <c r="AN78" s="184"/>
      <c r="AO78" s="184"/>
      <c r="AP78" s="184">
        <v>27008</v>
      </c>
      <c r="AQ78" s="184"/>
      <c r="AR78" s="184"/>
      <c r="AS78" s="184"/>
      <c r="AT78" s="184">
        <v>231</v>
      </c>
      <c r="AU78" s="184"/>
      <c r="AV78" s="184">
        <v>2321</v>
      </c>
      <c r="AW78" s="184">
        <v>1740</v>
      </c>
      <c r="AX78" s="245" t="s">
        <v>221</v>
      </c>
      <c r="AY78" s="245" t="s">
        <v>221</v>
      </c>
      <c r="AZ78" s="245" t="s">
        <v>221</v>
      </c>
      <c r="BA78" s="184">
        <v>335</v>
      </c>
      <c r="BB78" s="184">
        <v>38</v>
      </c>
      <c r="BC78" s="184">
        <v>71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4792</v>
      </c>
      <c r="BI78" s="184">
        <v>781</v>
      </c>
      <c r="BJ78" s="245" t="s">
        <v>221</v>
      </c>
      <c r="BK78" s="184">
        <v>2501</v>
      </c>
      <c r="BL78" s="184">
        <v>780</v>
      </c>
      <c r="BM78" s="184">
        <v>438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0</v>
      </c>
      <c r="BT78" s="184">
        <v>89</v>
      </c>
      <c r="BU78" s="184">
        <v>581</v>
      </c>
      <c r="BV78" s="184">
        <v>1469</v>
      </c>
      <c r="BW78" s="184">
        <v>0</v>
      </c>
      <c r="BX78" s="184">
        <v>2296</v>
      </c>
      <c r="BY78" s="184">
        <v>654</v>
      </c>
      <c r="BZ78" s="184"/>
      <c r="CA78" s="184">
        <f>408-1</f>
        <v>407</v>
      </c>
      <c r="CB78" s="184"/>
      <c r="CC78" s="245" t="s">
        <v>221</v>
      </c>
      <c r="CD78" s="245" t="s">
        <v>221</v>
      </c>
      <c r="CE78" s="195">
        <f t="shared" si="8"/>
        <v>111561</v>
      </c>
      <c r="CF78" s="195"/>
    </row>
    <row r="79" spans="1:84" ht="12.6" customHeight="1" x14ac:dyDescent="0.25">
      <c r="A79" s="171" t="s">
        <v>1023</v>
      </c>
      <c r="B79" s="175"/>
      <c r="C79" s="221">
        <v>41843</v>
      </c>
      <c r="D79" s="221"/>
      <c r="E79" s="184">
        <v>375561</v>
      </c>
      <c r="F79" s="184"/>
      <c r="G79" s="184"/>
      <c r="H79" s="184"/>
      <c r="I79" s="184"/>
      <c r="J79" s="184"/>
      <c r="K79" s="184">
        <v>506</v>
      </c>
      <c r="L79" s="184"/>
      <c r="M79" s="184"/>
      <c r="N79" s="184"/>
      <c r="O79" s="184"/>
      <c r="P79" s="184">
        <v>413159</v>
      </c>
      <c r="Q79" s="184">
        <v>22712</v>
      </c>
      <c r="R79" s="184">
        <v>49792</v>
      </c>
      <c r="S79" s="184"/>
      <c r="T79" s="184">
        <v>1169</v>
      </c>
      <c r="U79" s="184">
        <v>14024</v>
      </c>
      <c r="V79" s="184"/>
      <c r="W79" s="184">
        <v>60617</v>
      </c>
      <c r="X79" s="184">
        <v>82206</v>
      </c>
      <c r="Y79" s="184">
        <v>312430</v>
      </c>
      <c r="Z79" s="184">
        <v>26231</v>
      </c>
      <c r="AA79" s="184">
        <v>33064</v>
      </c>
      <c r="AB79" s="184"/>
      <c r="AC79" s="184">
        <v>6877</v>
      </c>
      <c r="AD79" s="184">
        <v>1944</v>
      </c>
      <c r="AE79" s="184">
        <v>18254</v>
      </c>
      <c r="AF79" s="184">
        <v>0</v>
      </c>
      <c r="AG79" s="184">
        <v>113466</v>
      </c>
      <c r="AH79" s="184"/>
      <c r="AI79" s="184"/>
      <c r="AJ79" s="184">
        <v>283624</v>
      </c>
      <c r="AK79" s="184"/>
      <c r="AL79" s="184"/>
      <c r="AM79" s="184"/>
      <c r="AN79" s="184"/>
      <c r="AO79" s="184"/>
      <c r="AP79" s="184">
        <v>345394</v>
      </c>
      <c r="AQ79" s="184"/>
      <c r="AR79" s="184"/>
      <c r="AS79" s="184"/>
      <c r="AT79" s="184"/>
      <c r="AU79" s="184"/>
      <c r="AV79" s="184">
        <v>72017</v>
      </c>
      <c r="AW79" s="184">
        <v>315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>
        <v>3968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2279173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81.819999999999993</v>
      </c>
      <c r="D80" s="187"/>
      <c r="E80" s="187">
        <v>473.82</v>
      </c>
      <c r="F80" s="187"/>
      <c r="G80" s="187"/>
      <c r="H80" s="187"/>
      <c r="I80" s="187"/>
      <c r="J80" s="187"/>
      <c r="K80" s="187">
        <v>79.959999999999994</v>
      </c>
      <c r="L80" s="187"/>
      <c r="M80" s="187"/>
      <c r="N80" s="187"/>
      <c r="O80" s="187"/>
      <c r="P80" s="187">
        <v>58.34</v>
      </c>
      <c r="Q80" s="187">
        <v>67.63</v>
      </c>
      <c r="R80" s="187">
        <v>4.67</v>
      </c>
      <c r="S80" s="187">
        <v>0.02</v>
      </c>
      <c r="T80" s="187">
        <v>17.03</v>
      </c>
      <c r="U80" s="187"/>
      <c r="V80" s="187"/>
      <c r="W80" s="187"/>
      <c r="X80" s="187"/>
      <c r="Y80" s="187">
        <v>12.88</v>
      </c>
      <c r="Z80" s="187">
        <v>3.63</v>
      </c>
      <c r="AA80" s="187"/>
      <c r="AB80" s="187">
        <v>0.01</v>
      </c>
      <c r="AC80" s="187"/>
      <c r="AD80" s="187"/>
      <c r="AE80" s="187">
        <v>13.44</v>
      </c>
      <c r="AF80" s="187">
        <v>0.11</v>
      </c>
      <c r="AG80" s="187">
        <v>33.82</v>
      </c>
      <c r="AH80" s="187"/>
      <c r="AI80" s="187"/>
      <c r="AJ80" s="187">
        <v>298.20999999999998</v>
      </c>
      <c r="AK80" s="187"/>
      <c r="AL80" s="187"/>
      <c r="AM80" s="187"/>
      <c r="AN80" s="187"/>
      <c r="AO80" s="187"/>
      <c r="AP80" s="187">
        <v>395.08</v>
      </c>
      <c r="AQ80" s="187"/>
      <c r="AR80" s="187"/>
      <c r="AS80" s="187"/>
      <c r="AT80" s="187">
        <v>7.46</v>
      </c>
      <c r="AU80" s="187"/>
      <c r="AV80" s="187">
        <v>29.59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1577.52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1004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1005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1006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1017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1018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1003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1019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1013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12221</v>
      </c>
      <c r="D111" s="174">
        <v>64471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63</v>
      </c>
      <c r="D112" s="174">
        <v>12159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192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35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255</v>
      </c>
    </row>
    <row r="128" spans="1:5" ht="12.6" customHeight="1" x14ac:dyDescent="0.25">
      <c r="A128" s="173" t="s">
        <v>292</v>
      </c>
      <c r="B128" s="172" t="s">
        <v>256</v>
      </c>
      <c r="C128" s="189">
        <v>371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7063</v>
      </c>
      <c r="C138" s="189">
        <v>1173</v>
      </c>
      <c r="D138" s="174">
        <v>3985</v>
      </c>
      <c r="E138" s="175">
        <f>SUM(B138:D138)</f>
        <v>12221</v>
      </c>
    </row>
    <row r="139" spans="1:6" ht="12.6" customHeight="1" x14ac:dyDescent="0.25">
      <c r="A139" s="173" t="s">
        <v>215</v>
      </c>
      <c r="B139" s="174">
        <v>39312</v>
      </c>
      <c r="C139" s="189">
        <v>9091</v>
      </c>
      <c r="D139" s="174">
        <v>16068</v>
      </c>
      <c r="E139" s="175">
        <f>SUM(B139:D139)</f>
        <v>64471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461959565.5</v>
      </c>
      <c r="C141" s="189">
        <f>84376744.5-C147</f>
        <v>74972272.5</v>
      </c>
      <c r="D141" s="174">
        <f>245963401.5-D147</f>
        <v>245445251.5</v>
      </c>
      <c r="E141" s="175">
        <f>SUM(B141:D141)</f>
        <v>782377089.5</v>
      </c>
      <c r="F141" s="199"/>
    </row>
    <row r="142" spans="1:6" ht="12.6" customHeight="1" x14ac:dyDescent="0.25">
      <c r="A142" s="173" t="s">
        <v>246</v>
      </c>
      <c r="B142" s="174">
        <v>773880812</v>
      </c>
      <c r="C142" s="189">
        <f>103401107-C148</f>
        <v>103401107</v>
      </c>
      <c r="D142" s="174">
        <f>979418532-D148</f>
        <v>978491157</v>
      </c>
      <c r="E142" s="175">
        <f>SUM(B142:D142)</f>
        <v>1855773076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>
        <v>58</v>
      </c>
      <c r="D144" s="174">
        <v>5</v>
      </c>
      <c r="E144" s="175">
        <f>SUM(B144:D144)</f>
        <v>63</v>
      </c>
    </row>
    <row r="145" spans="1:5" ht="12.6" customHeight="1" x14ac:dyDescent="0.25">
      <c r="A145" s="173" t="s">
        <v>215</v>
      </c>
      <c r="B145" s="174"/>
      <c r="C145" s="189">
        <v>11891</v>
      </c>
      <c r="D145" s="174">
        <v>268</v>
      </c>
      <c r="E145" s="175">
        <f>SUM(B145:D145)</f>
        <v>12159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>
        <v>9404472</v>
      </c>
      <c r="D147" s="174">
        <v>518150</v>
      </c>
      <c r="E147" s="175">
        <f>SUM(B147:D147)</f>
        <v>9922622</v>
      </c>
    </row>
    <row r="148" spans="1:5" ht="12.6" customHeight="1" x14ac:dyDescent="0.25">
      <c r="A148" s="173" t="s">
        <v>246</v>
      </c>
      <c r="B148" s="174"/>
      <c r="C148" s="189"/>
      <c r="D148" s="174">
        <v>927375</v>
      </c>
      <c r="E148" s="175">
        <f>SUM(B148:D148)</f>
        <v>927375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34654773.5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315958.5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1863363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41050962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394619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24641110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14338374-2551418</f>
        <v>11786956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114707742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f>50320-40848+597461+3495919+834627+6664116</f>
        <v>11601595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635597+100586+4246261+11432</f>
        <v>4993876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16595471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f>4716347+1290817</f>
        <v>6007164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644264+1408835+241420</f>
        <v>2294519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8301683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801150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153251+521647+2539310+8887394+152080+174381+24000+10118548-447</f>
        <v>22570164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23371314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13030076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13030076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40851055.5</v>
      </c>
      <c r="C195" s="189"/>
      <c r="D195" s="174">
        <v>1863</v>
      </c>
      <c r="E195" s="175">
        <f t="shared" ref="E195:E203" si="10">SUM(B195:C195)-D195</f>
        <v>40849192.5</v>
      </c>
    </row>
    <row r="196" spans="1:8" ht="12.6" customHeight="1" x14ac:dyDescent="0.25">
      <c r="A196" s="173" t="s">
        <v>333</v>
      </c>
      <c r="B196" s="174">
        <v>3084541.5</v>
      </c>
      <c r="C196" s="189">
        <v>167229</v>
      </c>
      <c r="D196" s="174"/>
      <c r="E196" s="175">
        <f t="shared" si="10"/>
        <v>3251770.5</v>
      </c>
    </row>
    <row r="197" spans="1:8" ht="12.6" customHeight="1" x14ac:dyDescent="0.25">
      <c r="A197" s="173" t="s">
        <v>334</v>
      </c>
      <c r="B197" s="174">
        <v>621684640</v>
      </c>
      <c r="C197" s="189">
        <v>8455068</v>
      </c>
      <c r="D197" s="174"/>
      <c r="E197" s="175">
        <f t="shared" si="10"/>
        <v>630139708</v>
      </c>
    </row>
    <row r="198" spans="1:8" ht="12.6" customHeight="1" x14ac:dyDescent="0.25">
      <c r="A198" s="173" t="s">
        <v>335</v>
      </c>
      <c r="B198" s="174">
        <v>42388584</v>
      </c>
      <c r="C198" s="189">
        <v>201213</v>
      </c>
      <c r="D198" s="174"/>
      <c r="E198" s="175">
        <f t="shared" si="10"/>
        <v>42589797</v>
      </c>
    </row>
    <row r="199" spans="1:8" ht="12.6" customHeight="1" x14ac:dyDescent="0.25">
      <c r="A199" s="173" t="s">
        <v>336</v>
      </c>
      <c r="B199" s="174">
        <v>3797270</v>
      </c>
      <c r="C199" s="189"/>
      <c r="D199" s="174"/>
      <c r="E199" s="175">
        <f t="shared" si="10"/>
        <v>3797270</v>
      </c>
    </row>
    <row r="200" spans="1:8" ht="12.6" customHeight="1" x14ac:dyDescent="0.25">
      <c r="A200" s="173" t="s">
        <v>337</v>
      </c>
      <c r="B200" s="174">
        <v>357018304</v>
      </c>
      <c r="C200" s="189">
        <v>15588947</v>
      </c>
      <c r="D200" s="174">
        <v>143376</v>
      </c>
      <c r="E200" s="175">
        <f t="shared" si="10"/>
        <v>372463875</v>
      </c>
    </row>
    <row r="201" spans="1:8" ht="12.6" customHeight="1" x14ac:dyDescent="0.25">
      <c r="A201" s="173" t="s">
        <v>338</v>
      </c>
      <c r="B201" s="174">
        <v>18237955</v>
      </c>
      <c r="C201" s="189">
        <v>1267518</v>
      </c>
      <c r="D201" s="174"/>
      <c r="E201" s="175">
        <f t="shared" si="10"/>
        <v>19505473</v>
      </c>
    </row>
    <row r="202" spans="1:8" ht="12.6" customHeight="1" x14ac:dyDescent="0.25">
      <c r="A202" s="173" t="s">
        <v>339</v>
      </c>
      <c r="B202" s="174">
        <v>23290294</v>
      </c>
      <c r="C202" s="189"/>
      <c r="D202" s="174">
        <v>54247</v>
      </c>
      <c r="E202" s="175">
        <f t="shared" si="10"/>
        <v>23236047</v>
      </c>
    </row>
    <row r="203" spans="1:8" ht="12.6" customHeight="1" x14ac:dyDescent="0.25">
      <c r="A203" s="173" t="s">
        <v>340</v>
      </c>
      <c r="B203" s="174">
        <v>33758736</v>
      </c>
      <c r="C203" s="189">
        <v>24427348</v>
      </c>
      <c r="D203" s="174">
        <v>13381826</v>
      </c>
      <c r="E203" s="175">
        <f t="shared" si="10"/>
        <v>44804258</v>
      </c>
    </row>
    <row r="204" spans="1:8" ht="12.6" customHeight="1" x14ac:dyDescent="0.25">
      <c r="A204" s="173" t="s">
        <v>203</v>
      </c>
      <c r="B204" s="175">
        <f>SUM(B195:B203)</f>
        <v>1144111380</v>
      </c>
      <c r="C204" s="191">
        <f>SUM(C195:C203)</f>
        <v>50107323</v>
      </c>
      <c r="D204" s="175">
        <f>SUM(D195:D203)</f>
        <v>13581312</v>
      </c>
      <c r="E204" s="175">
        <f>SUM(E195:E203)</f>
        <v>1180637391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1150264</v>
      </c>
      <c r="C209" s="189">
        <v>108824</v>
      </c>
      <c r="D209" s="174"/>
      <c r="E209" s="175">
        <f t="shared" ref="E209:E216" si="11">SUM(B209:C209)-D209</f>
        <v>1259088</v>
      </c>
      <c r="H209" s="255"/>
    </row>
    <row r="210" spans="1:8" ht="12.6" customHeight="1" x14ac:dyDescent="0.25">
      <c r="A210" s="173" t="s">
        <v>334</v>
      </c>
      <c r="B210" s="174">
        <v>231083408</v>
      </c>
      <c r="C210" s="189">
        <v>19399902.300000001</v>
      </c>
      <c r="D210" s="174"/>
      <c r="E210" s="175">
        <f t="shared" si="11"/>
        <v>250483310.30000001</v>
      </c>
      <c r="H210" s="255"/>
    </row>
    <row r="211" spans="1:8" ht="12.6" customHeight="1" x14ac:dyDescent="0.25">
      <c r="A211" s="173" t="s">
        <v>335</v>
      </c>
      <c r="B211" s="174">
        <v>36788644</v>
      </c>
      <c r="C211" s="189">
        <v>911276</v>
      </c>
      <c r="D211" s="174"/>
      <c r="E211" s="175">
        <f t="shared" si="11"/>
        <v>37699920</v>
      </c>
      <c r="H211" s="255"/>
    </row>
    <row r="212" spans="1:8" ht="12.6" customHeight="1" x14ac:dyDescent="0.25">
      <c r="A212" s="173" t="s">
        <v>336</v>
      </c>
      <c r="B212" s="174">
        <v>3797270</v>
      </c>
      <c r="C212" s="189"/>
      <c r="D212" s="174"/>
      <c r="E212" s="175">
        <f t="shared" si="11"/>
        <v>3797270</v>
      </c>
      <c r="H212" s="255"/>
    </row>
    <row r="213" spans="1:8" ht="12.6" customHeight="1" x14ac:dyDescent="0.25">
      <c r="A213" s="173" t="s">
        <v>337</v>
      </c>
      <c r="B213" s="174">
        <v>290297388</v>
      </c>
      <c r="C213" s="189">
        <f>18285063-200000</f>
        <v>18085063</v>
      </c>
      <c r="D213" s="174"/>
      <c r="E213" s="175">
        <f t="shared" si="11"/>
        <v>308382451</v>
      </c>
      <c r="H213" s="255"/>
    </row>
    <row r="214" spans="1:8" ht="12.6" customHeight="1" x14ac:dyDescent="0.25">
      <c r="A214" s="173" t="s">
        <v>338</v>
      </c>
      <c r="B214" s="174">
        <v>16152964</v>
      </c>
      <c r="C214" s="189">
        <v>1371921</v>
      </c>
      <c r="D214" s="174"/>
      <c r="E214" s="175">
        <f t="shared" si="11"/>
        <v>17524885</v>
      </c>
      <c r="H214" s="255"/>
    </row>
    <row r="215" spans="1:8" ht="12.6" customHeight="1" x14ac:dyDescent="0.25">
      <c r="A215" s="173" t="s">
        <v>339</v>
      </c>
      <c r="B215" s="174">
        <v>16263108</v>
      </c>
      <c r="C215" s="189">
        <v>1000532</v>
      </c>
      <c r="D215" s="174"/>
      <c r="E215" s="175">
        <f t="shared" si="11"/>
        <v>17263640</v>
      </c>
      <c r="H215" s="255"/>
    </row>
    <row r="216" spans="1:8" ht="12.6" customHeight="1" x14ac:dyDescent="0.25">
      <c r="A216" s="173" t="s">
        <v>340</v>
      </c>
      <c r="B216" s="174"/>
      <c r="C216" s="189">
        <f>-200000+200000</f>
        <v>0</v>
      </c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595533046</v>
      </c>
      <c r="C217" s="191">
        <f>SUM(C208:C216)</f>
        <v>40877518.299999997</v>
      </c>
      <c r="D217" s="175">
        <f>SUM(D208:D216)</f>
        <v>0</v>
      </c>
      <c r="E217" s="175">
        <f>SUM(E208:E216)</f>
        <v>636410564.29999995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394" t="s">
        <v>991</v>
      </c>
      <c r="C220" s="394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181799</v>
      </c>
      <c r="D221" s="172">
        <f>C221</f>
        <v>181799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873307647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132796015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14298021.5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17996012.5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352967310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1391365006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4973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6534885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19126137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25661022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f>72714634-72714634+72742269</f>
        <v>72742269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35372394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108114663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1525322490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73870302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320171805.5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194683774.40000001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f>3262531-3262531</f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10891535+3262531</f>
        <v>14154066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21470163.399999999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7927180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1789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242911531.5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357538796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10189401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367728197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40849193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3251771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630139708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42589796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3797270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391969348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23236047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44804258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1180637391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636410564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544226827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1020</v>
      </c>
      <c r="B282" s="172" t="s">
        <v>256</v>
      </c>
      <c r="C282" s="189">
        <f>86234985-86234985+94590755</f>
        <v>94590755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94590755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f>9706436-9706436+1350666</f>
        <v>1350666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1350666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1250807976.5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54207757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72540050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7258586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5382566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28122711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167511670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415620118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152186077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567806195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567806195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515490112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1250807977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1250807976.5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f>E141+E147</f>
        <v>792299711.5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E142+E148</f>
        <v>1856700451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2649000162.5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f>D221</f>
        <v>181799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D229</f>
        <v>1391365006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D236</f>
        <v>25661022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D240</f>
        <v>108114663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1525322490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1123677672.5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CE70</f>
        <v>66656981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66656981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1190334653.5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CE61</f>
        <v>562986336.89999998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D173</f>
        <v>114707742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 t="shared" ref="C380:C385" si="12">CE63</f>
        <v>11339234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 t="shared" si="12"/>
        <v>285452798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 t="shared" si="12"/>
        <v>12151225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 t="shared" si="12"/>
        <v>49295122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 t="shared" si="12"/>
        <v>40618973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 t="shared" si="12"/>
        <v>16595471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D181</f>
        <v>8301683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D186</f>
        <v>23371314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D190</f>
        <v>13030076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CE69-C388-C387-C386-446-2+448</f>
        <v>58146953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1195996927.9000001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-5662274.4000000954</v>
      </c>
      <c r="E391" s="175"/>
    </row>
    <row r="392" spans="1:6" ht="12.6" customHeight="1" x14ac:dyDescent="0.25">
      <c r="A392" s="173" t="s">
        <v>1022</v>
      </c>
      <c r="B392" s="172" t="s">
        <v>256</v>
      </c>
      <c r="C392" s="189">
        <f>38253035.07-18657</f>
        <v>38234378.07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32572103.669999905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1021</v>
      </c>
      <c r="B395" s="172" t="s">
        <v>256</v>
      </c>
      <c r="C395" s="189">
        <f>549670+2956392</f>
        <v>3506062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29066041.669999905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Virginia Mason Medical Center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12221</v>
      </c>
      <c r="C414" s="194">
        <f>E138</f>
        <v>12221</v>
      </c>
      <c r="D414" s="179"/>
    </row>
    <row r="415" spans="1:5" ht="12.6" customHeight="1" x14ac:dyDescent="0.25">
      <c r="A415" s="179" t="s">
        <v>464</v>
      </c>
      <c r="B415" s="179">
        <f>D111</f>
        <v>64471</v>
      </c>
      <c r="C415" s="179">
        <f>E139</f>
        <v>64471</v>
      </c>
      <c r="D415" s="194">
        <f>SUM(C59:H59)+N59</f>
        <v>64471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63</v>
      </c>
      <c r="C417" s="194">
        <f>E144</f>
        <v>63</v>
      </c>
      <c r="D417" s="179"/>
    </row>
    <row r="418" spans="1:7" ht="12.6" customHeight="1" x14ac:dyDescent="0.25">
      <c r="A418" s="179" t="s">
        <v>466</v>
      </c>
      <c r="B418" s="179">
        <f>D112</f>
        <v>12159</v>
      </c>
      <c r="C418" s="179">
        <f>E145</f>
        <v>12159</v>
      </c>
      <c r="D418" s="179">
        <f>K59+L59</f>
        <v>12159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562986336.89999998</v>
      </c>
      <c r="C427" s="179">
        <f t="shared" ref="C427:C434" si="14">CE61</f>
        <v>562986336.89999998</v>
      </c>
      <c r="D427" s="179"/>
    </row>
    <row r="428" spans="1:7" ht="12.6" customHeight="1" x14ac:dyDescent="0.25">
      <c r="A428" s="179" t="s">
        <v>3</v>
      </c>
      <c r="B428" s="179">
        <f t="shared" si="13"/>
        <v>114707742</v>
      </c>
      <c r="C428" s="179">
        <f t="shared" si="14"/>
        <v>114707742</v>
      </c>
      <c r="D428" s="179">
        <f>D173</f>
        <v>114707742</v>
      </c>
    </row>
    <row r="429" spans="1:7" ht="12.6" customHeight="1" x14ac:dyDescent="0.25">
      <c r="A429" s="179" t="s">
        <v>236</v>
      </c>
      <c r="B429" s="179">
        <f t="shared" si="13"/>
        <v>11339234</v>
      </c>
      <c r="C429" s="179">
        <f t="shared" si="14"/>
        <v>11339234</v>
      </c>
      <c r="D429" s="179"/>
    </row>
    <row r="430" spans="1:7" ht="12.6" customHeight="1" x14ac:dyDescent="0.25">
      <c r="A430" s="179" t="s">
        <v>237</v>
      </c>
      <c r="B430" s="179">
        <f t="shared" si="13"/>
        <v>285452798</v>
      </c>
      <c r="C430" s="179">
        <f t="shared" si="14"/>
        <v>285452798</v>
      </c>
      <c r="D430" s="179"/>
    </row>
    <row r="431" spans="1:7" ht="12.6" customHeight="1" x14ac:dyDescent="0.25">
      <c r="A431" s="179" t="s">
        <v>444</v>
      </c>
      <c r="B431" s="179">
        <f t="shared" si="13"/>
        <v>12151225</v>
      </c>
      <c r="C431" s="179">
        <f t="shared" si="14"/>
        <v>12151225</v>
      </c>
      <c r="D431" s="179"/>
    </row>
    <row r="432" spans="1:7" ht="12.6" customHeight="1" x14ac:dyDescent="0.25">
      <c r="A432" s="179" t="s">
        <v>445</v>
      </c>
      <c r="B432" s="179">
        <f t="shared" si="13"/>
        <v>49295122</v>
      </c>
      <c r="C432" s="179">
        <f t="shared" si="14"/>
        <v>49295122</v>
      </c>
      <c r="D432" s="179"/>
    </row>
    <row r="433" spans="1:7" ht="12.6" customHeight="1" x14ac:dyDescent="0.25">
      <c r="A433" s="179" t="s">
        <v>6</v>
      </c>
      <c r="B433" s="179">
        <f t="shared" si="13"/>
        <v>40618973</v>
      </c>
      <c r="C433" s="179">
        <f t="shared" si="14"/>
        <v>40618973</v>
      </c>
      <c r="D433" s="179">
        <f>C217</f>
        <v>40877518.299999997</v>
      </c>
    </row>
    <row r="434" spans="1:7" ht="12.6" customHeight="1" x14ac:dyDescent="0.25">
      <c r="A434" s="179" t="s">
        <v>474</v>
      </c>
      <c r="B434" s="179">
        <f t="shared" si="13"/>
        <v>16595471</v>
      </c>
      <c r="C434" s="179">
        <f t="shared" si="14"/>
        <v>16595471</v>
      </c>
      <c r="D434" s="179">
        <f>D177</f>
        <v>16595471</v>
      </c>
    </row>
    <row r="435" spans="1:7" ht="12.6" customHeight="1" x14ac:dyDescent="0.25">
      <c r="A435" s="179" t="s">
        <v>447</v>
      </c>
      <c r="B435" s="179">
        <f t="shared" si="13"/>
        <v>8301683</v>
      </c>
      <c r="C435" s="179"/>
      <c r="D435" s="179">
        <f>D181</f>
        <v>8301683</v>
      </c>
    </row>
    <row r="436" spans="1:7" ht="12.6" customHeight="1" x14ac:dyDescent="0.25">
      <c r="A436" s="179" t="s">
        <v>475</v>
      </c>
      <c r="B436" s="179">
        <f t="shared" si="13"/>
        <v>23371314</v>
      </c>
      <c r="C436" s="179"/>
      <c r="D436" s="179">
        <f>D186</f>
        <v>23371314</v>
      </c>
    </row>
    <row r="437" spans="1:7" ht="12.6" customHeight="1" x14ac:dyDescent="0.25">
      <c r="A437" s="194" t="s">
        <v>449</v>
      </c>
      <c r="B437" s="194">
        <f t="shared" si="13"/>
        <v>13030076</v>
      </c>
      <c r="C437" s="194"/>
      <c r="D437" s="194">
        <f>D190</f>
        <v>13030076</v>
      </c>
    </row>
    <row r="438" spans="1:7" ht="12.6" customHeight="1" x14ac:dyDescent="0.25">
      <c r="A438" s="194" t="s">
        <v>476</v>
      </c>
      <c r="B438" s="194">
        <f>C386+C387+C388</f>
        <v>44703073</v>
      </c>
      <c r="C438" s="194">
        <f>CD69</f>
        <v>42112561</v>
      </c>
      <c r="D438" s="194">
        <f>D181+D186+D190</f>
        <v>44703073</v>
      </c>
    </row>
    <row r="439" spans="1:7" ht="12.6" customHeight="1" x14ac:dyDescent="0.25">
      <c r="A439" s="179" t="s">
        <v>451</v>
      </c>
      <c r="B439" s="194">
        <f>C389</f>
        <v>58146953</v>
      </c>
      <c r="C439" s="194">
        <f>SUM(C69:CC69)</f>
        <v>60737465</v>
      </c>
      <c r="D439" s="179"/>
    </row>
    <row r="440" spans="1:7" ht="12.6" customHeight="1" x14ac:dyDescent="0.25">
      <c r="A440" s="179" t="s">
        <v>477</v>
      </c>
      <c r="B440" s="194">
        <f>B438+B439</f>
        <v>102850026</v>
      </c>
      <c r="C440" s="194">
        <f>CE69</f>
        <v>102850026</v>
      </c>
      <c r="D440" s="179"/>
    </row>
    <row r="441" spans="1:7" ht="12.6" customHeight="1" x14ac:dyDescent="0.25">
      <c r="A441" s="179" t="s">
        <v>478</v>
      </c>
      <c r="B441" s="179">
        <f>D390</f>
        <v>1195996927.9000001</v>
      </c>
      <c r="C441" s="179">
        <f>SUM(C427:C437)+C440</f>
        <v>1195996927.9000001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181799</v>
      </c>
      <c r="C444" s="179">
        <f>C363</f>
        <v>181799</v>
      </c>
      <c r="D444" s="179"/>
    </row>
    <row r="445" spans="1:7" ht="12.6" customHeight="1" x14ac:dyDescent="0.25">
      <c r="A445" s="179" t="s">
        <v>343</v>
      </c>
      <c r="B445" s="179">
        <f>D229</f>
        <v>1391365006</v>
      </c>
      <c r="C445" s="179">
        <f>C364</f>
        <v>1391365006</v>
      </c>
      <c r="D445" s="179"/>
    </row>
    <row r="446" spans="1:7" ht="12.6" customHeight="1" x14ac:dyDescent="0.25">
      <c r="A446" s="179" t="s">
        <v>351</v>
      </c>
      <c r="B446" s="179">
        <f>D236</f>
        <v>25661022</v>
      </c>
      <c r="C446" s="179">
        <f>C365</f>
        <v>25661022</v>
      </c>
      <c r="D446" s="179"/>
    </row>
    <row r="447" spans="1:7" ht="12.6" customHeight="1" x14ac:dyDescent="0.25">
      <c r="A447" s="179" t="s">
        <v>356</v>
      </c>
      <c r="B447" s="179">
        <f>D240</f>
        <v>108114663</v>
      </c>
      <c r="C447" s="179">
        <f>C366</f>
        <v>108114663</v>
      </c>
      <c r="D447" s="179"/>
    </row>
    <row r="448" spans="1:7" ht="12.6" customHeight="1" x14ac:dyDescent="0.25">
      <c r="A448" s="179" t="s">
        <v>358</v>
      </c>
      <c r="B448" s="179">
        <f>D242</f>
        <v>1525322490</v>
      </c>
      <c r="C448" s="179">
        <f>D367</f>
        <v>1525322490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4973</v>
      </c>
    </row>
    <row r="454" spans="1:7" ht="12.6" customHeight="1" x14ac:dyDescent="0.25">
      <c r="A454" s="179" t="s">
        <v>168</v>
      </c>
      <c r="B454" s="179">
        <f>C233</f>
        <v>6534885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19126137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66656981</v>
      </c>
      <c r="C458" s="194">
        <f>CE70</f>
        <v>66656981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792299711.5</v>
      </c>
      <c r="C463" s="194">
        <f>CE73</f>
        <v>792299712</v>
      </c>
      <c r="D463" s="194">
        <f>E141+E147+E153</f>
        <v>792299711.5</v>
      </c>
    </row>
    <row r="464" spans="1:7" ht="12.6" customHeight="1" x14ac:dyDescent="0.25">
      <c r="A464" s="179" t="s">
        <v>246</v>
      </c>
      <c r="B464" s="194">
        <f>C360</f>
        <v>1856700451</v>
      </c>
      <c r="C464" s="194">
        <f>CE74</f>
        <v>1856700451</v>
      </c>
      <c r="D464" s="194">
        <f>E142+E148+E154</f>
        <v>1856700451</v>
      </c>
    </row>
    <row r="465" spans="1:7" ht="12.6" customHeight="1" x14ac:dyDescent="0.25">
      <c r="A465" s="179" t="s">
        <v>247</v>
      </c>
      <c r="B465" s="194">
        <f>D361</f>
        <v>2649000162.5</v>
      </c>
      <c r="C465" s="194">
        <f>CE75</f>
        <v>2649000163</v>
      </c>
      <c r="D465" s="194">
        <f>D463+D464</f>
        <v>2649000162.5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40849193</v>
      </c>
      <c r="C468" s="179">
        <f>E195</f>
        <v>40849192.5</v>
      </c>
      <c r="D468" s="179"/>
    </row>
    <row r="469" spans="1:7" ht="12.6" customHeight="1" x14ac:dyDescent="0.25">
      <c r="A469" s="179" t="s">
        <v>333</v>
      </c>
      <c r="B469" s="179">
        <f t="shared" si="15"/>
        <v>3251771</v>
      </c>
      <c r="C469" s="179">
        <f>E196</f>
        <v>3251770.5</v>
      </c>
      <c r="D469" s="179"/>
    </row>
    <row r="470" spans="1:7" ht="12.6" customHeight="1" x14ac:dyDescent="0.25">
      <c r="A470" s="179" t="s">
        <v>334</v>
      </c>
      <c r="B470" s="179">
        <f t="shared" si="15"/>
        <v>630139708</v>
      </c>
      <c r="C470" s="179">
        <f>E197</f>
        <v>630139708</v>
      </c>
      <c r="D470" s="179"/>
    </row>
    <row r="471" spans="1:7" ht="12.6" customHeight="1" x14ac:dyDescent="0.25">
      <c r="A471" s="179" t="s">
        <v>494</v>
      </c>
      <c r="B471" s="179">
        <f t="shared" si="15"/>
        <v>42589796</v>
      </c>
      <c r="C471" s="179">
        <f>E198</f>
        <v>42589797</v>
      </c>
      <c r="D471" s="179"/>
    </row>
    <row r="472" spans="1:7" ht="12.6" customHeight="1" x14ac:dyDescent="0.25">
      <c r="A472" s="179" t="s">
        <v>377</v>
      </c>
      <c r="B472" s="179">
        <f t="shared" si="15"/>
        <v>3797270</v>
      </c>
      <c r="C472" s="179">
        <f>E199</f>
        <v>3797270</v>
      </c>
      <c r="D472" s="179"/>
    </row>
    <row r="473" spans="1:7" ht="12.6" customHeight="1" x14ac:dyDescent="0.25">
      <c r="A473" s="179" t="s">
        <v>495</v>
      </c>
      <c r="B473" s="179">
        <f t="shared" si="15"/>
        <v>391969348</v>
      </c>
      <c r="C473" s="179">
        <f>SUM(E200:E201)</f>
        <v>391969348</v>
      </c>
      <c r="D473" s="179"/>
    </row>
    <row r="474" spans="1:7" ht="12.6" customHeight="1" x14ac:dyDescent="0.25">
      <c r="A474" s="179" t="s">
        <v>339</v>
      </c>
      <c r="B474" s="179">
        <f t="shared" si="15"/>
        <v>23236047</v>
      </c>
      <c r="C474" s="179">
        <f>E202</f>
        <v>23236047</v>
      </c>
      <c r="D474" s="179"/>
    </row>
    <row r="475" spans="1:7" ht="12.6" customHeight="1" x14ac:dyDescent="0.25">
      <c r="A475" s="179" t="s">
        <v>340</v>
      </c>
      <c r="B475" s="179">
        <f t="shared" si="15"/>
        <v>44804258</v>
      </c>
      <c r="C475" s="179">
        <f>E203</f>
        <v>44804258</v>
      </c>
      <c r="D475" s="179"/>
    </row>
    <row r="476" spans="1:7" ht="12.6" customHeight="1" x14ac:dyDescent="0.25">
      <c r="A476" s="179" t="s">
        <v>203</v>
      </c>
      <c r="B476" s="179">
        <f>D275</f>
        <v>1180637391</v>
      </c>
      <c r="C476" s="179">
        <f>E204</f>
        <v>1180637391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636410564</v>
      </c>
      <c r="C478" s="179">
        <f>E217</f>
        <v>636410564.29999995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1250807976.5</v>
      </c>
    </row>
    <row r="482" spans="1:12" ht="12.6" customHeight="1" x14ac:dyDescent="0.25">
      <c r="A482" s="180" t="s">
        <v>499</v>
      </c>
      <c r="C482" s="180">
        <f>D339</f>
        <v>1250807977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010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14672977</v>
      </c>
      <c r="C496" s="236">
        <f>C71</f>
        <v>14647030</v>
      </c>
      <c r="D496" s="236">
        <f>'Prior Year'!C59</f>
        <v>6846</v>
      </c>
      <c r="E496" s="180">
        <f>C59</f>
        <v>6191</v>
      </c>
      <c r="F496" s="259">
        <f t="shared" ref="F496:G511" si="16">IF(B496=0,"",IF(D496=0,"",B496/D496))</f>
        <v>2143.2919953257378</v>
      </c>
      <c r="G496" s="260">
        <f t="shared" si="16"/>
        <v>2365.858504280407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60211741</v>
      </c>
      <c r="C498" s="236">
        <f>E71</f>
        <v>62380697</v>
      </c>
      <c r="D498" s="236">
        <f>'Prior Year'!E59</f>
        <v>60742</v>
      </c>
      <c r="E498" s="180">
        <f>E59</f>
        <v>58280</v>
      </c>
      <c r="F498" s="259">
        <f t="shared" si="16"/>
        <v>991.27030720094831</v>
      </c>
      <c r="G498" s="259">
        <f t="shared" si="16"/>
        <v>1070.3619938229238</v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6"/>
        <v/>
      </c>
      <c r="G502" s="259" t="str">
        <f t="shared" si="16"/>
        <v/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6"/>
        <v/>
      </c>
      <c r="G503" s="259" t="str">
        <f t="shared" si="16"/>
        <v/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9500969</v>
      </c>
      <c r="C504" s="236">
        <f>K71</f>
        <v>9860051</v>
      </c>
      <c r="D504" s="236">
        <f>'Prior Year'!K59</f>
        <v>11791</v>
      </c>
      <c r="E504" s="180">
        <f>K59</f>
        <v>12159</v>
      </c>
      <c r="F504" s="259">
        <f t="shared" si="16"/>
        <v>805.78144347383602</v>
      </c>
      <c r="G504" s="259">
        <f t="shared" si="16"/>
        <v>810.92614524220744</v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6"/>
        <v/>
      </c>
      <c r="G505" s="259" t="str">
        <f t="shared" si="16"/>
        <v/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61</v>
      </c>
      <c r="C507" s="236">
        <f>N71</f>
        <v>-174</v>
      </c>
      <c r="D507" s="236">
        <f>'Prior Year'!N59</f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6"/>
        <v/>
      </c>
      <c r="G508" s="259" t="str">
        <f t="shared" si="16"/>
        <v/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71267089</v>
      </c>
      <c r="C509" s="236">
        <f>P71</f>
        <v>74346830</v>
      </c>
      <c r="D509" s="236">
        <f>'Prior Year'!P59</f>
        <v>2178762</v>
      </c>
      <c r="E509" s="180">
        <f>P59</f>
        <v>2263054</v>
      </c>
      <c r="F509" s="259">
        <f t="shared" si="16"/>
        <v>32.709900851951701</v>
      </c>
      <c r="G509" s="259">
        <f t="shared" si="16"/>
        <v>32.85243303960047</v>
      </c>
      <c r="H509" s="261" t="str">
        <f t="shared" si="17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10491159</v>
      </c>
      <c r="C510" s="236">
        <f>Q71</f>
        <v>11695506</v>
      </c>
      <c r="D510" s="236">
        <f>'Prior Year'!Q59</f>
        <v>2116159</v>
      </c>
      <c r="E510" s="180">
        <f>Q59</f>
        <v>2027302</v>
      </c>
      <c r="F510" s="259">
        <f t="shared" si="16"/>
        <v>4.9576421242449173</v>
      </c>
      <c r="G510" s="259">
        <f t="shared" si="16"/>
        <v>5.7690003758690125</v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26601620</v>
      </c>
      <c r="C511" s="236">
        <f>R71</f>
        <v>28920442</v>
      </c>
      <c r="D511" s="236">
        <f>'Prior Year'!R59</f>
        <v>2271521</v>
      </c>
      <c r="E511" s="180">
        <f>R59</f>
        <v>2347015</v>
      </c>
      <c r="F511" s="259">
        <f t="shared" si="16"/>
        <v>11.71092849240663</v>
      </c>
      <c r="G511" s="259">
        <f t="shared" si="16"/>
        <v>12.322222908673357</v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10088775</v>
      </c>
      <c r="C512" s="236">
        <f>S71</f>
        <v>10124017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3193432</v>
      </c>
      <c r="C513" s="236">
        <f>T71</f>
        <v>3385732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37911190</v>
      </c>
      <c r="C514" s="236">
        <f>U71</f>
        <v>39484513</v>
      </c>
      <c r="D514" s="236">
        <f>'Prior Year'!U59</f>
        <v>2455386</v>
      </c>
      <c r="E514" s="180">
        <f>U59</f>
        <v>2519092</v>
      </c>
      <c r="F514" s="259">
        <f t="shared" si="18"/>
        <v>15.440012283201094</v>
      </c>
      <c r="G514" s="259">
        <f t="shared" si="18"/>
        <v>15.674105193458596</v>
      </c>
      <c r="H514" s="261" t="str">
        <f t="shared" si="17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8"/>
        <v/>
      </c>
      <c r="G515" s="259" t="str">
        <f t="shared" si="18"/>
        <v/>
      </c>
      <c r="H515" s="261" t="str">
        <f t="shared" si="17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4451211</v>
      </c>
      <c r="C516" s="236">
        <f>W71</f>
        <v>4398730</v>
      </c>
      <c r="D516" s="236">
        <f>'Prior Year'!W59</f>
        <v>106517</v>
      </c>
      <c r="E516" s="180">
        <f>W59</f>
        <v>105837</v>
      </c>
      <c r="F516" s="259">
        <f t="shared" si="18"/>
        <v>41.788737947933193</v>
      </c>
      <c r="G516" s="259">
        <f t="shared" si="18"/>
        <v>41.561363228360591</v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6820260</v>
      </c>
      <c r="C517" s="236">
        <f>X71</f>
        <v>6870631</v>
      </c>
      <c r="D517" s="236">
        <f>'Prior Year'!X59</f>
        <v>165612</v>
      </c>
      <c r="E517" s="180">
        <f>X59</f>
        <v>165057</v>
      </c>
      <c r="F517" s="259">
        <f t="shared" si="18"/>
        <v>41.182160712991809</v>
      </c>
      <c r="G517" s="259">
        <f t="shared" si="18"/>
        <v>41.625808054187338</v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29984464</v>
      </c>
      <c r="C518" s="236">
        <f>Y71</f>
        <v>28339198</v>
      </c>
      <c r="D518" s="236">
        <f>'Prior Year'!Y59</f>
        <v>158636</v>
      </c>
      <c r="E518" s="180">
        <f>Y59</f>
        <v>171978</v>
      </c>
      <c r="F518" s="259">
        <f t="shared" si="18"/>
        <v>189.01424645099473</v>
      </c>
      <c r="G518" s="259">
        <f t="shared" si="18"/>
        <v>164.78385607461419</v>
      </c>
      <c r="H518" s="261" t="str">
        <f t="shared" si="17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10039877</v>
      </c>
      <c r="C519" s="236">
        <f>Z71</f>
        <v>9351788</v>
      </c>
      <c r="D519" s="236">
        <f>'Prior Year'!Z59</f>
        <v>213597</v>
      </c>
      <c r="E519" s="180">
        <f>Z59</f>
        <v>185863</v>
      </c>
      <c r="F519" s="259">
        <f t="shared" si="18"/>
        <v>47.003829641802085</v>
      </c>
      <c r="G519" s="259">
        <f t="shared" si="18"/>
        <v>50.315490441884613</v>
      </c>
      <c r="H519" s="261" t="str">
        <f t="shared" si="17"/>
        <v/>
      </c>
      <c r="I519" s="263"/>
      <c r="K519" s="257"/>
      <c r="L519" s="257"/>
    </row>
    <row r="520" spans="1:12" s="388" customFormat="1" ht="12.6" customHeight="1" x14ac:dyDescent="0.25">
      <c r="A520" s="388" t="s">
        <v>536</v>
      </c>
      <c r="B520" s="389">
        <f>'Prior Year'!AA71</f>
        <v>7591256</v>
      </c>
      <c r="C520" s="389">
        <f>AA71</f>
        <v>10802099</v>
      </c>
      <c r="D520" s="389">
        <f>'Prior Year'!AA59</f>
        <v>22866</v>
      </c>
      <c r="E520" s="388">
        <f>AA59</f>
        <v>23016</v>
      </c>
      <c r="F520" s="390">
        <f t="shared" si="18"/>
        <v>331.98880433831891</v>
      </c>
      <c r="G520" s="390">
        <f t="shared" si="18"/>
        <v>469.32998783454985</v>
      </c>
      <c r="H520" s="391">
        <f t="shared" si="17"/>
        <v>0.41369221401897338</v>
      </c>
      <c r="I520" s="392" t="s">
        <v>1024</v>
      </c>
      <c r="K520" s="393"/>
      <c r="L520" s="393"/>
    </row>
    <row r="521" spans="1:12" ht="12.6" customHeight="1" x14ac:dyDescent="0.25">
      <c r="A521" s="180" t="s">
        <v>537</v>
      </c>
      <c r="B521" s="236">
        <f>'Prior Year'!AB71</f>
        <v>34864301</v>
      </c>
      <c r="C521" s="236">
        <f>AB71</f>
        <v>45808038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s="388" customFormat="1" ht="12.6" customHeight="1" x14ac:dyDescent="0.25">
      <c r="A522" s="388" t="s">
        <v>538</v>
      </c>
      <c r="B522" s="389">
        <f>'Prior Year'!AC71</f>
        <v>2491479</v>
      </c>
      <c r="C522" s="389">
        <f>AC71</f>
        <v>2633837</v>
      </c>
      <c r="D522" s="389">
        <f>'Prior Year'!AC59</f>
        <v>55903</v>
      </c>
      <c r="E522" s="388">
        <f>AC59</f>
        <v>147963</v>
      </c>
      <c r="F522" s="390">
        <f t="shared" si="18"/>
        <v>44.567894388494359</v>
      </c>
      <c r="G522" s="390">
        <f t="shared" si="18"/>
        <v>17.800646107472815</v>
      </c>
      <c r="H522" s="391">
        <f t="shared" si="17"/>
        <v>-0.60059485978165872</v>
      </c>
      <c r="I522" s="384" t="s">
        <v>1014</v>
      </c>
      <c r="K522" s="393"/>
      <c r="L522" s="393"/>
    </row>
    <row r="523" spans="1:12" ht="12.6" customHeight="1" x14ac:dyDescent="0.25">
      <c r="A523" s="180" t="s">
        <v>539</v>
      </c>
      <c r="B523" s="236">
        <f>'Prior Year'!AD71</f>
        <v>2014184</v>
      </c>
      <c r="C523" s="236">
        <f>AD71</f>
        <v>1721752</v>
      </c>
      <c r="D523" s="236">
        <f>'Prior Year'!AD59</f>
        <v>16427</v>
      </c>
      <c r="E523" s="180">
        <f>AD59</f>
        <v>15947</v>
      </c>
      <c r="F523" s="259">
        <f t="shared" si="18"/>
        <v>122.61423266573324</v>
      </c>
      <c r="G523" s="259">
        <f t="shared" si="18"/>
        <v>107.96714115507619</v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10797008</v>
      </c>
      <c r="C524" s="236">
        <f>AE71</f>
        <v>10937107</v>
      </c>
      <c r="D524" s="236">
        <f>'Prior Year'!AE59</f>
        <v>242867</v>
      </c>
      <c r="E524" s="180">
        <f>AE59</f>
        <v>222607</v>
      </c>
      <c r="F524" s="259">
        <f t="shared" si="18"/>
        <v>44.456463825880007</v>
      </c>
      <c r="G524" s="259">
        <f t="shared" si="18"/>
        <v>49.131909598530143</v>
      </c>
      <c r="H524" s="261" t="str">
        <f t="shared" si="17"/>
        <v/>
      </c>
      <c r="I524" s="263"/>
      <c r="K524" s="257"/>
      <c r="L524" s="257"/>
    </row>
    <row r="525" spans="1:12" s="388" customFormat="1" ht="12.6" customHeight="1" x14ac:dyDescent="0.25">
      <c r="A525" s="388" t="s">
        <v>541</v>
      </c>
      <c r="B525" s="389">
        <f>'Prior Year'!AF71</f>
        <v>833298</v>
      </c>
      <c r="C525" s="389">
        <f>AF71</f>
        <v>846137</v>
      </c>
      <c r="D525" s="389">
        <f>'Prior Year'!AF59</f>
        <v>4692</v>
      </c>
      <c r="E525" s="388">
        <f>AF59</f>
        <v>3322</v>
      </c>
      <c r="F525" s="390">
        <f t="shared" si="18"/>
        <v>177.59974424552431</v>
      </c>
      <c r="G525" s="390">
        <f t="shared" si="18"/>
        <v>254.70710415412401</v>
      </c>
      <c r="H525" s="391">
        <f t="shared" si="17"/>
        <v>0.43416368776974124</v>
      </c>
      <c r="I525" s="384" t="s">
        <v>1014</v>
      </c>
      <c r="K525" s="393"/>
      <c r="L525" s="393"/>
    </row>
    <row r="526" spans="1:12" ht="12.6" customHeight="1" x14ac:dyDescent="0.25">
      <c r="A526" s="180" t="s">
        <v>542</v>
      </c>
      <c r="B526" s="236">
        <f>'Prior Year'!AG71</f>
        <v>13967552</v>
      </c>
      <c r="C526" s="236">
        <f>AG71</f>
        <v>14858194</v>
      </c>
      <c r="D526" s="236">
        <f>'Prior Year'!AG59</f>
        <v>24935</v>
      </c>
      <c r="E526" s="180">
        <f>AG59</f>
        <v>24985</v>
      </c>
      <c r="F526" s="259">
        <f t="shared" si="18"/>
        <v>560.15849207940641</v>
      </c>
      <c r="G526" s="259">
        <f t="shared" si="18"/>
        <v>594.68457074244543</v>
      </c>
      <c r="H526" s="261" t="str">
        <f t="shared" si="17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8"/>
        <v/>
      </c>
      <c r="G527" s="259" t="str">
        <f t="shared" si="18"/>
        <v/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9">IF(B528=0,"",IF(D528=0,"",B528/D528))</f>
        <v/>
      </c>
      <c r="G528" s="259" t="str">
        <f t="shared" si="19"/>
        <v/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271273314</v>
      </c>
      <c r="C529" s="236">
        <f>AJ71</f>
        <v>281932878</v>
      </c>
      <c r="D529" s="236">
        <f>'Prior Year'!AJ59</f>
        <v>354050</v>
      </c>
      <c r="E529" s="180">
        <f>AJ59</f>
        <v>357634</v>
      </c>
      <c r="F529" s="259">
        <f t="shared" si="19"/>
        <v>766.20057618980366</v>
      </c>
      <c r="G529" s="259">
        <f t="shared" si="19"/>
        <v>788.32794980343033</v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9"/>
        <v/>
      </c>
      <c r="G530" s="259" t="str">
        <f t="shared" si="19"/>
        <v/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9"/>
        <v/>
      </c>
      <c r="G531" s="259" t="str">
        <f t="shared" si="19"/>
        <v/>
      </c>
      <c r="H531" s="261" t="str">
        <f t="shared" si="17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171316149</v>
      </c>
      <c r="C535" s="236">
        <f>AP71</f>
        <v>181785873</v>
      </c>
      <c r="D535" s="236">
        <f>'Prior Year'!AP59</f>
        <v>529734</v>
      </c>
      <c r="E535" s="180">
        <f>AP59</f>
        <v>574796</v>
      </c>
      <c r="F535" s="259">
        <f t="shared" si="19"/>
        <v>323.400327334096</v>
      </c>
      <c r="G535" s="259">
        <f t="shared" si="19"/>
        <v>316.26154844501355</v>
      </c>
      <c r="H535" s="261" t="str">
        <f t="shared" si="17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7349228</v>
      </c>
      <c r="C539" s="236">
        <f>AT71</f>
        <v>8226695</v>
      </c>
      <c r="D539" s="236">
        <f>'Prior Year'!AT59</f>
        <v>108</v>
      </c>
      <c r="E539" s="180">
        <f>AT59</f>
        <v>123</v>
      </c>
      <c r="F539" s="259">
        <f t="shared" si="19"/>
        <v>68048.407407407401</v>
      </c>
      <c r="G539" s="259">
        <f t="shared" si="19"/>
        <v>66883.699186991871</v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22743748</v>
      </c>
      <c r="C541" s="236">
        <f>AV71</f>
        <v>26164441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17048393</v>
      </c>
      <c r="C542" s="236">
        <f>AW71</f>
        <v>18180181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2416287</v>
      </c>
      <c r="C543" s="236">
        <f>AX71</f>
        <v>1299206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4537137</v>
      </c>
      <c r="C544" s="236">
        <f>AY71</f>
        <v>4918720</v>
      </c>
      <c r="D544" s="236">
        <f>'Prior Year'!AY59</f>
        <v>376818</v>
      </c>
      <c r="E544" s="180">
        <f>AY59</f>
        <v>376953</v>
      </c>
      <c r="F544" s="259">
        <f t="shared" ref="F544:G550" si="20">IF(B544=0,"",IF(D544=0,"",B544/D544))</f>
        <v>12.040658885722019</v>
      </c>
      <c r="G544" s="259">
        <f t="shared" si="20"/>
        <v>13.048629404726849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867253</v>
      </c>
      <c r="C545" s="236">
        <f>AZ71</f>
        <v>829671</v>
      </c>
      <c r="D545" s="236">
        <f>'Prior Year'!AZ59</f>
        <v>848273</v>
      </c>
      <c r="E545" s="180">
        <f>AZ59</f>
        <v>876750</v>
      </c>
      <c r="F545" s="259">
        <f t="shared" si="20"/>
        <v>1.0223748722404227</v>
      </c>
      <c r="G545" s="259">
        <f t="shared" si="20"/>
        <v>0.94630282292557744</v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1980335</v>
      </c>
      <c r="C546" s="236">
        <f>BA71</f>
        <v>1853006</v>
      </c>
      <c r="D546" s="236">
        <f>'Prior Year'!BA59</f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1035652</v>
      </c>
      <c r="C547" s="236">
        <f>BB71</f>
        <v>931977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3223112</v>
      </c>
      <c r="C548" s="236">
        <f>BC71</f>
        <v>3500350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-466310</v>
      </c>
      <c r="C549" s="236">
        <f>BD71</f>
        <v>-814616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23431227</v>
      </c>
      <c r="C550" s="236">
        <f>BE71</f>
        <v>24746279</v>
      </c>
      <c r="D550" s="236">
        <f>'Prior Year'!BE59</f>
        <v>1537452</v>
      </c>
      <c r="E550" s="180">
        <f>BE59</f>
        <v>1533878</v>
      </c>
      <c r="F550" s="259">
        <f t="shared" si="20"/>
        <v>15.240298233700955</v>
      </c>
      <c r="G550" s="259">
        <f t="shared" si="20"/>
        <v>16.133146834363618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8984948</v>
      </c>
      <c r="C551" s="236">
        <f>BF71</f>
        <v>9660379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5663940</v>
      </c>
      <c r="C552" s="236">
        <f>BG71</f>
        <v>6154843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43685668</v>
      </c>
      <c r="C553" s="236">
        <f>BH71</f>
        <v>44375065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4043279</v>
      </c>
      <c r="C554" s="236">
        <f>BI71</f>
        <v>3275251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2802217</v>
      </c>
      <c r="C555" s="236">
        <f>BJ71</f>
        <v>3117734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21935574</v>
      </c>
      <c r="C556" s="236">
        <f>BK71</f>
        <v>22840595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6622215</v>
      </c>
      <c r="C557" s="236">
        <f>BL71</f>
        <v>7103412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3675316</v>
      </c>
      <c r="C558" s="236">
        <f>BM71</f>
        <v>4143053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-2309529</v>
      </c>
      <c r="C559" s="236">
        <f>BN71</f>
        <v>82211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3168636</v>
      </c>
      <c r="C560" s="236">
        <f>BO71</f>
        <v>3169320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3029829</v>
      </c>
      <c r="C561" s="236">
        <f>BP71</f>
        <v>3153379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4321445</v>
      </c>
      <c r="C563" s="236">
        <f>BR71</f>
        <v>2689397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455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164624</v>
      </c>
      <c r="C565" s="236">
        <f>BT71</f>
        <v>180027.5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1210887</v>
      </c>
      <c r="C566" s="236">
        <f>BU71</f>
        <v>1265840.5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4562945</v>
      </c>
      <c r="C567" s="236">
        <f>BV71</f>
        <v>5242669.5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-6878438</v>
      </c>
      <c r="C568" s="236">
        <f>BW71</f>
        <v>-8028085.5999999996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13667055</v>
      </c>
      <c r="C569" s="236">
        <f>BX71</f>
        <v>14798456.399999999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6782120.4000000004</v>
      </c>
      <c r="C570" s="236">
        <f>BY71</f>
        <v>7372585.4000000004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5730041.4000000004</v>
      </c>
      <c r="C572" s="236">
        <f>CA71</f>
        <v>5414391.2000000002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6571535.5</v>
      </c>
      <c r="C574" s="236">
        <f>CC71</f>
        <v>5879272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43609472</v>
      </c>
      <c r="C575" s="236">
        <f>CD71</f>
        <v>42483335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1154777</v>
      </c>
      <c r="E612" s="180">
        <f>SUM(C624:D647)+SUM(C668:D713)</f>
        <v>1107051391.8265502</v>
      </c>
      <c r="F612" s="180">
        <f>CE64-(AX64+BD64+BE64+BG64+BJ64+BN64+BP64+BQ64+CB64+CC64+CD64)</f>
        <v>284527073</v>
      </c>
      <c r="G612" s="180">
        <f>CE77-(AX77+AY77+BD77+BE77+BG77+BJ77+BN77+BP77+BQ77+CB77+CC77+CD77)</f>
        <v>376953</v>
      </c>
      <c r="H612" s="197">
        <f>CE60-(AX60+AY60+AZ60+BD60+BE60+BG60+BJ60+BN60+BO60+BP60+BQ60+BR60+CB60+CC60+CD60)</f>
        <v>4494.58</v>
      </c>
      <c r="I612" s="180">
        <f>CE78-(AX78+AY78+AZ78+BD78+BE78+BF78+BG78+BJ78+BN78+BO78+BP78+BQ78+BR78+CB78+CC78+CD78)</f>
        <v>111561</v>
      </c>
      <c r="J612" s="180">
        <f>CE79-(AX79+AY79+AZ79+BA79+BD79+BE79+BF79+BG79+BJ79+BN79+BO79+BP79+BQ79+BR79+CB79+CC79+CD79)</f>
        <v>2279173</v>
      </c>
      <c r="K612" s="180">
        <f>CE75-(AW75+AX75+AY75+AZ75+BA75+BB75+BC75+BD75+BE75+BF75+BG75+BH75+BI75+BJ75+BK75+BL75+BM75+BN75+BO75+BP75+BQ75+BR75+BS75+BT75+BU75+BV75+BW75+BX75+CB75+CC75+CD75)</f>
        <v>2649000163</v>
      </c>
      <c r="L612" s="197">
        <f>CE80-(AW80+AX80+AY80+AZ80+BA80+BB80+BC80+BD80+BE80+BF80+BG80+BH80+BI80+BJ80+BK80+BL80+BM80+BN80+BO80+BP80+BQ80+BR80+BS80+BT80+BU80+BV80+BW80+BX80+BY80+BZ80+CA80+CB80+CC80+CD80)</f>
        <v>1577.52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24746279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42483335</v>
      </c>
      <c r="D615" s="262">
        <f>SUM(C614:C615)</f>
        <v>67229614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1299206</v>
      </c>
      <c r="D616" s="180">
        <f>(D615/D612)*AX76</f>
        <v>125403.07657322583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3117734</v>
      </c>
      <c r="D617" s="180">
        <f>(D615/D612)*BJ76</f>
        <v>199107.94887670953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6154843</v>
      </c>
      <c r="D618" s="180">
        <f>(D615/D612)*BG76</f>
        <v>691172.3886152911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82211</v>
      </c>
      <c r="D619" s="180">
        <f>(D615/D612)*BN76</f>
        <v>633186.56490733707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5879272</v>
      </c>
      <c r="D620" s="180">
        <f>(D615/D612)*CC76</f>
        <v>646867.95905529812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3153379</v>
      </c>
      <c r="D621" s="180">
        <f>(D615/D612)*BP76</f>
        <v>306172.13542181737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22288555.073449675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-814616</v>
      </c>
      <c r="D624" s="180">
        <f>(D615/D612)*BD76</f>
        <v>453407.22393327893</v>
      </c>
      <c r="E624" s="180">
        <f>(E623/E612)*SUM(C624:D624)</f>
        <v>-7272.3107145850045</v>
      </c>
      <c r="F624" s="180">
        <f>SUM(C624:E624)</f>
        <v>-368481.08678130608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4918720</v>
      </c>
      <c r="D625" s="180">
        <f>(D615/D612)*AY76</f>
        <v>322065.84011285298</v>
      </c>
      <c r="E625" s="180">
        <f>(E623/E612)*SUM(C625:D625)</f>
        <v>105514.1113483302</v>
      </c>
      <c r="F625" s="180">
        <f>(F624/F612)*AY64</f>
        <v>-1308.7759703171016</v>
      </c>
      <c r="G625" s="180">
        <f>SUM(C625:F625)</f>
        <v>5344991.1754908655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2689397</v>
      </c>
      <c r="D626" s="180">
        <f>(D615/D612)*BR76</f>
        <v>0</v>
      </c>
      <c r="E626" s="180">
        <f>(E623/E612)*SUM(C626:D626)</f>
        <v>54146.332854493179</v>
      </c>
      <c r="F626" s="180">
        <f>(F624/F612)*BR64</f>
        <v>-3.013616524780049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3169320</v>
      </c>
      <c r="D627" s="180">
        <f>(D615/D612)*BO76</f>
        <v>196779.20093663107</v>
      </c>
      <c r="E627" s="180">
        <f>(E623/E612)*SUM(C627:D627)</f>
        <v>67770.555167258062</v>
      </c>
      <c r="F627" s="180">
        <f>(F624/F612)*BO64</f>
        <v>-985.50181607748152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829671</v>
      </c>
      <c r="D628" s="180">
        <f>(D615/D612)*AZ76</f>
        <v>996063.71267006535</v>
      </c>
      <c r="E628" s="180">
        <f>(E623/E612)*SUM(C628:D628)</f>
        <v>36757.994247868883</v>
      </c>
      <c r="F628" s="180">
        <f>(F624/F612)*AZ64</f>
        <v>-3565.7869629355478</v>
      </c>
      <c r="G628" s="180">
        <f>(G625/G612)*AZ77</f>
        <v>0</v>
      </c>
      <c r="H628" s="180">
        <f>SUM(C626:G628)</f>
        <v>8035351.4934807783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9660379</v>
      </c>
      <c r="D629" s="180">
        <f>(D615/D612)*BF76</f>
        <v>481293.98051571863</v>
      </c>
      <c r="E629" s="180">
        <f>(E623/E612)*SUM(C629:D629)</f>
        <v>204184.95332017698</v>
      </c>
      <c r="F629" s="180">
        <f>(F624/F612)*BF64</f>
        <v>-43.269420588494292</v>
      </c>
      <c r="G629" s="180">
        <f>(G625/G612)*BF77</f>
        <v>0</v>
      </c>
      <c r="H629" s="180">
        <f>(H628/H612)*BF60</f>
        <v>0</v>
      </c>
      <c r="I629" s="180">
        <f>SUM(C629:H629)</f>
        <v>10345814.664415307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1853006</v>
      </c>
      <c r="D630" s="180">
        <f>(D615/D612)*BA76</f>
        <v>186590.92869878773</v>
      </c>
      <c r="E630" s="180">
        <f>(E623/E612)*SUM(C630:D630)</f>
        <v>41063.738150346173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31066.841571688383</v>
      </c>
      <c r="J630" s="180">
        <f>SUM(C630:I630)</f>
        <v>2111727.5084208222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18180181</v>
      </c>
      <c r="D631" s="180">
        <f>(D615/D612)*AW76</f>
        <v>969690.64224867662</v>
      </c>
      <c r="E631" s="180">
        <f>(E623/E612)*SUM(C631:D631)</f>
        <v>385549.37187109847</v>
      </c>
      <c r="F631" s="180">
        <f>(F624/F612)*AW64</f>
        <v>-407.19955401265236</v>
      </c>
      <c r="G631" s="180">
        <f>(G625/G612)*AW77</f>
        <v>0</v>
      </c>
      <c r="H631" s="180">
        <f>(H628/H612)*AW60</f>
        <v>273495.64841936051</v>
      </c>
      <c r="I631" s="180">
        <f>(I629/I612)*AW78</f>
        <v>161362.1024917546</v>
      </c>
      <c r="J631" s="180">
        <f>(J630/J612)*AW79</f>
        <v>291.85768923752562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931977</v>
      </c>
      <c r="D632" s="180">
        <f>(D615/D612)*BB76</f>
        <v>21308.043651718039</v>
      </c>
      <c r="E632" s="180">
        <f>(E623/E612)*SUM(C632:D632)</f>
        <v>19192.73698854278</v>
      </c>
      <c r="F632" s="180">
        <f>(F624/F612)*BB64</f>
        <v>-1.5942251577156168</v>
      </c>
      <c r="G632" s="180">
        <f>(G625/G612)*BB77</f>
        <v>0</v>
      </c>
      <c r="H632" s="180">
        <f>(H628/H612)*BB60</f>
        <v>13479.913642842061</v>
      </c>
      <c r="I632" s="180">
        <f>(I629/I612)*BB78</f>
        <v>3523.9999394751003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3500350</v>
      </c>
      <c r="D633" s="180">
        <f>(D615/D612)*BC76</f>
        <v>39588.714981334058</v>
      </c>
      <c r="E633" s="180">
        <f>(E623/E612)*SUM(C633:D633)</f>
        <v>71270.511548085386</v>
      </c>
      <c r="F633" s="180">
        <f>(F624/F612)*BC64</f>
        <v>-238.40465199707128</v>
      </c>
      <c r="G633" s="180">
        <f>(G625/G612)*BC77</f>
        <v>0</v>
      </c>
      <c r="H633" s="180">
        <f>(H628/H612)*BC60</f>
        <v>0</v>
      </c>
      <c r="I633" s="180">
        <f>(I629/I612)*BC78</f>
        <v>6584.3156763876877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3275251</v>
      </c>
      <c r="D634" s="180">
        <f>(D615/D612)*BI76</f>
        <v>435359.42739767075</v>
      </c>
      <c r="E634" s="180">
        <f>(E623/E612)*SUM(C634:D634)</f>
        <v>74706.689750612291</v>
      </c>
      <c r="F634" s="180">
        <f>(F624/F612)*BI64</f>
        <v>-150.87379094127672</v>
      </c>
      <c r="G634" s="180">
        <f>(G625/G612)*BI77</f>
        <v>0</v>
      </c>
      <c r="H634" s="180">
        <f>(H628/H612)*BI60</f>
        <v>12943.577556256834</v>
      </c>
      <c r="I634" s="180">
        <f>(I629/I612)*BI78</f>
        <v>72427.472440264566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22840595</v>
      </c>
      <c r="D635" s="180">
        <f>(D615/D612)*BK76</f>
        <v>1393988.5169309746</v>
      </c>
      <c r="E635" s="180">
        <f>(E623/E612)*SUM(C635:D635)</f>
        <v>487921.20527306251</v>
      </c>
      <c r="F635" s="180">
        <f>(F624/F612)*BK64</f>
        <v>-487.06880984257725</v>
      </c>
      <c r="G635" s="180">
        <f>(G625/G612)*BK77</f>
        <v>0</v>
      </c>
      <c r="H635" s="180">
        <f>(H628/H612)*BK60</f>
        <v>370769.13665636803</v>
      </c>
      <c r="I635" s="180">
        <f>(I629/I612)*BK78</f>
        <v>231934.83812176911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44375065</v>
      </c>
      <c r="D636" s="180">
        <f>(D615/D612)*BH76</f>
        <v>2672296.4799385509</v>
      </c>
      <c r="E636" s="180">
        <f>(E623/E612)*SUM(C636:D636)</f>
        <v>947216.82764516119</v>
      </c>
      <c r="F636" s="180">
        <f>(F624/F612)*BH64</f>
        <v>-83.442340484788716</v>
      </c>
      <c r="G636" s="180">
        <f>(G625/G612)*BH77</f>
        <v>0</v>
      </c>
      <c r="H636" s="180">
        <f>(H628/H612)*BH60</f>
        <v>279842.29211061908</v>
      </c>
      <c r="I636" s="180">
        <f>(I629/I612)*BH78</f>
        <v>444394.93973591266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7103412</v>
      </c>
      <c r="D637" s="180">
        <f>(D615/D612)*BL76</f>
        <v>434835.45911115309</v>
      </c>
      <c r="E637" s="180">
        <f>(E623/E612)*SUM(C637:D637)</f>
        <v>151769.50671863244</v>
      </c>
      <c r="F637" s="180">
        <f>(F624/F612)*BL64</f>
        <v>-83.251965912746314</v>
      </c>
      <c r="G637" s="180">
        <f>(G625/G612)*BL77</f>
        <v>0</v>
      </c>
      <c r="H637" s="180">
        <f>(H628/H612)*BL60</f>
        <v>154286.01424101723</v>
      </c>
      <c r="I637" s="180">
        <f>(I629/I612)*BL78</f>
        <v>72334.735599752064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4143053</v>
      </c>
      <c r="D638" s="180">
        <f>(D615/D612)*BM76</f>
        <v>244343.87761273389</v>
      </c>
      <c r="E638" s="180">
        <f>(E623/E612)*SUM(C638:D638)</f>
        <v>88332.60827612404</v>
      </c>
      <c r="F638" s="180">
        <f>(F624/F612)*BM64</f>
        <v>-36.457378078677763</v>
      </c>
      <c r="G638" s="180">
        <f>(G625/G612)*BM77</f>
        <v>0</v>
      </c>
      <c r="H638" s="180">
        <f>(H628/H612)*BM60</f>
        <v>35612.716149259133</v>
      </c>
      <c r="I638" s="180">
        <f>(I629/I612)*BM78</f>
        <v>40618.736144476155</v>
      </c>
      <c r="J638" s="180">
        <f>(J630/J612)*BM79</f>
        <v>3676.4803520460373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180027.5</v>
      </c>
      <c r="D640" s="180">
        <f>(D615/D612)*BT76</f>
        <v>49427.675028165613</v>
      </c>
      <c r="E640" s="180">
        <f>(E623/E612)*SUM(C640:D640)</f>
        <v>4619.6810222741551</v>
      </c>
      <c r="F640" s="180">
        <f>(F624/F612)*BT64</f>
        <v>-2.1096610738576276</v>
      </c>
      <c r="G640" s="180">
        <f>(G625/G612)*BT77</f>
        <v>0</v>
      </c>
      <c r="H640" s="180">
        <f>(H628/H612)*BT60</f>
        <v>2842.5812589017078</v>
      </c>
      <c r="I640" s="180">
        <f>(I629/I612)*BT78</f>
        <v>8253.5788056127349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1265840.5</v>
      </c>
      <c r="D641" s="180">
        <f>(D615/D612)*BU76</f>
        <v>323695.96367090789</v>
      </c>
      <c r="E641" s="180">
        <f>(E623/E612)*SUM(C641:D641)</f>
        <v>32002.553154584089</v>
      </c>
      <c r="F641" s="180">
        <f>(F624/F612)*BU64</f>
        <v>-16.302279679386015</v>
      </c>
      <c r="G641" s="180">
        <f>(G625/G612)*BU77</f>
        <v>0</v>
      </c>
      <c r="H641" s="180">
        <f>(H628/H612)*BU60</f>
        <v>13891.104642557402</v>
      </c>
      <c r="I641" s="180">
        <f>(I629/I612)*BU78</f>
        <v>53880.104337764031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5242669.5</v>
      </c>
      <c r="D642" s="180">
        <f>(D615/D612)*BV76</f>
        <v>818729.55703308957</v>
      </c>
      <c r="E642" s="180">
        <f>(E623/E612)*SUM(C642:D642)</f>
        <v>122035.73176664686</v>
      </c>
      <c r="F642" s="180">
        <f>(F624/F612)*BV64</f>
        <v>-125.10588032952397</v>
      </c>
      <c r="G642" s="180">
        <f>(G625/G612)*BV77</f>
        <v>0</v>
      </c>
      <c r="H642" s="180">
        <f>(H628/H612)*BV60</f>
        <v>78465.969467418836</v>
      </c>
      <c r="I642" s="180">
        <f>(I629/I612)*BV78</f>
        <v>136230.41871286638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-8028085.5999999996</v>
      </c>
      <c r="D643" s="180">
        <f>(D615/D612)*BW76</f>
        <v>0</v>
      </c>
      <c r="E643" s="180">
        <f>(E623/E612)*SUM(C643:D643)</f>
        <v>-161631.54606105515</v>
      </c>
      <c r="F643" s="180">
        <f>(F624/F612)*BW64</f>
        <v>-14.092898591601415</v>
      </c>
      <c r="G643" s="180">
        <f>(G625/G612)*BW77</f>
        <v>0</v>
      </c>
      <c r="H643" s="180">
        <f>(H628/H612)*BW60</f>
        <v>16340.37277129661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14798456.399999999</v>
      </c>
      <c r="D644" s="180">
        <f>(D615/D612)*BX76</f>
        <v>1279646.9930731216</v>
      </c>
      <c r="E644" s="180">
        <f>(E623/E612)*SUM(C644:D644)</f>
        <v>323704.65869869461</v>
      </c>
      <c r="F644" s="180">
        <f>(F624/F612)*BX64</f>
        <v>-131.48666615573424</v>
      </c>
      <c r="G644" s="180">
        <f>(G625/G612)*BX77</f>
        <v>0</v>
      </c>
      <c r="H644" s="180">
        <f>(H628/H612)*BX60</f>
        <v>136211.48812309504</v>
      </c>
      <c r="I644" s="180">
        <f>(I629/I612)*BX78</f>
        <v>212923.78581670605</v>
      </c>
      <c r="J644" s="180">
        <f>(J630/J612)*BX79</f>
        <v>0</v>
      </c>
      <c r="K644" s="180">
        <f>SUM(C631:J644)</f>
        <v>131873234.97813134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7372585.4000000004</v>
      </c>
      <c r="D645" s="180">
        <f>(D615/D612)*BY76</f>
        <v>364681.92741628905</v>
      </c>
      <c r="E645" s="180">
        <f>(E623/E612)*SUM(C645:D645)</f>
        <v>155776.42575435209</v>
      </c>
      <c r="F645" s="180">
        <f>(F624/F612)*BY64</f>
        <v>-250.42803653340903</v>
      </c>
      <c r="G645" s="180">
        <f>(G625/G612)*BY77</f>
        <v>0</v>
      </c>
      <c r="H645" s="180">
        <f>(H628/H612)*BY60</f>
        <v>98381.916149283643</v>
      </c>
      <c r="I645" s="180">
        <f>(I629/I612)*BY78</f>
        <v>60649.893695176725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5414391.2000000002</v>
      </c>
      <c r="D647" s="180">
        <f>(D615/D612)*CA76</f>
        <v>227344.01765016103</v>
      </c>
      <c r="E647" s="180">
        <f>(E623/E612)*SUM(C647:D647)</f>
        <v>113586.52998118245</v>
      </c>
      <c r="F647" s="180">
        <f>(F624/F612)*CA64</f>
        <v>-34.209145037415119</v>
      </c>
      <c r="G647" s="180">
        <f>(G625/G612)*CA77</f>
        <v>0</v>
      </c>
      <c r="H647" s="180">
        <f>(H628/H612)*CA60</f>
        <v>84043.864767905208</v>
      </c>
      <c r="I647" s="180">
        <f>(I629/I612)*CA78</f>
        <v>37743.894088588575</v>
      </c>
      <c r="J647" s="180">
        <f>(J630/J612)*CA79</f>
        <v>0</v>
      </c>
      <c r="K647" s="180">
        <v>0</v>
      </c>
      <c r="L647" s="180">
        <f>SUM(C645:K647)</f>
        <v>13928900.43232137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239817904.90000001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14647030</v>
      </c>
      <c r="D668" s="180">
        <f>(D615/D612)*C76</f>
        <v>1381587.9341500567</v>
      </c>
      <c r="E668" s="180">
        <f>(E623/E612)*SUM(C668:D668)</f>
        <v>322708.35501786746</v>
      </c>
      <c r="F668" s="180">
        <f>(F624/F612)*C64</f>
        <v>-2026.9387895772986</v>
      </c>
      <c r="G668" s="180">
        <f>(G625/G612)*C77</f>
        <v>176151.47080172598</v>
      </c>
      <c r="H668" s="180">
        <f>(H628/H612)*C60</f>
        <v>167497.75984056666</v>
      </c>
      <c r="I668" s="180">
        <f>(I629/I612)*C78</f>
        <v>229894.62763049404</v>
      </c>
      <c r="J668" s="180">
        <f>(J630/J612)*C79</f>
        <v>38768.89298655805</v>
      </c>
      <c r="K668" s="180">
        <f>(K644/K612)*C75</f>
        <v>1994515.848073699</v>
      </c>
      <c r="L668" s="180">
        <f>(L647/L612)*C80</f>
        <v>722439.41970468475</v>
      </c>
      <c r="M668" s="180">
        <f t="shared" ref="M668:M713" si="21">ROUND(SUM(D668:L668),0)</f>
        <v>5031537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62380697</v>
      </c>
      <c r="D670" s="180">
        <f>(D615/D612)*E76</f>
        <v>7080267.018316091</v>
      </c>
      <c r="E670" s="180">
        <f>(E623/E612)*SUM(C670:D670)</f>
        <v>1398475.7468420307</v>
      </c>
      <c r="F670" s="180">
        <f>(F624/F612)*E64</f>
        <v>-5545.7200690648806</v>
      </c>
      <c r="G670" s="180">
        <f>(G625/G612)*E77</f>
        <v>4682399.0416187048</v>
      </c>
      <c r="H670" s="180">
        <f>(H628/H612)*E60</f>
        <v>967907.85759080795</v>
      </c>
      <c r="I670" s="180">
        <f>(I629/I612)*E78</f>
        <v>1178128.8218708336</v>
      </c>
      <c r="J670" s="180">
        <f>(J630/J612)*E79</f>
        <v>347969.41469122021</v>
      </c>
      <c r="K670" s="180">
        <f>(K644/K612)*E75</f>
        <v>11115971.293447185</v>
      </c>
      <c r="L670" s="180">
        <f>(L647/L612)*E80</f>
        <v>4183650.0347650177</v>
      </c>
      <c r="M670" s="180">
        <f t="shared" si="21"/>
        <v>30949224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9860051</v>
      </c>
      <c r="D676" s="180">
        <f>(D615/D612)*K76</f>
        <v>0</v>
      </c>
      <c r="E676" s="180">
        <f>(E623/E612)*SUM(C676:D676)</f>
        <v>198514.98436574382</v>
      </c>
      <c r="F676" s="180">
        <f>(F624/F612)*K64</f>
        <v>-1732.9266316322232</v>
      </c>
      <c r="G676" s="180">
        <f>(G625/G612)*K77</f>
        <v>0</v>
      </c>
      <c r="H676" s="180">
        <f>(H628/H612)*K60</f>
        <v>231983.2353176639</v>
      </c>
      <c r="I676" s="180">
        <f>(I629/I612)*K78</f>
        <v>0</v>
      </c>
      <c r="J676" s="180">
        <f>(J630/J612)*K79</f>
        <v>468.82536747361263</v>
      </c>
      <c r="K676" s="180">
        <f>(K644/K612)*K75</f>
        <v>540383.72695504315</v>
      </c>
      <c r="L676" s="180">
        <f>(L647/L612)*K80</f>
        <v>706016.32852098008</v>
      </c>
      <c r="M676" s="180">
        <f t="shared" si="21"/>
        <v>1675634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-174</v>
      </c>
      <c r="D679" s="180">
        <f>(D615/D612)*N76</f>
        <v>0</v>
      </c>
      <c r="E679" s="180">
        <f>(E623/E612)*SUM(C679:D679)</f>
        <v>-3.5031874865190273</v>
      </c>
      <c r="F679" s="180">
        <f>(F624/F612)*N64</f>
        <v>-18.000110046376406</v>
      </c>
      <c r="G679" s="180">
        <f>(G625/G612)*N77</f>
        <v>8053.9350732818457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8032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74346830</v>
      </c>
      <c r="D681" s="180">
        <f>(D615/D612)*P76</f>
        <v>2793740.6850136435</v>
      </c>
      <c r="E681" s="180">
        <f>(E623/E612)*SUM(C681:D681)</f>
        <v>1553091.2754406682</v>
      </c>
      <c r="F681" s="180">
        <f>(F624/F612)*P64</f>
        <v>-65536.074741908276</v>
      </c>
      <c r="G681" s="180">
        <f>(G625/G612)*P77</f>
        <v>0</v>
      </c>
      <c r="H681" s="180">
        <f>(H628/H612)*P60</f>
        <v>221453.1701510406</v>
      </c>
      <c r="I681" s="180">
        <f>(I629/I612)*P78</f>
        <v>464889.78148917574</v>
      </c>
      <c r="J681" s="180">
        <f>(J630/J612)*P79</f>
        <v>382805.17786567257</v>
      </c>
      <c r="K681" s="180">
        <f>(K644/K612)*P75</f>
        <v>23491053.072961148</v>
      </c>
      <c r="L681" s="180">
        <f>(L647/L612)*P80</f>
        <v>515119.96755770367</v>
      </c>
      <c r="M681" s="180">
        <f t="shared" si="21"/>
        <v>29356617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11695506</v>
      </c>
      <c r="D682" s="180">
        <f>(D615/D612)*Q76</f>
        <v>1652479.5382796852</v>
      </c>
      <c r="E682" s="180">
        <f>(E623/E612)*SUM(C682:D682)</f>
        <v>268738.48222953069</v>
      </c>
      <c r="F682" s="180">
        <f>(F624/F612)*Q64</f>
        <v>-1431.9845802517812</v>
      </c>
      <c r="G682" s="180">
        <f>(G625/G612)*Q77</f>
        <v>5047.8888839583396</v>
      </c>
      <c r="H682" s="180">
        <f>(H628/H612)*Q60</f>
        <v>131902.92156086038</v>
      </c>
      <c r="I682" s="180">
        <f>(I629/I612)*Q78</f>
        <v>274964.73211957031</v>
      </c>
      <c r="J682" s="180">
        <f>(J630/J612)*Q79</f>
        <v>21043.40266019899</v>
      </c>
      <c r="K682" s="180">
        <f>(K644/K612)*Q75</f>
        <v>1149109.7954235072</v>
      </c>
      <c r="L682" s="180">
        <f>(L647/L612)*Q80</f>
        <v>597147.12728706712</v>
      </c>
      <c r="M682" s="180">
        <f t="shared" si="21"/>
        <v>4099002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28920442</v>
      </c>
      <c r="D683" s="180">
        <f>(D615/D612)*R76</f>
        <v>1188418.2925205473</v>
      </c>
      <c r="E683" s="180">
        <f>(E623/E612)*SUM(C683:D683)</f>
        <v>606189.55523050344</v>
      </c>
      <c r="F683" s="180">
        <f>(F624/F612)*R64</f>
        <v>-5358.5015707100119</v>
      </c>
      <c r="G683" s="180">
        <f>(G625/G612)*R77</f>
        <v>0</v>
      </c>
      <c r="H683" s="180">
        <f>(H628/H612)*R60</f>
        <v>142236.33016240245</v>
      </c>
      <c r="I683" s="180">
        <f>(I629/I612)*R78</f>
        <v>197714.94397265563</v>
      </c>
      <c r="J683" s="180">
        <f>(J630/J612)*R79</f>
        <v>46133.898611158336</v>
      </c>
      <c r="K683" s="180">
        <f>(K644/K612)*R75</f>
        <v>3884245.1006476684</v>
      </c>
      <c r="L683" s="180">
        <f>(L647/L612)*R80</f>
        <v>41234.320337581004</v>
      </c>
      <c r="M683" s="180">
        <f t="shared" si="21"/>
        <v>6100814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10124017</v>
      </c>
      <c r="D684" s="180">
        <f>(D615/D612)*S76</f>
        <v>1050905.7266589133</v>
      </c>
      <c r="E684" s="180">
        <f>(E623/E612)*SUM(C684:D684)</f>
        <v>224987.64056809538</v>
      </c>
      <c r="F684" s="180">
        <f>(F624/F612)*S64</f>
        <v>-915.27432003569049</v>
      </c>
      <c r="G684" s="180">
        <f>(G625/G612)*S77</f>
        <v>0</v>
      </c>
      <c r="H684" s="180">
        <f>(H628/H612)*S60</f>
        <v>219146.92497872413</v>
      </c>
      <c r="I684" s="180">
        <f>(I629/I612)*S78</f>
        <v>174901.68120657999</v>
      </c>
      <c r="J684" s="180">
        <f>(J630/J612)*S79</f>
        <v>0</v>
      </c>
      <c r="K684" s="180">
        <f>(K644/K612)*S75</f>
        <v>0</v>
      </c>
      <c r="L684" s="180">
        <f>(L647/L612)*S80</f>
        <v>176.59237831940476</v>
      </c>
      <c r="M684" s="180">
        <f t="shared" si="21"/>
        <v>1669203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3385732</v>
      </c>
      <c r="D685" s="180">
        <f>(D615/D612)*T76</f>
        <v>42674.306001938035</v>
      </c>
      <c r="E685" s="180">
        <f>(E623/E612)*SUM(C685:D685)</f>
        <v>69025.000401660422</v>
      </c>
      <c r="F685" s="180">
        <f>(F624/F612)*T64</f>
        <v>-878.26524421762451</v>
      </c>
      <c r="G685" s="180">
        <f>(G625/G612)*T77</f>
        <v>0</v>
      </c>
      <c r="H685" s="180">
        <f>(H628/H612)*T60</f>
        <v>31894.119282268217</v>
      </c>
      <c r="I685" s="180">
        <f>(I629/I612)*T78</f>
        <v>7140.7367194627031</v>
      </c>
      <c r="J685" s="180">
        <f>(J630/J612)*T79</f>
        <v>1083.1163133925952</v>
      </c>
      <c r="K685" s="180">
        <f>(K644/K612)*T75</f>
        <v>191051.94725145004</v>
      </c>
      <c r="L685" s="180">
        <f>(L647/L612)*T80</f>
        <v>150368.41013897315</v>
      </c>
      <c r="M685" s="180">
        <f t="shared" si="21"/>
        <v>492359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39484513</v>
      </c>
      <c r="D686" s="180">
        <f>(D615/D612)*U76</f>
        <v>1741088.3973996711</v>
      </c>
      <c r="E686" s="180">
        <f>(E623/E612)*SUM(C686:D686)</f>
        <v>830005.8099976544</v>
      </c>
      <c r="F686" s="180">
        <f>(F624/F612)*U64</f>
        <v>-15474.937690592058</v>
      </c>
      <c r="G686" s="180">
        <f>(G625/G612)*U77</f>
        <v>0</v>
      </c>
      <c r="H686" s="180">
        <f>(H628/H612)*U60</f>
        <v>305300.37835386459</v>
      </c>
      <c r="I686" s="180">
        <f>(I629/I612)*U78</f>
        <v>289709.88976105826</v>
      </c>
      <c r="J686" s="180">
        <f>(J630/J612)*U79</f>
        <v>12993.689631323998</v>
      </c>
      <c r="K686" s="180">
        <f>(K644/K612)*U75</f>
        <v>7383329.5262151975</v>
      </c>
      <c r="L686" s="180">
        <f>(L647/L612)*U80</f>
        <v>0</v>
      </c>
      <c r="M686" s="180">
        <f t="shared" si="21"/>
        <v>10546953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4398730</v>
      </c>
      <c r="D688" s="180">
        <f>(D615/D612)*W76</f>
        <v>391404.31002868956</v>
      </c>
      <c r="E688" s="180">
        <f>(E623/E612)*SUM(C688:D688)</f>
        <v>96441.026285275642</v>
      </c>
      <c r="F688" s="180">
        <f>(F624/F612)*W64</f>
        <v>-606.2730784387868</v>
      </c>
      <c r="G688" s="180">
        <f>(G625/G612)*W77</f>
        <v>0</v>
      </c>
      <c r="H688" s="180">
        <f>(H628/H612)*W60</f>
        <v>20702.572942189796</v>
      </c>
      <c r="I688" s="180">
        <f>(I629/I612)*W78</f>
        <v>65101.262039776855</v>
      </c>
      <c r="J688" s="180">
        <f>(J630/J612)*W79</f>
        <v>56163.611265114574</v>
      </c>
      <c r="K688" s="180">
        <f>(K644/K612)*W75</f>
        <v>1579438.0214586551</v>
      </c>
      <c r="L688" s="180">
        <f>(L647/L612)*W80</f>
        <v>0</v>
      </c>
      <c r="M688" s="180">
        <f t="shared" si="21"/>
        <v>2208645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6870631</v>
      </c>
      <c r="D689" s="180">
        <f>(D615/D612)*X76</f>
        <v>235087.10455092197</v>
      </c>
      <c r="E689" s="180">
        <f>(E623/E612)*SUM(C689:D689)</f>
        <v>143061.28015284191</v>
      </c>
      <c r="F689" s="180">
        <f>(F624/F612)*X64</f>
        <v>-860.36226405494324</v>
      </c>
      <c r="G689" s="180">
        <f>(G625/G612)*X77</f>
        <v>0</v>
      </c>
      <c r="H689" s="180">
        <f>(H628/H612)*X60</f>
        <v>35451.815323283561</v>
      </c>
      <c r="I689" s="180">
        <f>(I629/I612)*X78</f>
        <v>39134.946696276114</v>
      </c>
      <c r="J689" s="180">
        <f>(J630/J612)*X79</f>
        <v>76166.518099873123</v>
      </c>
      <c r="K689" s="180">
        <f>(K644/K612)*X75</f>
        <v>2974481.5778761003</v>
      </c>
      <c r="L689" s="180">
        <f>(L647/L612)*X80</f>
        <v>0</v>
      </c>
      <c r="M689" s="180">
        <f t="shared" si="21"/>
        <v>3502523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28339198</v>
      </c>
      <c r="D690" s="180">
        <f>(D615/D612)*Y76</f>
        <v>2019024.4640480371</v>
      </c>
      <c r="E690" s="180">
        <f>(E623/E612)*SUM(C690:D690)</f>
        <v>611210.0290173213</v>
      </c>
      <c r="F690" s="180">
        <f>(F624/F612)*Y64</f>
        <v>-7929.2058258403931</v>
      </c>
      <c r="G690" s="180">
        <f>(G625/G612)*Y77</f>
        <v>0</v>
      </c>
      <c r="H690" s="180">
        <f>(H628/H612)*Y60</f>
        <v>213747.80837376617</v>
      </c>
      <c r="I690" s="180">
        <f>(I629/I612)*Y78</f>
        <v>335985.57317679707</v>
      </c>
      <c r="J690" s="180">
        <f>(J630/J612)*Y79</f>
        <v>289476.50110628613</v>
      </c>
      <c r="K690" s="180">
        <f>(K644/K612)*Y75</f>
        <v>5932016.0770878661</v>
      </c>
      <c r="L690" s="180">
        <f>(L647/L612)*Y80</f>
        <v>113725.49163769666</v>
      </c>
      <c r="M690" s="180">
        <f t="shared" si="21"/>
        <v>9507257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9351788</v>
      </c>
      <c r="D691" s="180">
        <f>(D615/D612)*Z76</f>
        <v>661888.38326880429</v>
      </c>
      <c r="E691" s="180">
        <f>(E623/E612)*SUM(C691:D691)</f>
        <v>201607.96436734704</v>
      </c>
      <c r="F691" s="180">
        <f>(F624/F612)*Z64</f>
        <v>-506.9143876791606</v>
      </c>
      <c r="G691" s="180">
        <f>(G625/G612)*Z77</f>
        <v>0</v>
      </c>
      <c r="H691" s="180">
        <f>(H628/H612)*Z60</f>
        <v>71708.134776444975</v>
      </c>
      <c r="I691" s="180">
        <f>(I629/I612)*Z78</f>
        <v>110171.36652885313</v>
      </c>
      <c r="J691" s="180">
        <f>(J630/J612)*Z79</f>
        <v>24303.869988538205</v>
      </c>
      <c r="K691" s="180">
        <f>(K644/K612)*Z75</f>
        <v>1231295.5401279468</v>
      </c>
      <c r="L691" s="180">
        <f>(L647/L612)*Z80</f>
        <v>32051.516664971961</v>
      </c>
      <c r="M691" s="180">
        <f t="shared" si="21"/>
        <v>2332520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10802099</v>
      </c>
      <c r="D692" s="180">
        <f>(D615/D612)*AA76</f>
        <v>350243.69018780254</v>
      </c>
      <c r="E692" s="180">
        <f>(E623/E612)*SUM(C692:D692)</f>
        <v>224533.03079102217</v>
      </c>
      <c r="F692" s="180">
        <f>(F624/F612)*AA64</f>
        <v>-11676.779784034579</v>
      </c>
      <c r="G692" s="180">
        <f>(G625/G612)*AA77</f>
        <v>0</v>
      </c>
      <c r="H692" s="180">
        <f>(H628/H612)*AA60</f>
        <v>13730.203816581834</v>
      </c>
      <c r="I692" s="180">
        <f>(I629/I612)*AA78</f>
        <v>58238.73584185166</v>
      </c>
      <c r="J692" s="180">
        <f>(J630/J612)*AA79</f>
        <v>30634.865514125548</v>
      </c>
      <c r="K692" s="180">
        <f>(K644/K612)*AA75</f>
        <v>1783381.1864688022</v>
      </c>
      <c r="L692" s="180">
        <f>(L647/L612)*AA80</f>
        <v>0</v>
      </c>
      <c r="M692" s="180">
        <f t="shared" si="21"/>
        <v>2449085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45808038</v>
      </c>
      <c r="D693" s="180">
        <f>(D615/D612)*AB76</f>
        <v>649604.2378848904</v>
      </c>
      <c r="E693" s="180">
        <f>(E623/E612)*SUM(C693:D693)</f>
        <v>935343.85598239186</v>
      </c>
      <c r="F693" s="180">
        <f>(F624/F612)*AB64</f>
        <v>-45316.38108476394</v>
      </c>
      <c r="G693" s="180">
        <f>(G625/G612)*AB77</f>
        <v>0</v>
      </c>
      <c r="H693" s="180">
        <f>(H628/H612)*AB60</f>
        <v>142701.15477077628</v>
      </c>
      <c r="I693" s="180">
        <f>(I629/I612)*AB78</f>
        <v>108131.15603757808</v>
      </c>
      <c r="J693" s="180">
        <f>(J630/J612)*AB79</f>
        <v>0</v>
      </c>
      <c r="K693" s="180">
        <f>(K644/K612)*AB75</f>
        <v>2962649.1293846495</v>
      </c>
      <c r="L693" s="180">
        <f>(L647/L612)*AB80</f>
        <v>88.296189159702379</v>
      </c>
      <c r="M693" s="180">
        <f t="shared" si="21"/>
        <v>4753201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2633837</v>
      </c>
      <c r="D694" s="180">
        <f>(D615/D612)*AC76</f>
        <v>88608.859119985937</v>
      </c>
      <c r="E694" s="180">
        <f>(E623/E612)*SUM(C694:D694)</f>
        <v>54811.714174682049</v>
      </c>
      <c r="F694" s="180">
        <f>(F624/F612)*AC64</f>
        <v>-410.65349267685025</v>
      </c>
      <c r="G694" s="180">
        <f>(G625/G612)*AC77</f>
        <v>0</v>
      </c>
      <c r="H694" s="180">
        <f>(H628/H612)*AC60</f>
        <v>36345.708800925604</v>
      </c>
      <c r="I694" s="180">
        <f>(I629/I612)*AC78</f>
        <v>14745.15764148792</v>
      </c>
      <c r="J694" s="180">
        <f>(J630/J612)*AC79</f>
        <v>6371.762948845917</v>
      </c>
      <c r="K694" s="180">
        <f>(K644/K612)*AC75</f>
        <v>827551.64237664035</v>
      </c>
      <c r="L694" s="180">
        <f>(L647/L612)*AC80</f>
        <v>0</v>
      </c>
      <c r="M694" s="180">
        <f t="shared" si="21"/>
        <v>1028024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1721752</v>
      </c>
      <c r="D695" s="180">
        <f>(D615/D612)*AD76</f>
        <v>92451.293221115426</v>
      </c>
      <c r="E695" s="180">
        <f>(E623/E612)*SUM(C695:D695)</f>
        <v>36525.829165596675</v>
      </c>
      <c r="F695" s="180">
        <f>(F624/F612)*AD64</f>
        <v>-50.306804428483453</v>
      </c>
      <c r="G695" s="180">
        <f>(G625/G612)*AD77</f>
        <v>0</v>
      </c>
      <c r="H695" s="180">
        <f>(H628/H612)*AD60</f>
        <v>0</v>
      </c>
      <c r="I695" s="180">
        <f>(I629/I612)*AD78</f>
        <v>15394.315525075437</v>
      </c>
      <c r="J695" s="180">
        <f>(J630/J612)*AD79</f>
        <v>1801.1788821515868</v>
      </c>
      <c r="K695" s="180">
        <f>(K644/K612)*AD75</f>
        <v>284400.51916589739</v>
      </c>
      <c r="L695" s="180">
        <f>(L647/L612)*AD80</f>
        <v>0</v>
      </c>
      <c r="M695" s="180">
        <f t="shared" si="21"/>
        <v>430523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10937107</v>
      </c>
      <c r="D696" s="180">
        <f>(D615/D612)*AE76</f>
        <v>1105107.33496424</v>
      </c>
      <c r="E696" s="180">
        <f>(E623/E612)*SUM(C696:D696)</f>
        <v>242449.04924268264</v>
      </c>
      <c r="F696" s="180">
        <f>(F624/F612)*AE64</f>
        <v>-1156.9399459946853</v>
      </c>
      <c r="G696" s="180">
        <f>(G625/G612)*AE77</f>
        <v>0</v>
      </c>
      <c r="H696" s="180">
        <f>(H628/H612)*AE60</f>
        <v>137105.38160073708</v>
      </c>
      <c r="I696" s="180">
        <f>(I629/I612)*AE78</f>
        <v>183897.15473629272</v>
      </c>
      <c r="J696" s="180">
        <f>(J630/J612)*AE79</f>
        <v>16912.921458227913</v>
      </c>
      <c r="K696" s="180">
        <f>(K644/K612)*AE75</f>
        <v>1457153.0584632256</v>
      </c>
      <c r="L696" s="180">
        <f>(L647/L612)*AE80</f>
        <v>118670.07823063998</v>
      </c>
      <c r="M696" s="180">
        <f t="shared" si="21"/>
        <v>3260138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846137</v>
      </c>
      <c r="D697" s="180">
        <f>(D615/D612)*AF76</f>
        <v>60605.665140542289</v>
      </c>
      <c r="E697" s="180">
        <f>(E623/E612)*SUM(C697:D697)</f>
        <v>18255.68711501874</v>
      </c>
      <c r="F697" s="180">
        <f>(F624/F612)*AF64</f>
        <v>-0.99201987880598086</v>
      </c>
      <c r="G697" s="180">
        <f>(G625/G612)*AF77</f>
        <v>0</v>
      </c>
      <c r="H697" s="180">
        <f>(H628/H612)*AF60</f>
        <v>11835.149643980696</v>
      </c>
      <c r="I697" s="180">
        <f>(I629/I612)*AF78</f>
        <v>10108.315615862788</v>
      </c>
      <c r="J697" s="180">
        <f>(J630/J612)*AF79</f>
        <v>0</v>
      </c>
      <c r="K697" s="180">
        <f>(K644/K612)*AF75</f>
        <v>44277.294663577035</v>
      </c>
      <c r="L697" s="180">
        <f>(L647/L612)*AF80</f>
        <v>971.25808075672614</v>
      </c>
      <c r="M697" s="180">
        <f t="shared" si="21"/>
        <v>146052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14858194</v>
      </c>
      <c r="D698" s="180">
        <f>(D615/D612)*AG76</f>
        <v>882944.78148075345</v>
      </c>
      <c r="E698" s="180">
        <f>(E623/E612)*SUM(C698:D698)</f>
        <v>316920.46208530315</v>
      </c>
      <c r="F698" s="180">
        <f>(F624/F612)*AG64</f>
        <v>-1236.2575040852221</v>
      </c>
      <c r="G698" s="180">
        <f>(G625/G612)*AG77</f>
        <v>463413.21490316419</v>
      </c>
      <c r="H698" s="180">
        <f>(H628/H612)*AG60</f>
        <v>132778.93716894957</v>
      </c>
      <c r="I698" s="180">
        <f>(I629/I612)*AG78</f>
        <v>146895.15537180417</v>
      </c>
      <c r="J698" s="180">
        <f>(J630/J612)*AG79</f>
        <v>105129.91926039709</v>
      </c>
      <c r="K698" s="180">
        <f>(K644/K612)*AG75</f>
        <v>2825768.9513929556</v>
      </c>
      <c r="L698" s="180">
        <f>(L647/L612)*AG80</f>
        <v>298617.71173811343</v>
      </c>
      <c r="M698" s="180">
        <f t="shared" si="21"/>
        <v>5171233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281932878</v>
      </c>
      <c r="D701" s="180">
        <f>(D615/D612)*AJ76</f>
        <v>12773706.419616949</v>
      </c>
      <c r="E701" s="180">
        <f>(E623/E612)*SUM(C701:D701)</f>
        <v>5933404.7053653188</v>
      </c>
      <c r="F701" s="180">
        <f>(F624/F612)*AJ64</f>
        <v>-121463.45659328788</v>
      </c>
      <c r="G701" s="180">
        <f>(G625/G612)*AJ77</f>
        <v>8947.2412521845854</v>
      </c>
      <c r="H701" s="180">
        <f>(H628/H612)*AJ60</f>
        <v>1579456.1413848377</v>
      </c>
      <c r="I701" s="180">
        <f>(I629/I612)*AJ78</f>
        <v>2125435.6477060481</v>
      </c>
      <c r="J701" s="180">
        <f>(J630/J612)*AJ79</f>
        <v>262786.81032477453</v>
      </c>
      <c r="K701" s="180">
        <f>(K644/K612)*AJ75</f>
        <v>32008764.80855405</v>
      </c>
      <c r="L701" s="180">
        <f>(L647/L612)*AJ80</f>
        <v>2633080.6569314841</v>
      </c>
      <c r="M701" s="180">
        <f t="shared" si="21"/>
        <v>57204119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181785873</v>
      </c>
      <c r="D707" s="180">
        <f>(D615/D612)*AP76</f>
        <v>15052269.841586731</v>
      </c>
      <c r="E707" s="180">
        <f>(E623/E612)*SUM(C707:D707)</f>
        <v>3962993.786622365</v>
      </c>
      <c r="F707" s="180">
        <f>(F624/F612)*AP64</f>
        <v>-47084.906466302979</v>
      </c>
      <c r="G707" s="180">
        <f>(G625/G612)*AP77</f>
        <v>0</v>
      </c>
      <c r="H707" s="180">
        <f>(H628/H612)*AP60</f>
        <v>1514166.1617778626</v>
      </c>
      <c r="I707" s="180">
        <f>(I629/I612)*AP78</f>
        <v>2504636.5885616713</v>
      </c>
      <c r="J707" s="180">
        <f>(J630/J612)*AP79</f>
        <v>320018.71338573308</v>
      </c>
      <c r="K707" s="180">
        <f>(K644/K612)*AP75</f>
        <v>21691845.05819574</v>
      </c>
      <c r="L707" s="180">
        <f>(L647/L612)*AP80</f>
        <v>3488405.841321521</v>
      </c>
      <c r="M707" s="180">
        <f t="shared" si="21"/>
        <v>48487251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8226695</v>
      </c>
      <c r="D711" s="180">
        <f>(D615/D612)*AT76</f>
        <v>128954.41718184551</v>
      </c>
      <c r="E711" s="180">
        <f>(E623/E612)*SUM(C711:D711)</f>
        <v>168226.4740230543</v>
      </c>
      <c r="F711" s="180">
        <f>(F624/F612)*AT64</f>
        <v>-4296.6271746156299</v>
      </c>
      <c r="G711" s="180">
        <f>(G625/G612)*AT77</f>
        <v>0</v>
      </c>
      <c r="H711" s="180">
        <f>(H628/H612)*AT60</f>
        <v>35308.792366860835</v>
      </c>
      <c r="I711" s="180">
        <f>(I629/I612)*AT78</f>
        <v>21422.210158388109</v>
      </c>
      <c r="J711" s="180">
        <f>(J630/J612)*AT79</f>
        <v>0</v>
      </c>
      <c r="K711" s="180">
        <f>(K644/K612)*AT75</f>
        <v>667331.29713357845</v>
      </c>
      <c r="L711" s="180">
        <f>(L647/L612)*AT80</f>
        <v>65868.957113137963</v>
      </c>
      <c r="M711" s="180">
        <f t="shared" si="21"/>
        <v>1082816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26164441</v>
      </c>
      <c r="D713" s="180">
        <f>(D615/D612)*AV76</f>
        <v>1293503.0433165885</v>
      </c>
      <c r="E713" s="180">
        <f>(E623/E612)*SUM(C713:D713)</f>
        <v>552817.96539130074</v>
      </c>
      <c r="F713" s="180">
        <f>(F624/F612)*AV64</f>
        <v>-18998.031536915703</v>
      </c>
      <c r="G713" s="180">
        <f>(G625/G612)*AV77</f>
        <v>978.38295784585796</v>
      </c>
      <c r="H713" s="180">
        <f>(H628/H612)*AV60</f>
        <v>100384.23753920181</v>
      </c>
      <c r="I713" s="180">
        <f>(I629/I612)*AV78</f>
        <v>215242.20682951863</v>
      </c>
      <c r="J713" s="180">
        <f>(J630/J612)*AV79</f>
        <v>66726.080018472639</v>
      </c>
      <c r="K713" s="180">
        <f>(K644/K612)*AV75</f>
        <v>5853220.5048067607</v>
      </c>
      <c r="L713" s="180">
        <f>(L647/L612)*AV80</f>
        <v>261268.4237235593</v>
      </c>
      <c r="M713" s="180">
        <f t="shared" si="21"/>
        <v>8325143</v>
      </c>
      <c r="N713" s="199" t="s">
        <v>741</v>
      </c>
    </row>
    <row r="715" spans="1:15" ht="12.6" customHeight="1" x14ac:dyDescent="0.25">
      <c r="C715" s="180">
        <f>SUM(C614:C647)+SUM(C668:C713)</f>
        <v>1129339946.9000001</v>
      </c>
      <c r="D715" s="180">
        <f>SUM(D616:D647)+SUM(D668:D713)</f>
        <v>67229613.999999985</v>
      </c>
      <c r="E715" s="180">
        <f>SUM(E624:E647)+SUM(E668:E713)</f>
        <v>22288555.073449675</v>
      </c>
      <c r="F715" s="180">
        <f>SUM(F625:F648)+SUM(F668:F713)</f>
        <v>-368481.08678130608</v>
      </c>
      <c r="G715" s="180">
        <f>SUM(G626:G647)+SUM(G668:G713)</f>
        <v>5344991.1754908664</v>
      </c>
      <c r="H715" s="180">
        <f>SUM(H629:H647)+SUM(H668:H713)</f>
        <v>8035351.4934807792</v>
      </c>
      <c r="I715" s="180">
        <f>SUM(I630:I647)+SUM(I668:I713)</f>
        <v>10345814.664415305</v>
      </c>
      <c r="J715" s="180">
        <f>SUM(J631:J647)+SUM(J668:J713)</f>
        <v>2111727.5084208227</v>
      </c>
      <c r="K715" s="180">
        <f>SUM(K668:K713)</f>
        <v>131873234.97813134</v>
      </c>
      <c r="L715" s="180">
        <f>SUM(L668:L713)</f>
        <v>13928900.432321368</v>
      </c>
      <c r="M715" s="180">
        <f>SUM(M668:M713)</f>
        <v>239817905</v>
      </c>
      <c r="N715" s="198" t="s">
        <v>742</v>
      </c>
    </row>
    <row r="716" spans="1:15" ht="12.6" customHeight="1" x14ac:dyDescent="0.25">
      <c r="C716" s="180">
        <f>CE71</f>
        <v>1129339946.9000001</v>
      </c>
      <c r="D716" s="180">
        <f>D615</f>
        <v>67229614</v>
      </c>
      <c r="E716" s="180">
        <f>E623</f>
        <v>22288555.073449675</v>
      </c>
      <c r="F716" s="180">
        <f>F624</f>
        <v>-368481.08678130608</v>
      </c>
      <c r="G716" s="180">
        <f>G625</f>
        <v>5344991.1754908655</v>
      </c>
      <c r="H716" s="180">
        <f>H628</f>
        <v>8035351.4934807783</v>
      </c>
      <c r="I716" s="180">
        <f>I629</f>
        <v>10345814.664415307</v>
      </c>
      <c r="J716" s="180">
        <f>J630</f>
        <v>2111727.5084208222</v>
      </c>
      <c r="K716" s="180">
        <f>K644</f>
        <v>131873234.97813134</v>
      </c>
      <c r="L716" s="180">
        <f>L647</f>
        <v>13928900.43232137</v>
      </c>
      <c r="M716" s="180">
        <f>C648</f>
        <v>239817904.90000001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20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78" transitionEvaluation="1" transitionEntry="1" codeName="Sheet10">
    <pageSetUpPr autoPageBreaks="0" fitToPage="1"/>
  </sheetPr>
  <dimension ref="A1:CF719"/>
  <sheetViews>
    <sheetView showGridLines="0" topLeftCell="A43" zoomScale="106" zoomScaleNormal="106" workbookViewId="0">
      <pane xSplit="2" ySplit="4" topLeftCell="C178" activePane="bottomRight" state="frozen"/>
      <selection activeCell="A43" sqref="A43"/>
      <selection pane="topRight" activeCell="C43" sqref="C43"/>
      <selection pane="bottomLeft" activeCell="A47" sqref="A47"/>
      <selection pane="bottomRight" activeCell="E215" sqref="E215"/>
    </sheetView>
  </sheetViews>
  <sheetFormatPr defaultColWidth="11.75" defaultRowHeight="12.6" customHeight="1" x14ac:dyDescent="0.25"/>
  <cols>
    <col min="1" max="1" width="29.58203125" style="265" customWidth="1"/>
    <col min="2" max="2" width="15.58203125" style="265" customWidth="1"/>
    <col min="3" max="3" width="14.75" style="265" customWidth="1"/>
    <col min="4" max="4" width="17.25" style="265" customWidth="1"/>
    <col min="5" max="5" width="13.25" style="265" customWidth="1"/>
    <col min="6" max="7" width="13.33203125" style="265" customWidth="1"/>
    <col min="8" max="55" width="11.75" style="265" customWidth="1"/>
    <col min="56" max="57" width="11.75" style="265"/>
    <col min="58" max="78" width="11.75" style="265" customWidth="1"/>
    <col min="79" max="82" width="11.75" style="265"/>
    <col min="83" max="83" width="13.6640625" style="265" customWidth="1"/>
    <col min="84" max="16384" width="11.75" style="265"/>
  </cols>
  <sheetData>
    <row r="1" spans="1:6" ht="12.75" customHeight="1" x14ac:dyDescent="0.25">
      <c r="A1" s="276" t="s">
        <v>968</v>
      </c>
      <c r="B1" s="277"/>
      <c r="C1" s="277"/>
      <c r="D1" s="277"/>
      <c r="E1" s="277"/>
      <c r="F1" s="277"/>
    </row>
    <row r="2" spans="1:6" ht="12.75" customHeight="1" x14ac:dyDescent="0.25">
      <c r="A2" s="277" t="s">
        <v>969</v>
      </c>
      <c r="B2" s="277"/>
      <c r="C2" s="278"/>
      <c r="D2" s="277"/>
      <c r="E2" s="277"/>
      <c r="F2" s="277"/>
    </row>
    <row r="3" spans="1:6" ht="12.75" customHeight="1" x14ac:dyDescent="0.25">
      <c r="A3" s="279"/>
      <c r="C3" s="280"/>
    </row>
    <row r="4" spans="1:6" ht="12.75" customHeight="1" x14ac:dyDescent="0.25">
      <c r="C4" s="280"/>
    </row>
    <row r="5" spans="1:6" ht="12.75" customHeight="1" x14ac:dyDescent="0.25">
      <c r="A5" s="279" t="s">
        <v>993</v>
      </c>
      <c r="C5" s="280"/>
    </row>
    <row r="6" spans="1:6" ht="12.75" customHeight="1" x14ac:dyDescent="0.25">
      <c r="A6" s="279" t="s">
        <v>0</v>
      </c>
      <c r="C6" s="280"/>
    </row>
    <row r="7" spans="1:6" ht="12.75" customHeight="1" x14ac:dyDescent="0.25">
      <c r="A7" s="279" t="s">
        <v>1</v>
      </c>
      <c r="C7" s="280"/>
    </row>
    <row r="8" spans="1:6" ht="12.75" customHeight="1" x14ac:dyDescent="0.25">
      <c r="C8" s="280"/>
    </row>
    <row r="9" spans="1:6" ht="12.75" customHeight="1" x14ac:dyDescent="0.25">
      <c r="C9" s="280"/>
    </row>
    <row r="10" spans="1:6" ht="12.75" customHeight="1" x14ac:dyDescent="0.25">
      <c r="A10" s="281" t="s">
        <v>964</v>
      </c>
      <c r="C10" s="280"/>
    </row>
    <row r="11" spans="1:6" ht="12.75" customHeight="1" x14ac:dyDescent="0.25">
      <c r="A11" s="281" t="s">
        <v>967</v>
      </c>
      <c r="C11" s="280"/>
    </row>
    <row r="12" spans="1:6" ht="12.75" customHeight="1" x14ac:dyDescent="0.25">
      <c r="C12" s="280"/>
    </row>
    <row r="13" spans="1:6" ht="12.75" customHeight="1" x14ac:dyDescent="0.25">
      <c r="C13" s="280"/>
    </row>
    <row r="14" spans="1:6" ht="12.75" customHeight="1" x14ac:dyDescent="0.25">
      <c r="A14" s="279" t="s">
        <v>2</v>
      </c>
      <c r="C14" s="280"/>
    </row>
    <row r="15" spans="1:6" ht="12.75" customHeight="1" x14ac:dyDescent="0.25">
      <c r="A15" s="279"/>
      <c r="C15" s="280"/>
    </row>
    <row r="16" spans="1:6" ht="12.75" customHeight="1" x14ac:dyDescent="0.25">
      <c r="A16" s="265" t="s">
        <v>995</v>
      </c>
      <c r="C16" s="280"/>
      <c r="F16" s="282" t="s">
        <v>994</v>
      </c>
    </row>
    <row r="17" spans="1:6" ht="12.75" customHeight="1" x14ac:dyDescent="0.25">
      <c r="A17" s="265" t="s">
        <v>966</v>
      </c>
      <c r="C17" s="282" t="s">
        <v>994</v>
      </c>
    </row>
    <row r="18" spans="1:6" ht="12.75" customHeight="1" x14ac:dyDescent="0.25">
      <c r="A18" s="283"/>
      <c r="C18" s="280"/>
    </row>
    <row r="19" spans="1:6" ht="12.75" customHeight="1" x14ac:dyDescent="0.25">
      <c r="C19" s="280"/>
    </row>
    <row r="20" spans="1:6" ht="12.75" customHeight="1" x14ac:dyDescent="0.25">
      <c r="A20" s="284" t="s">
        <v>970</v>
      </c>
      <c r="B20" s="284"/>
      <c r="C20" s="285"/>
      <c r="D20" s="284"/>
      <c r="E20" s="284"/>
      <c r="F20" s="284"/>
    </row>
    <row r="21" spans="1:6" ht="22.5" customHeight="1" x14ac:dyDescent="0.25">
      <c r="A21" s="279"/>
      <c r="C21" s="280"/>
    </row>
    <row r="22" spans="1:6" ht="12.6" customHeight="1" x14ac:dyDescent="0.25">
      <c r="A22" s="286" t="s">
        <v>990</v>
      </c>
      <c r="B22" s="287"/>
      <c r="C22" s="288"/>
      <c r="D22" s="286"/>
      <c r="E22" s="286"/>
    </row>
    <row r="23" spans="1:6" ht="12.6" customHeight="1" x14ac:dyDescent="0.25">
      <c r="B23" s="279"/>
      <c r="C23" s="280"/>
    </row>
    <row r="24" spans="1:6" ht="12.6" customHeight="1" x14ac:dyDescent="0.25">
      <c r="A24" s="289" t="s">
        <v>3</v>
      </c>
      <c r="C24" s="280"/>
    </row>
    <row r="25" spans="1:6" ht="12.6" customHeight="1" x14ac:dyDescent="0.25">
      <c r="A25" s="281" t="s">
        <v>971</v>
      </c>
      <c r="C25" s="280"/>
    </row>
    <row r="26" spans="1:6" ht="12.6" customHeight="1" x14ac:dyDescent="0.25">
      <c r="A26" s="279" t="s">
        <v>4</v>
      </c>
      <c r="C26" s="280"/>
    </row>
    <row r="27" spans="1:6" ht="12.6" customHeight="1" x14ac:dyDescent="0.25">
      <c r="A27" s="281" t="s">
        <v>972</v>
      </c>
      <c r="C27" s="280"/>
    </row>
    <row r="28" spans="1:6" ht="12.6" customHeight="1" x14ac:dyDescent="0.25">
      <c r="A28" s="279" t="s">
        <v>5</v>
      </c>
      <c r="C28" s="280"/>
    </row>
    <row r="29" spans="1:6" ht="12.6" customHeight="1" x14ac:dyDescent="0.25">
      <c r="A29" s="281"/>
      <c r="C29" s="280"/>
    </row>
    <row r="30" spans="1:6" ht="12.6" customHeight="1" x14ac:dyDescent="0.25">
      <c r="A30" s="265" t="s">
        <v>6</v>
      </c>
      <c r="C30" s="280"/>
    </row>
    <row r="31" spans="1:6" ht="12.6" customHeight="1" x14ac:dyDescent="0.25">
      <c r="A31" s="279" t="s">
        <v>7</v>
      </c>
      <c r="C31" s="280"/>
    </row>
    <row r="32" spans="1:6" ht="12.6" customHeight="1" x14ac:dyDescent="0.25">
      <c r="A32" s="279" t="s">
        <v>8</v>
      </c>
      <c r="C32" s="280"/>
    </row>
    <row r="33" spans="1:83" ht="12.6" customHeight="1" x14ac:dyDescent="0.25">
      <c r="A33" s="281" t="s">
        <v>973</v>
      </c>
      <c r="C33" s="280"/>
    </row>
    <row r="34" spans="1:83" ht="12.6" customHeight="1" x14ac:dyDescent="0.25">
      <c r="A34" s="279" t="s">
        <v>9</v>
      </c>
      <c r="C34" s="280"/>
    </row>
    <row r="35" spans="1:83" ht="12.6" customHeight="1" x14ac:dyDescent="0.25">
      <c r="A35" s="279"/>
      <c r="C35" s="280"/>
    </row>
    <row r="36" spans="1:83" ht="12.6" customHeight="1" x14ac:dyDescent="0.25">
      <c r="A36" s="281" t="s">
        <v>974</v>
      </c>
      <c r="C36" s="280"/>
    </row>
    <row r="37" spans="1:83" ht="12.6" customHeight="1" x14ac:dyDescent="0.25">
      <c r="A37" s="279" t="s">
        <v>965</v>
      </c>
      <c r="C37" s="280"/>
    </row>
    <row r="38" spans="1:83" ht="12" customHeight="1" x14ac:dyDescent="0.25">
      <c r="A38" s="281"/>
      <c r="C38" s="280"/>
    </row>
    <row r="39" spans="1:83" ht="12.6" customHeight="1" x14ac:dyDescent="0.25">
      <c r="A39" s="279"/>
      <c r="C39" s="280"/>
    </row>
    <row r="40" spans="1:83" ht="12" customHeight="1" x14ac:dyDescent="0.25">
      <c r="A40" s="279"/>
      <c r="C40" s="280"/>
    </row>
    <row r="41" spans="1:83" ht="12" customHeight="1" x14ac:dyDescent="0.25">
      <c r="A41" s="279"/>
      <c r="C41" s="290"/>
      <c r="D41" s="291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</row>
    <row r="42" spans="1:83" ht="12" customHeight="1" x14ac:dyDescent="0.25">
      <c r="A42" s="279"/>
      <c r="C42" s="290"/>
      <c r="D42" s="291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2"/>
    </row>
    <row r="43" spans="1:83" ht="15.9" customHeight="1" x14ac:dyDescent="0.3">
      <c r="A43" s="293"/>
      <c r="B43" s="294"/>
      <c r="C43" s="295"/>
      <c r="D43" s="294"/>
      <c r="E43" s="294"/>
      <c r="F43" s="296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</row>
    <row r="44" spans="1:83" ht="15.9" customHeight="1" x14ac:dyDescent="0.3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300" t="s">
        <v>60</v>
      </c>
      <c r="BB44" s="300" t="s">
        <v>61</v>
      </c>
      <c r="BC44" s="300" t="s">
        <v>62</v>
      </c>
      <c r="BD44" s="300" t="s">
        <v>63</v>
      </c>
      <c r="BE44" s="300" t="s">
        <v>64</v>
      </c>
      <c r="BF44" s="300" t="s">
        <v>65</v>
      </c>
      <c r="BG44" s="300" t="s">
        <v>66</v>
      </c>
      <c r="BH44" s="300" t="s">
        <v>67</v>
      </c>
      <c r="BI44" s="300" t="s">
        <v>68</v>
      </c>
      <c r="BJ44" s="300" t="s">
        <v>69</v>
      </c>
      <c r="BK44" s="300" t="s">
        <v>70</v>
      </c>
      <c r="BL44" s="300" t="s">
        <v>71</v>
      </c>
      <c r="BM44" s="300" t="s">
        <v>72</v>
      </c>
      <c r="BN44" s="300" t="s">
        <v>73</v>
      </c>
      <c r="BO44" s="300" t="s">
        <v>74</v>
      </c>
      <c r="BP44" s="300" t="s">
        <v>75</v>
      </c>
      <c r="BQ44" s="300" t="s">
        <v>76</v>
      </c>
      <c r="BR44" s="300" t="s">
        <v>77</v>
      </c>
      <c r="BS44" s="300" t="s">
        <v>78</v>
      </c>
      <c r="BT44" s="300" t="s">
        <v>79</v>
      </c>
      <c r="BU44" s="300" t="s">
        <v>80</v>
      </c>
      <c r="BV44" s="300" t="s">
        <v>81</v>
      </c>
      <c r="BW44" s="300" t="s">
        <v>82</v>
      </c>
      <c r="BX44" s="300" t="s">
        <v>83</v>
      </c>
      <c r="BY44" s="300" t="s">
        <v>84</v>
      </c>
      <c r="BZ44" s="300" t="s">
        <v>85</v>
      </c>
      <c r="CA44" s="300" t="s">
        <v>86</v>
      </c>
      <c r="CB44" s="300" t="s">
        <v>87</v>
      </c>
      <c r="CC44" s="300" t="s">
        <v>88</v>
      </c>
      <c r="CD44" s="300" t="s">
        <v>89</v>
      </c>
      <c r="CE44" s="300" t="s">
        <v>90</v>
      </c>
    </row>
    <row r="45" spans="1:83" ht="15.9" customHeight="1" x14ac:dyDescent="0.3">
      <c r="A45" s="297"/>
      <c r="B45" s="301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930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300" t="s">
        <v>137</v>
      </c>
      <c r="BB45" s="300" t="s">
        <v>138</v>
      </c>
      <c r="BC45" s="300" t="s">
        <v>108</v>
      </c>
      <c r="BD45" s="300" t="s">
        <v>139</v>
      </c>
      <c r="BE45" s="300" t="s">
        <v>140</v>
      </c>
      <c r="BF45" s="300" t="s">
        <v>141</v>
      </c>
      <c r="BG45" s="300" t="s">
        <v>142</v>
      </c>
      <c r="BH45" s="300" t="s">
        <v>143</v>
      </c>
      <c r="BI45" s="300" t="s">
        <v>144</v>
      </c>
      <c r="BJ45" s="300" t="s">
        <v>145</v>
      </c>
      <c r="BK45" s="300" t="s">
        <v>146</v>
      </c>
      <c r="BL45" s="300" t="s">
        <v>147</v>
      </c>
      <c r="BM45" s="300" t="s">
        <v>132</v>
      </c>
      <c r="BN45" s="300" t="s">
        <v>148</v>
      </c>
      <c r="BO45" s="300" t="s">
        <v>149</v>
      </c>
      <c r="BP45" s="300" t="s">
        <v>150</v>
      </c>
      <c r="BQ45" s="300" t="s">
        <v>151</v>
      </c>
      <c r="BR45" s="300" t="s">
        <v>152</v>
      </c>
      <c r="BS45" s="300" t="s">
        <v>153</v>
      </c>
      <c r="BT45" s="300" t="s">
        <v>154</v>
      </c>
      <c r="BU45" s="300" t="s">
        <v>155</v>
      </c>
      <c r="BV45" s="300" t="s">
        <v>155</v>
      </c>
      <c r="BW45" s="300" t="s">
        <v>155</v>
      </c>
      <c r="BX45" s="300" t="s">
        <v>156</v>
      </c>
      <c r="BY45" s="300" t="s">
        <v>157</v>
      </c>
      <c r="BZ45" s="300" t="s">
        <v>158</v>
      </c>
      <c r="CA45" s="300" t="s">
        <v>159</v>
      </c>
      <c r="CB45" s="300" t="s">
        <v>160</v>
      </c>
      <c r="CC45" s="300" t="s">
        <v>132</v>
      </c>
      <c r="CD45" s="300"/>
      <c r="CE45" s="300" t="s">
        <v>161</v>
      </c>
    </row>
    <row r="46" spans="1:83" ht="15.9" customHeight="1" x14ac:dyDescent="0.3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300" t="s">
        <v>189</v>
      </c>
      <c r="BB46" s="300" t="s">
        <v>169</v>
      </c>
      <c r="BC46" s="300" t="s">
        <v>183</v>
      </c>
      <c r="BD46" s="300"/>
      <c r="BE46" s="300"/>
      <c r="BF46" s="300"/>
      <c r="BG46" s="300"/>
      <c r="BH46" s="300" t="s">
        <v>190</v>
      </c>
      <c r="BI46" s="300" t="s">
        <v>169</v>
      </c>
      <c r="BJ46" s="300"/>
      <c r="BK46" s="300" t="s">
        <v>191</v>
      </c>
      <c r="BL46" s="300"/>
      <c r="BM46" s="300" t="s">
        <v>192</v>
      </c>
      <c r="BN46" s="300" t="s">
        <v>193</v>
      </c>
      <c r="BO46" s="300" t="s">
        <v>194</v>
      </c>
      <c r="BP46" s="300" t="s">
        <v>195</v>
      </c>
      <c r="BQ46" s="300" t="s">
        <v>196</v>
      </c>
      <c r="BR46" s="300"/>
      <c r="BS46" s="300" t="s">
        <v>197</v>
      </c>
      <c r="BT46" s="300" t="s">
        <v>169</v>
      </c>
      <c r="BU46" s="300" t="s">
        <v>198</v>
      </c>
      <c r="BV46" s="300" t="s">
        <v>199</v>
      </c>
      <c r="BW46" s="300" t="s">
        <v>200</v>
      </c>
      <c r="BX46" s="300" t="s">
        <v>151</v>
      </c>
      <c r="BY46" s="300" t="s">
        <v>193</v>
      </c>
      <c r="BZ46" s="300" t="s">
        <v>152</v>
      </c>
      <c r="CA46" s="300" t="s">
        <v>201</v>
      </c>
      <c r="CB46" s="300" t="s">
        <v>201</v>
      </c>
      <c r="CC46" s="300" t="s">
        <v>202</v>
      </c>
      <c r="CD46" s="300"/>
      <c r="CE46" s="300" t="s">
        <v>203</v>
      </c>
    </row>
    <row r="47" spans="1:83" ht="15.9" customHeight="1" x14ac:dyDescent="0.3">
      <c r="A47" s="297" t="s">
        <v>204</v>
      </c>
      <c r="B47" s="302">
        <f>SUM(C47:CC47)</f>
        <v>18816420.600000001</v>
      </c>
      <c r="C47" s="303">
        <v>3277</v>
      </c>
      <c r="D47" s="303"/>
      <c r="E47" s="303">
        <v>13585</v>
      </c>
      <c r="F47" s="303"/>
      <c r="G47" s="303"/>
      <c r="H47" s="303"/>
      <c r="I47" s="303"/>
      <c r="J47" s="303"/>
      <c r="K47" s="303">
        <v>127870</v>
      </c>
      <c r="L47" s="303"/>
      <c r="M47" s="303"/>
      <c r="N47" s="303"/>
      <c r="O47" s="303"/>
      <c r="P47" s="303">
        <v>14722</v>
      </c>
      <c r="Q47" s="303">
        <v>7038</v>
      </c>
      <c r="R47" s="303">
        <v>1882395</v>
      </c>
      <c r="S47" s="303">
        <v>3716</v>
      </c>
      <c r="T47" s="303">
        <v>230</v>
      </c>
      <c r="U47" s="303">
        <v>978010</v>
      </c>
      <c r="V47" s="303"/>
      <c r="W47" s="303">
        <v>214006</v>
      </c>
      <c r="X47" s="303">
        <v>471189</v>
      </c>
      <c r="Y47" s="303">
        <v>726097</v>
      </c>
      <c r="Z47" s="303">
        <v>690807</v>
      </c>
      <c r="AA47" s="303">
        <v>64258</v>
      </c>
      <c r="AB47" s="303">
        <f>16738-16738+17643</f>
        <v>17643</v>
      </c>
      <c r="AC47" s="303">
        <v>830</v>
      </c>
      <c r="AD47" s="303">
        <v>1461</v>
      </c>
      <c r="AE47" s="303">
        <v>270645</v>
      </c>
      <c r="AF47" s="303">
        <v>53442</v>
      </c>
      <c r="AG47" s="303">
        <v>816813</v>
      </c>
      <c r="AH47" s="303"/>
      <c r="AI47" s="303"/>
      <c r="AJ47" s="303">
        <v>14578802</v>
      </c>
      <c r="AK47" s="303"/>
      <c r="AL47" s="303"/>
      <c r="AM47" s="303"/>
      <c r="AN47" s="303"/>
      <c r="AO47" s="303"/>
      <c r="AP47" s="303">
        <v>8527320</v>
      </c>
      <c r="AQ47" s="303"/>
      <c r="AR47" s="303"/>
      <c r="AS47" s="303"/>
      <c r="AT47" s="303">
        <v>61408</v>
      </c>
      <c r="AU47" s="303"/>
      <c r="AV47" s="303">
        <v>262456</v>
      </c>
      <c r="AW47" s="303">
        <v>770003</v>
      </c>
      <c r="AX47" s="303">
        <v>298</v>
      </c>
      <c r="AY47" s="303">
        <v>2733</v>
      </c>
      <c r="AZ47" s="303">
        <v>250</v>
      </c>
      <c r="BA47" s="304"/>
      <c r="BB47" s="304">
        <v>2142</v>
      </c>
      <c r="BC47" s="304"/>
      <c r="BD47" s="304">
        <f>384021-384021+383116</f>
        <v>383116</v>
      </c>
      <c r="BE47" s="304">
        <v>-8265</v>
      </c>
      <c r="BF47" s="304"/>
      <c r="BG47" s="304">
        <v>969</v>
      </c>
      <c r="BH47" s="304">
        <v>85862</v>
      </c>
      <c r="BI47" s="304">
        <v>26505</v>
      </c>
      <c r="BJ47" s="304">
        <v>-1572</v>
      </c>
      <c r="BK47" s="304">
        <v>129249</v>
      </c>
      <c r="BL47" s="304">
        <v>14413</v>
      </c>
      <c r="BM47" s="304">
        <v>56519</v>
      </c>
      <c r="BN47" s="304">
        <v>28515</v>
      </c>
      <c r="BO47" s="304">
        <v>1513268</v>
      </c>
      <c r="BP47" s="304">
        <v>15775</v>
      </c>
      <c r="BQ47" s="304"/>
      <c r="BR47" s="304">
        <v>408003</v>
      </c>
      <c r="BS47" s="304"/>
      <c r="BT47" s="304"/>
      <c r="BU47" s="304">
        <v>1376</v>
      </c>
      <c r="BV47" s="304">
        <v>2026</v>
      </c>
      <c r="BW47" s="304">
        <v>-14775461</v>
      </c>
      <c r="BX47" s="304">
        <v>245236</v>
      </c>
      <c r="BY47" s="304">
        <v>24302.5</v>
      </c>
      <c r="BZ47" s="304"/>
      <c r="CA47" s="304">
        <v>75248.5</v>
      </c>
      <c r="CB47" s="304"/>
      <c r="CC47" s="304">
        <f>27889+0.6</f>
        <v>27889.599999999999</v>
      </c>
      <c r="CD47" s="305"/>
      <c r="CE47" s="305">
        <f>SUM(C47:CC47)</f>
        <v>18816420.600000001</v>
      </c>
    </row>
    <row r="48" spans="1:83" ht="15.9" customHeight="1" x14ac:dyDescent="0.3">
      <c r="A48" s="297" t="s">
        <v>205</v>
      </c>
      <c r="B48" s="302">
        <f>116077710-116077710+115575655-B47</f>
        <v>96759234.400000006</v>
      </c>
      <c r="C48" s="306">
        <f>ROUND(((B48/CE61)*C61),0)</f>
        <v>1741064</v>
      </c>
      <c r="D48" s="306">
        <f>ROUND(((B48/CE61)*D61),0)</f>
        <v>0</v>
      </c>
      <c r="E48" s="307">
        <f>ROUND(((B48/CE61)*E61),0)</f>
        <v>7673002</v>
      </c>
      <c r="F48" s="307">
        <f>ROUND(((B48/CE61)*F61),0)</f>
        <v>0</v>
      </c>
      <c r="G48" s="307">
        <f>ROUND(((B48/CE61)*G61),0)</f>
        <v>0</v>
      </c>
      <c r="H48" s="307">
        <f>ROUND(((B48/CE61)*H61),0)</f>
        <v>0</v>
      </c>
      <c r="I48" s="307">
        <f>ROUND(((B48/CE61)*I61),0)</f>
        <v>0</v>
      </c>
      <c r="J48" s="307">
        <f>ROUND(((B48/CE61)*J61),0)</f>
        <v>0</v>
      </c>
      <c r="K48" s="307">
        <f>ROUND(((B48/CE61)*K61),0)</f>
        <v>1532788</v>
      </c>
      <c r="L48" s="307">
        <f>ROUND(((B48/CE61)*L61),0)</f>
        <v>0</v>
      </c>
      <c r="M48" s="307">
        <f>ROUND(((B48/CE61)*M61),0)</f>
        <v>0</v>
      </c>
      <c r="N48" s="307">
        <f>ROUND(((B48/CE61)*N61),0)</f>
        <v>0</v>
      </c>
      <c r="O48" s="307">
        <f>ROUND(((B48/CE61)*O61),0)</f>
        <v>0</v>
      </c>
      <c r="P48" s="307">
        <f>ROUND(((B48/CE61)*P61),0)</f>
        <v>2125820</v>
      </c>
      <c r="Q48" s="307">
        <f>ROUND(((B48/CE61)*Q61),0)</f>
        <v>1285658</v>
      </c>
      <c r="R48" s="307">
        <f>ROUND(((B48/CE61)*R61),0)</f>
        <v>2955363</v>
      </c>
      <c r="S48" s="307">
        <f>ROUND(((B48/CE61)*S61),0)</f>
        <v>1190220</v>
      </c>
      <c r="T48" s="307">
        <f>ROUND(((B48/CE61)*T61),0)</f>
        <v>389286</v>
      </c>
      <c r="U48" s="307">
        <f>ROUND(((B48/CE61)*U61),0)</f>
        <v>2987293</v>
      </c>
      <c r="V48" s="307">
        <f>ROUND(((B48/CE61)*V61),0)</f>
        <v>0</v>
      </c>
      <c r="W48" s="307">
        <f>ROUND(((B48/CE61)*W61),0)</f>
        <v>361509</v>
      </c>
      <c r="X48" s="307">
        <f>ROUND(((B48/CE61)*X61),0)</f>
        <v>724009</v>
      </c>
      <c r="Y48" s="307">
        <f>ROUND(((B48/CE61)*Y61),0)</f>
        <v>2490170</v>
      </c>
      <c r="Z48" s="307">
        <f>ROUND(((B48/CE61)*Z61),0)</f>
        <v>1237699</v>
      </c>
      <c r="AA48" s="307">
        <f>ROUND(((B48/CE61)*AA61),0)</f>
        <v>198640</v>
      </c>
      <c r="AB48" s="307">
        <f>ROUND(((B48/CE61)*AB61),0)</f>
        <v>1466108</v>
      </c>
      <c r="AC48" s="307">
        <f>ROUND(((B48/CE61)*AC61),0)</f>
        <v>309407</v>
      </c>
      <c r="AD48" s="307">
        <f>ROUND(((B48/CE61)*AD61),0)</f>
        <v>6222</v>
      </c>
      <c r="AE48" s="307">
        <f>ROUND(((B48/CE61)*AE61),0)</f>
        <v>1448858</v>
      </c>
      <c r="AF48" s="307">
        <f>ROUND(((B48/CE61)*AF61),0)</f>
        <v>116961</v>
      </c>
      <c r="AG48" s="307">
        <f>ROUND(((B48/CE61)*AG61),0)</f>
        <v>1751272</v>
      </c>
      <c r="AH48" s="307">
        <f>ROUND(((B48/CE61)*AH61),0)</f>
        <v>0</v>
      </c>
      <c r="AI48" s="307">
        <f>ROUND(((B48/CE61)*AI61),0)</f>
        <v>0</v>
      </c>
      <c r="AJ48" s="307">
        <f>ROUND(((B48/CE61)*AJ61),0)</f>
        <v>24414191</v>
      </c>
      <c r="AK48" s="307">
        <f>ROUND(((B48/CE61)*AK61),0)</f>
        <v>0</v>
      </c>
      <c r="AL48" s="307">
        <f>ROUND(((B48/CE61)*AL61),0)</f>
        <v>0</v>
      </c>
      <c r="AM48" s="307">
        <f>ROUND(((B48/CE61)*AM61),0)</f>
        <v>0</v>
      </c>
      <c r="AN48" s="307">
        <f>ROUND(((B48/CE61)*AN61),0)</f>
        <v>0</v>
      </c>
      <c r="AO48" s="307">
        <f>ROUND(((B48/CE61)*AO61),0)</f>
        <v>0</v>
      </c>
      <c r="AP48" s="307">
        <f>ROUND(((B48/CE61)*AP61),0)</f>
        <v>17526954</v>
      </c>
      <c r="AQ48" s="307">
        <f>ROUND(((B48/CE61)*AQ61),0)</f>
        <v>0</v>
      </c>
      <c r="AR48" s="307">
        <f>ROUND(((B48/CE61)*AR61),0)</f>
        <v>0</v>
      </c>
      <c r="AS48" s="307">
        <f>ROUND(((B48/CE61)*AS61),0)</f>
        <v>0</v>
      </c>
      <c r="AT48" s="307">
        <f>ROUND(((B48/CE61)*AT61),0)</f>
        <v>346673</v>
      </c>
      <c r="AU48" s="307">
        <f>ROUND(((B48/CE61)*AU61),0)</f>
        <v>0</v>
      </c>
      <c r="AV48" s="307">
        <f>ROUND(((B48/CE61)*AV61),0)</f>
        <v>1183553</v>
      </c>
      <c r="AW48" s="307">
        <f>ROUND(((B48/CE61)*AW61),0)</f>
        <v>2227030</v>
      </c>
      <c r="AX48" s="307">
        <f>ROUND(((B48/CE61)*AX61),0)</f>
        <v>61504</v>
      </c>
      <c r="AY48" s="307">
        <f>ROUND(((B48/CE61)*AY61),0)</f>
        <v>524300</v>
      </c>
      <c r="AZ48" s="307">
        <f>ROUND(((B48/CE61)*AZ61),0)</f>
        <v>267685</v>
      </c>
      <c r="BA48" s="305">
        <f>ROUND(((B48/CE61)*BA61),0)</f>
        <v>0</v>
      </c>
      <c r="BB48" s="305">
        <f>ROUND(((B48/CE61)*BB61),0)</f>
        <v>130716</v>
      </c>
      <c r="BC48" s="305">
        <f>ROUND(((B48/CE61)*BC61),0)</f>
        <v>0</v>
      </c>
      <c r="BD48" s="305">
        <f>ROUND(((B48/CE61)*BD61),0)</f>
        <v>1302578</v>
      </c>
      <c r="BE48" s="305">
        <f>ROUND(((B48/CE61)*BE61),0)</f>
        <v>358561</v>
      </c>
      <c r="BF48" s="305">
        <f>ROUND(((B48/CE61)*BF61),0)</f>
        <v>0</v>
      </c>
      <c r="BG48" s="305">
        <f>ROUND(((B48/CE61)*BG61),0)</f>
        <v>780594</v>
      </c>
      <c r="BH48" s="305">
        <f>ROUND(((B48/CE61)*BH61),0)</f>
        <v>2991657</v>
      </c>
      <c r="BI48" s="305">
        <f>ROUND(((B48/CE61)*BI61),0)</f>
        <v>336890</v>
      </c>
      <c r="BJ48" s="305">
        <f>ROUND(((B48/CE61)*BJ61),0)</f>
        <v>304608</v>
      </c>
      <c r="BK48" s="305">
        <f>ROUND(((B48/CE61)*BK61),0)</f>
        <v>2639098</v>
      </c>
      <c r="BL48" s="305">
        <f>ROUND(((B48/CE61)*BL61),0)</f>
        <v>996774</v>
      </c>
      <c r="BM48" s="305">
        <f>ROUND(((B48/CE61)*BM61),0)</f>
        <v>382694</v>
      </c>
      <c r="BN48" s="305">
        <f>ROUND(((B48/CE61)*BN61),0)</f>
        <v>1627559</v>
      </c>
      <c r="BO48" s="305">
        <f>ROUND(((B48/CE61)*BO61),0)</f>
        <v>120388</v>
      </c>
      <c r="BP48" s="305">
        <f>ROUND(((B48/CE61)*BP61),0)</f>
        <v>328412</v>
      </c>
      <c r="BQ48" s="305">
        <f>ROUND(((B48/CE61)*BQ61),0)</f>
        <v>0</v>
      </c>
      <c r="BR48" s="305">
        <f>ROUND(((B48/CE61)*BR61),0)</f>
        <v>322504</v>
      </c>
      <c r="BS48" s="305">
        <f>ROUND(((B48/CE61)*BS61),0)</f>
        <v>0</v>
      </c>
      <c r="BT48" s="305">
        <f>ROUND(((B48/CE61)*BT61),0)</f>
        <v>23512</v>
      </c>
      <c r="BU48" s="305">
        <f>ROUND(((B48/CE61)*BU61),0)</f>
        <v>26982</v>
      </c>
      <c r="BV48" s="305">
        <f>ROUND(((B48/CE61)*BV61),0)</f>
        <v>436165</v>
      </c>
      <c r="BW48" s="305">
        <f>ROUND(((B48/CE61)*BW61),0)</f>
        <v>979758</v>
      </c>
      <c r="BX48" s="305">
        <f>ROUND(((B48/CE61)*BX61),0)</f>
        <v>1569673</v>
      </c>
      <c r="BY48" s="305">
        <f>ROUND(((B48/CE61)*BY61),0)</f>
        <v>971802</v>
      </c>
      <c r="BZ48" s="305">
        <f>ROUND(((B48/CE61)*BZ61),0)</f>
        <v>0</v>
      </c>
      <c r="CA48" s="305">
        <f>ROUND(((B48/CE61)*CA61),0)</f>
        <v>829037</v>
      </c>
      <c r="CB48" s="305">
        <f>ROUND(((B48/CE61)*CB61),0)</f>
        <v>0</v>
      </c>
      <c r="CC48" s="305">
        <f>ROUND(((B48/CE61)*CC61),0)</f>
        <v>756032</v>
      </c>
      <c r="CD48" s="305"/>
      <c r="CE48" s="305">
        <f>SUM(C48:CD48)</f>
        <v>96759233</v>
      </c>
    </row>
    <row r="49" spans="1:84" ht="15.9" customHeight="1" x14ac:dyDescent="0.3">
      <c r="A49" s="297" t="s">
        <v>206</v>
      </c>
      <c r="B49" s="307">
        <f>B47+B48</f>
        <v>115575655</v>
      </c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</row>
    <row r="50" spans="1:84" ht="15.9" customHeight="1" x14ac:dyDescent="0.3">
      <c r="A50" s="297" t="s">
        <v>6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</row>
    <row r="51" spans="1:84" ht="15.9" customHeight="1" x14ac:dyDescent="0.3">
      <c r="A51" s="308" t="s">
        <v>207</v>
      </c>
      <c r="B51" s="302">
        <f>SUM(C51:CC51)</f>
        <v>40820826</v>
      </c>
      <c r="C51" s="303">
        <v>1722634</v>
      </c>
      <c r="D51" s="303"/>
      <c r="E51" s="303">
        <v>2524734</v>
      </c>
      <c r="F51" s="303"/>
      <c r="G51" s="303"/>
      <c r="H51" s="303"/>
      <c r="I51" s="303"/>
      <c r="J51" s="303"/>
      <c r="K51" s="303">
        <v>423963</v>
      </c>
      <c r="L51" s="303"/>
      <c r="M51" s="303"/>
      <c r="N51" s="303"/>
      <c r="O51" s="303"/>
      <c r="P51" s="303">
        <v>4045458</v>
      </c>
      <c r="Q51" s="303">
        <v>910528</v>
      </c>
      <c r="R51" s="303">
        <v>358358</v>
      </c>
      <c r="S51" s="303">
        <v>710702</v>
      </c>
      <c r="T51" s="303">
        <v>17674</v>
      </c>
      <c r="U51" s="303">
        <v>528072</v>
      </c>
      <c r="V51" s="303"/>
      <c r="W51" s="303">
        <v>631667</v>
      </c>
      <c r="X51" s="303">
        <v>380054</v>
      </c>
      <c r="Y51" s="303">
        <v>2530800</v>
      </c>
      <c r="Z51" s="303">
        <v>699963</v>
      </c>
      <c r="AA51" s="303">
        <v>84841</v>
      </c>
      <c r="AB51" s="303">
        <f>71294-71294+281172</f>
        <v>281172</v>
      </c>
      <c r="AC51" s="303">
        <v>92255</v>
      </c>
      <c r="AD51" s="303">
        <v>15806</v>
      </c>
      <c r="AE51" s="303">
        <v>23831</v>
      </c>
      <c r="AF51" s="303">
        <v>4525</v>
      </c>
      <c r="AG51" s="303">
        <v>525264</v>
      </c>
      <c r="AH51" s="303"/>
      <c r="AI51" s="303"/>
      <c r="AJ51" s="303">
        <v>2849834</v>
      </c>
      <c r="AK51" s="303"/>
      <c r="AL51" s="303"/>
      <c r="AM51" s="303"/>
      <c r="AN51" s="303"/>
      <c r="AO51" s="303"/>
      <c r="AP51" s="303">
        <v>3484728</v>
      </c>
      <c r="AQ51" s="303"/>
      <c r="AR51" s="303"/>
      <c r="AS51" s="303"/>
      <c r="AT51" s="303">
        <v>777</v>
      </c>
      <c r="AU51" s="303"/>
      <c r="AV51" s="303">
        <v>1296309</v>
      </c>
      <c r="AW51" s="303">
        <v>73908</v>
      </c>
      <c r="AX51" s="303">
        <v>15124</v>
      </c>
      <c r="AY51" s="303">
        <v>21822</v>
      </c>
      <c r="AZ51" s="303">
        <v>174142</v>
      </c>
      <c r="BA51" s="304">
        <v>5682</v>
      </c>
      <c r="BB51" s="304">
        <v>2021</v>
      </c>
      <c r="BC51" s="304">
        <v>91632</v>
      </c>
      <c r="BD51" s="304">
        <f>240476-240476+30598</f>
        <v>30598</v>
      </c>
      <c r="BE51" s="304">
        <v>7525491</v>
      </c>
      <c r="BF51" s="304">
        <v>100636</v>
      </c>
      <c r="BG51" s="304">
        <v>12382</v>
      </c>
      <c r="BH51" s="304">
        <v>7514360</v>
      </c>
      <c r="BI51" s="304">
        <v>15894</v>
      </c>
      <c r="BJ51" s="304">
        <v>6668</v>
      </c>
      <c r="BK51" s="304">
        <v>76090</v>
      </c>
      <c r="BL51" s="304">
        <v>17355</v>
      </c>
      <c r="BM51" s="304">
        <v>60859</v>
      </c>
      <c r="BN51" s="304">
        <v>15275</v>
      </c>
      <c r="BO51" s="304">
        <v>84672</v>
      </c>
      <c r="BP51" s="304">
        <v>72609</v>
      </c>
      <c r="BQ51" s="304"/>
      <c r="BR51" s="304">
        <v>5457</v>
      </c>
      <c r="BS51" s="304"/>
      <c r="BT51" s="304">
        <v>8878</v>
      </c>
      <c r="BU51" s="304">
        <v>2627</v>
      </c>
      <c r="BV51" s="304">
        <v>358558</v>
      </c>
      <c r="BW51" s="304">
        <v>41</v>
      </c>
      <c r="BX51" s="304">
        <v>188630</v>
      </c>
      <c r="BY51" s="304">
        <v>42124</v>
      </c>
      <c r="BZ51" s="304"/>
      <c r="CA51" s="304">
        <v>4947</v>
      </c>
      <c r="CB51" s="304"/>
      <c r="CC51" s="304">
        <f>149384-989</f>
        <v>148395</v>
      </c>
      <c r="CD51" s="305"/>
      <c r="CE51" s="305">
        <f>SUM(C51:CD51)</f>
        <v>40820826</v>
      </c>
    </row>
    <row r="52" spans="1:84" ht="15.9" customHeight="1" x14ac:dyDescent="0.3">
      <c r="A52" s="308" t="s">
        <v>208</v>
      </c>
      <c r="B52" s="303">
        <f>40820826-B51</f>
        <v>0</v>
      </c>
      <c r="C52" s="307">
        <f>ROUND((B52/(CE76+CF76)*C76),0)</f>
        <v>0</v>
      </c>
      <c r="D52" s="307">
        <f>ROUND((B52/(CE76+CF76)*D76),0)</f>
        <v>0</v>
      </c>
      <c r="E52" s="307">
        <f>ROUND((B52/(CE76+CF76)*E76),0)</f>
        <v>0</v>
      </c>
      <c r="F52" s="307">
        <f>ROUND((B52/(CE76+CF76)*F76),0)</f>
        <v>0</v>
      </c>
      <c r="G52" s="307">
        <f>ROUND((B52/(CE76+CF76)*G76),0)</f>
        <v>0</v>
      </c>
      <c r="H52" s="307">
        <f>ROUND((B52/(CE76+CF76)*H76),0)</f>
        <v>0</v>
      </c>
      <c r="I52" s="307">
        <f>ROUND((B52/(CE76+CF76)*I76),0)</f>
        <v>0</v>
      </c>
      <c r="J52" s="307">
        <f>ROUND((B52/(CE76+CF76)*J76),0)</f>
        <v>0</v>
      </c>
      <c r="K52" s="307">
        <f>ROUND((B52/(CE76+CF76)*K76),0)</f>
        <v>0</v>
      </c>
      <c r="L52" s="307">
        <f>ROUND((B52/(CE76+CF76)*L76),0)</f>
        <v>0</v>
      </c>
      <c r="M52" s="307">
        <f>ROUND((B52/(CE76+CF76)*M76),0)</f>
        <v>0</v>
      </c>
      <c r="N52" s="307">
        <f>ROUND((B52/(CE76+CF76)*N76),0)</f>
        <v>0</v>
      </c>
      <c r="O52" s="307">
        <f>ROUND((B52/(CE76+CF76)*O76),0)</f>
        <v>0</v>
      </c>
      <c r="P52" s="307">
        <f>ROUND((B52/(CE76+CF76)*P76),0)</f>
        <v>0</v>
      </c>
      <c r="Q52" s="307">
        <f>ROUND((B52/(CE76+CF76)*Q76),0)</f>
        <v>0</v>
      </c>
      <c r="R52" s="307">
        <f>ROUND((B52/(CE76+CF76)*R76),0)</f>
        <v>0</v>
      </c>
      <c r="S52" s="307">
        <f>ROUND((B52/(CE76+CF76)*S76),0)</f>
        <v>0</v>
      </c>
      <c r="T52" s="307">
        <f>ROUND((B52/(CE76+CF76)*T76),0)</f>
        <v>0</v>
      </c>
      <c r="U52" s="307">
        <f>ROUND((B52/(CE76+CF76)*U76),0)</f>
        <v>0</v>
      </c>
      <c r="V52" s="307">
        <f>ROUND((B52/(CE76+CF76)*V76),0)</f>
        <v>0</v>
      </c>
      <c r="W52" s="307">
        <f>ROUND((B52/(CE76+CF76)*W76),0)</f>
        <v>0</v>
      </c>
      <c r="X52" s="307">
        <f>ROUND((B52/(CE76+CF76)*X76),0)</f>
        <v>0</v>
      </c>
      <c r="Y52" s="307">
        <f>ROUND((B52/(CE76+CF76)*Y76),0)</f>
        <v>0</v>
      </c>
      <c r="Z52" s="307">
        <f>ROUND((B52/(CE76+CF76)*Z76),0)</f>
        <v>0</v>
      </c>
      <c r="AA52" s="307">
        <f>ROUND((B52/(CE76+CF76)*AA76),0)</f>
        <v>0</v>
      </c>
      <c r="AB52" s="307">
        <f>ROUND((B52/(CE76+CF76)*AB76),0)</f>
        <v>0</v>
      </c>
      <c r="AC52" s="307">
        <f>ROUND((B52/(CE76+CF76)*AC76),0)</f>
        <v>0</v>
      </c>
      <c r="AD52" s="307">
        <f>ROUND((B52/(CE76+CF76)*AD76),0)</f>
        <v>0</v>
      </c>
      <c r="AE52" s="307">
        <f>ROUND((B52/(CE76+CF76)*AE76),0)</f>
        <v>0</v>
      </c>
      <c r="AF52" s="307">
        <f>ROUND((B52/(CE76+CF76)*AF76),0)</f>
        <v>0</v>
      </c>
      <c r="AG52" s="307">
        <f>ROUND((B52/(CE76+CF76)*AG76),0)</f>
        <v>0</v>
      </c>
      <c r="AH52" s="307">
        <f>ROUND((B52/(CE76+CF76)*AH76),0)</f>
        <v>0</v>
      </c>
      <c r="AI52" s="307">
        <f>ROUND((B52/(CE76+CF76)*AI76),0)</f>
        <v>0</v>
      </c>
      <c r="AJ52" s="307">
        <f>ROUND((B52/(CE76+CF76)*AJ76),0)</f>
        <v>0</v>
      </c>
      <c r="AK52" s="307">
        <f>ROUND((B52/(CE76+CF76)*AK76),0)</f>
        <v>0</v>
      </c>
      <c r="AL52" s="307">
        <f>ROUND((B52/(CE76+CF76)*AL76),0)</f>
        <v>0</v>
      </c>
      <c r="AM52" s="307">
        <f>ROUND((B52/(CE76+CF76)*AM76),0)</f>
        <v>0</v>
      </c>
      <c r="AN52" s="307">
        <f>ROUND((B52/(CE76+CF76)*AN76),0)</f>
        <v>0</v>
      </c>
      <c r="AO52" s="307">
        <f>ROUND((B52/(CE76+CF76)*AO76),0)</f>
        <v>0</v>
      </c>
      <c r="AP52" s="307">
        <f>ROUND((B52/(CE76+CF76)*AP76),0)</f>
        <v>0</v>
      </c>
      <c r="AQ52" s="307">
        <f>ROUND((B52/(CE76+CF76)*AQ76),0)</f>
        <v>0</v>
      </c>
      <c r="AR52" s="307">
        <f>ROUND((B52/(CE76+CF76)*AR76),0)</f>
        <v>0</v>
      </c>
      <c r="AS52" s="307">
        <f>ROUND((B52/(CE76+CF76)*AS76),0)</f>
        <v>0</v>
      </c>
      <c r="AT52" s="307">
        <f>ROUND((B52/(CE76+CF76)*AT76),0)</f>
        <v>0</v>
      </c>
      <c r="AU52" s="307">
        <f>ROUND((B52/(CE76+CF76)*AU76),0)</f>
        <v>0</v>
      </c>
      <c r="AV52" s="307">
        <f>ROUND((B52/(CE76+CF76)*AV76),0)</f>
        <v>0</v>
      </c>
      <c r="AW52" s="307">
        <f>ROUND((B52/(CE76+CF76)*AW76),0)</f>
        <v>0</v>
      </c>
      <c r="AX52" s="307">
        <f>ROUND((B52/(CE76+CF76)*AX76),0)</f>
        <v>0</v>
      </c>
      <c r="AY52" s="307">
        <f>ROUND((B52/(CE76+CF76)*AY76),0)</f>
        <v>0</v>
      </c>
      <c r="AZ52" s="307">
        <f>ROUND((B52/(CE76+CF76)*AZ76),0)</f>
        <v>0</v>
      </c>
      <c r="BA52" s="305">
        <f>ROUND((B52/(CE76+CF76)*BA76),0)</f>
        <v>0</v>
      </c>
      <c r="BB52" s="305">
        <f>ROUND((B52/(CE76+CF76)*BB76),0)</f>
        <v>0</v>
      </c>
      <c r="BC52" s="305">
        <f>ROUND((B52/(CE76+CF76)*BC76),0)</f>
        <v>0</v>
      </c>
      <c r="BD52" s="305">
        <f>ROUND((B52/(CE76+CF76)*BD76),0)</f>
        <v>0</v>
      </c>
      <c r="BE52" s="305">
        <f>ROUND((B52/(CE76+CF76)*BE76),0)</f>
        <v>0</v>
      </c>
      <c r="BF52" s="305">
        <f>ROUND((B52/(CE76+CF76)*BF76),0)</f>
        <v>0</v>
      </c>
      <c r="BG52" s="305">
        <f>ROUND((B52/(CE76+CF76)*BG76),0)</f>
        <v>0</v>
      </c>
      <c r="BH52" s="305">
        <f>ROUND((B52/(CE76+CF76)*BH76),0)</f>
        <v>0</v>
      </c>
      <c r="BI52" s="305">
        <f>ROUND((B52/(CE76+CF76)*BI76),0)</f>
        <v>0</v>
      </c>
      <c r="BJ52" s="305">
        <f>ROUND((B52/(CE76+CF76)*BJ76),0)</f>
        <v>0</v>
      </c>
      <c r="BK52" s="305">
        <f>ROUND((B52/(CE76+CF76)*BK76),0)</f>
        <v>0</v>
      </c>
      <c r="BL52" s="305">
        <f>ROUND((B52/(CE76+CF76)*BL76),0)</f>
        <v>0</v>
      </c>
      <c r="BM52" s="305">
        <f>ROUND((B52/(CE76+CF76)*BM76),0)</f>
        <v>0</v>
      </c>
      <c r="BN52" s="305">
        <f>ROUND((B52/(CE76+CF76)*BN76),0)</f>
        <v>0</v>
      </c>
      <c r="BO52" s="305">
        <f>ROUND((B52/(CE76+CF76)*BO76),0)</f>
        <v>0</v>
      </c>
      <c r="BP52" s="305">
        <f>ROUND((B52/(CE76+CF76)*BP76),0)</f>
        <v>0</v>
      </c>
      <c r="BQ52" s="305">
        <f>ROUND((B52/(CE76+CF76)*BQ76),0)</f>
        <v>0</v>
      </c>
      <c r="BR52" s="305">
        <f>ROUND((B52/(CE76+CF76)*BR76),0)</f>
        <v>0</v>
      </c>
      <c r="BS52" s="305">
        <f>ROUND((B52/(CE76+CF76)*BS76),0)</f>
        <v>0</v>
      </c>
      <c r="BT52" s="305">
        <f>ROUND((B52/(CE76+CF76)*BT76),0)</f>
        <v>0</v>
      </c>
      <c r="BU52" s="305">
        <f>ROUND((B52/(CE76+CF76)*BU76),0)</f>
        <v>0</v>
      </c>
      <c r="BV52" s="305">
        <f>ROUND((B52/(CE76+CF76)*BV76),0)</f>
        <v>0</v>
      </c>
      <c r="BW52" s="305">
        <f>ROUND((B52/(CE76+CF76)*BW76),0)</f>
        <v>0</v>
      </c>
      <c r="BX52" s="305">
        <f>ROUND((B52/(CE76+CF76)*BX76),0)</f>
        <v>0</v>
      </c>
      <c r="BY52" s="305">
        <f>ROUND((B52/(CE76+CF76)*BY76),0)</f>
        <v>0</v>
      </c>
      <c r="BZ52" s="305">
        <f>ROUND((B52/(CE76+CF76)*BZ76),0)</f>
        <v>0</v>
      </c>
      <c r="CA52" s="305">
        <f>ROUND((B52/(CE76+CF76)*CA76),0)</f>
        <v>0</v>
      </c>
      <c r="CB52" s="305">
        <f>ROUND((B52/(CE76+CF76)*CB76),0)</f>
        <v>0</v>
      </c>
      <c r="CC52" s="305">
        <f>ROUND((B52/(CE76+CF76)*CC76),0)</f>
        <v>0</v>
      </c>
      <c r="CD52" s="305"/>
      <c r="CE52" s="305">
        <f>SUM(C52:CD52)</f>
        <v>0</v>
      </c>
    </row>
    <row r="53" spans="1:84" ht="15.9" customHeight="1" x14ac:dyDescent="0.3">
      <c r="A53" s="297" t="s">
        <v>206</v>
      </c>
      <c r="B53" s="307">
        <f>B51+B52</f>
        <v>40820826</v>
      </c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305"/>
      <c r="BS53" s="305"/>
      <c r="BT53" s="305"/>
      <c r="BU53" s="305"/>
      <c r="BV53" s="305"/>
      <c r="BW53" s="305"/>
      <c r="BX53" s="305"/>
      <c r="BY53" s="305"/>
      <c r="BZ53" s="305"/>
      <c r="CA53" s="305"/>
      <c r="CB53" s="305"/>
      <c r="CC53" s="305"/>
      <c r="CD53" s="305"/>
      <c r="CE53" s="305"/>
    </row>
    <row r="54" spans="1:84" ht="15.9" customHeight="1" x14ac:dyDescent="0.3">
      <c r="A54" s="297"/>
      <c r="B54" s="297"/>
      <c r="C54" s="309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310"/>
      <c r="BB54" s="310"/>
      <c r="BC54" s="310"/>
      <c r="BD54" s="310"/>
      <c r="BE54" s="310"/>
      <c r="BF54" s="310"/>
      <c r="BG54" s="310"/>
      <c r="BH54" s="310"/>
      <c r="BI54" s="310"/>
      <c r="BJ54" s="310"/>
      <c r="BK54" s="310"/>
      <c r="BL54" s="310"/>
      <c r="BM54" s="310"/>
      <c r="BN54" s="310"/>
      <c r="BO54" s="310"/>
      <c r="BP54" s="310"/>
      <c r="BQ54" s="310"/>
      <c r="BR54" s="310"/>
      <c r="BS54" s="310"/>
      <c r="BT54" s="310"/>
      <c r="BU54" s="310"/>
      <c r="BV54" s="310"/>
      <c r="BW54" s="310"/>
      <c r="BX54" s="310"/>
      <c r="BY54" s="310"/>
      <c r="BZ54" s="310"/>
      <c r="CA54" s="310"/>
      <c r="CB54" s="310"/>
      <c r="CC54" s="310"/>
      <c r="CD54" s="310"/>
      <c r="CE54" s="310"/>
    </row>
    <row r="55" spans="1:84" ht="15.9" customHeight="1" x14ac:dyDescent="0.3">
      <c r="A55" s="308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11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300" t="s">
        <v>60</v>
      </c>
      <c r="BB55" s="300" t="s">
        <v>61</v>
      </c>
      <c r="BC55" s="300" t="s">
        <v>62</v>
      </c>
      <c r="BD55" s="300" t="s">
        <v>63</v>
      </c>
      <c r="BE55" s="300" t="s">
        <v>64</v>
      </c>
      <c r="BF55" s="300" t="s">
        <v>65</v>
      </c>
      <c r="BG55" s="300" t="s">
        <v>66</v>
      </c>
      <c r="BH55" s="300" t="s">
        <v>67</v>
      </c>
      <c r="BI55" s="300" t="s">
        <v>68</v>
      </c>
      <c r="BJ55" s="300" t="s">
        <v>69</v>
      </c>
      <c r="BK55" s="300" t="s">
        <v>70</v>
      </c>
      <c r="BL55" s="300" t="s">
        <v>71</v>
      </c>
      <c r="BM55" s="300" t="s">
        <v>72</v>
      </c>
      <c r="BN55" s="300" t="s">
        <v>73</v>
      </c>
      <c r="BO55" s="300" t="s">
        <v>74</v>
      </c>
      <c r="BP55" s="300" t="s">
        <v>75</v>
      </c>
      <c r="BQ55" s="300" t="s">
        <v>76</v>
      </c>
      <c r="BR55" s="300" t="s">
        <v>77</v>
      </c>
      <c r="BS55" s="300" t="s">
        <v>78</v>
      </c>
      <c r="BT55" s="300" t="s">
        <v>79</v>
      </c>
      <c r="BU55" s="300" t="s">
        <v>80</v>
      </c>
      <c r="BV55" s="300" t="s">
        <v>81</v>
      </c>
      <c r="BW55" s="300" t="s">
        <v>82</v>
      </c>
      <c r="BX55" s="300" t="s">
        <v>83</v>
      </c>
      <c r="BY55" s="300" t="s">
        <v>84</v>
      </c>
      <c r="BZ55" s="300" t="s">
        <v>85</v>
      </c>
      <c r="CA55" s="300" t="s">
        <v>86</v>
      </c>
      <c r="CB55" s="300" t="s">
        <v>87</v>
      </c>
      <c r="CC55" s="300" t="s">
        <v>88</v>
      </c>
      <c r="CD55" s="300" t="s">
        <v>89</v>
      </c>
      <c r="CE55" s="300" t="s">
        <v>90</v>
      </c>
    </row>
    <row r="56" spans="1:84" ht="15.9" customHeight="1" x14ac:dyDescent="0.3">
      <c r="A56" s="308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930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300" t="s">
        <v>137</v>
      </c>
      <c r="BB56" s="300" t="s">
        <v>138</v>
      </c>
      <c r="BC56" s="300" t="s">
        <v>108</v>
      </c>
      <c r="BD56" s="300" t="s">
        <v>139</v>
      </c>
      <c r="BE56" s="300" t="s">
        <v>140</v>
      </c>
      <c r="BF56" s="300" t="s">
        <v>141</v>
      </c>
      <c r="BG56" s="300" t="s">
        <v>142</v>
      </c>
      <c r="BH56" s="300" t="s">
        <v>143</v>
      </c>
      <c r="BI56" s="300" t="s">
        <v>144</v>
      </c>
      <c r="BJ56" s="300" t="s">
        <v>145</v>
      </c>
      <c r="BK56" s="300" t="s">
        <v>146</v>
      </c>
      <c r="BL56" s="300" t="s">
        <v>147</v>
      </c>
      <c r="BM56" s="300" t="s">
        <v>132</v>
      </c>
      <c r="BN56" s="300" t="s">
        <v>148</v>
      </c>
      <c r="BO56" s="300" t="s">
        <v>149</v>
      </c>
      <c r="BP56" s="300" t="s">
        <v>150</v>
      </c>
      <c r="BQ56" s="300" t="s">
        <v>151</v>
      </c>
      <c r="BR56" s="300" t="s">
        <v>152</v>
      </c>
      <c r="BS56" s="300" t="s">
        <v>153</v>
      </c>
      <c r="BT56" s="300" t="s">
        <v>154</v>
      </c>
      <c r="BU56" s="300" t="s">
        <v>155</v>
      </c>
      <c r="BV56" s="300" t="s">
        <v>155</v>
      </c>
      <c r="BW56" s="300" t="s">
        <v>155</v>
      </c>
      <c r="BX56" s="300" t="s">
        <v>156</v>
      </c>
      <c r="BY56" s="300" t="s">
        <v>157</v>
      </c>
      <c r="BZ56" s="300" t="s">
        <v>158</v>
      </c>
      <c r="CA56" s="300" t="s">
        <v>159</v>
      </c>
      <c r="CB56" s="300" t="s">
        <v>160</v>
      </c>
      <c r="CC56" s="300" t="s">
        <v>132</v>
      </c>
      <c r="CD56" s="300" t="s">
        <v>211</v>
      </c>
      <c r="CE56" s="300" t="s">
        <v>161</v>
      </c>
    </row>
    <row r="57" spans="1:84" ht="15.9" customHeight="1" x14ac:dyDescent="0.3">
      <c r="A57" s="308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300" t="s">
        <v>189</v>
      </c>
      <c r="BB57" s="300" t="s">
        <v>169</v>
      </c>
      <c r="BC57" s="300" t="s">
        <v>183</v>
      </c>
      <c r="BD57" s="300"/>
      <c r="BE57" s="300"/>
      <c r="BF57" s="300"/>
      <c r="BG57" s="300"/>
      <c r="BH57" s="300" t="s">
        <v>190</v>
      </c>
      <c r="BI57" s="300" t="s">
        <v>169</v>
      </c>
      <c r="BJ57" s="300"/>
      <c r="BK57" s="300" t="s">
        <v>191</v>
      </c>
      <c r="BL57" s="300"/>
      <c r="BM57" s="300" t="s">
        <v>192</v>
      </c>
      <c r="BN57" s="300" t="s">
        <v>193</v>
      </c>
      <c r="BO57" s="300" t="s">
        <v>194</v>
      </c>
      <c r="BP57" s="300" t="s">
        <v>195</v>
      </c>
      <c r="BQ57" s="300" t="s">
        <v>196</v>
      </c>
      <c r="BR57" s="300"/>
      <c r="BS57" s="300" t="s">
        <v>197</v>
      </c>
      <c r="BT57" s="300" t="s">
        <v>169</v>
      </c>
      <c r="BU57" s="300" t="s">
        <v>198</v>
      </c>
      <c r="BV57" s="300" t="s">
        <v>199</v>
      </c>
      <c r="BW57" s="300" t="s">
        <v>200</v>
      </c>
      <c r="BX57" s="300" t="s">
        <v>151</v>
      </c>
      <c r="BY57" s="300" t="s">
        <v>193</v>
      </c>
      <c r="BZ57" s="300" t="s">
        <v>152</v>
      </c>
      <c r="CA57" s="300" t="s">
        <v>201</v>
      </c>
      <c r="CB57" s="300" t="s">
        <v>201</v>
      </c>
      <c r="CC57" s="300" t="s">
        <v>202</v>
      </c>
      <c r="CD57" s="300" t="s">
        <v>213</v>
      </c>
      <c r="CE57" s="300" t="s">
        <v>203</v>
      </c>
    </row>
    <row r="58" spans="1:84" ht="15.9" customHeight="1" x14ac:dyDescent="0.3">
      <c r="A58" s="308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1" t="s">
        <v>220</v>
      </c>
      <c r="S58" s="312" t="s">
        <v>221</v>
      </c>
      <c r="T58" s="312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12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948</v>
      </c>
      <c r="AU58" s="299" t="s">
        <v>228</v>
      </c>
      <c r="AV58" s="312" t="s">
        <v>221</v>
      </c>
      <c r="AW58" s="312" t="s">
        <v>221</v>
      </c>
      <c r="AX58" s="312" t="s">
        <v>221</v>
      </c>
      <c r="AY58" s="299" t="s">
        <v>231</v>
      </c>
      <c r="AZ58" s="299" t="s">
        <v>231</v>
      </c>
      <c r="BA58" s="313" t="s">
        <v>221</v>
      </c>
      <c r="BB58" s="313" t="s">
        <v>221</v>
      </c>
      <c r="BC58" s="313" t="s">
        <v>221</v>
      </c>
      <c r="BD58" s="313" t="s">
        <v>221</v>
      </c>
      <c r="BE58" s="300" t="s">
        <v>232</v>
      </c>
      <c r="BF58" s="313" t="s">
        <v>221</v>
      </c>
      <c r="BG58" s="313" t="s">
        <v>221</v>
      </c>
      <c r="BH58" s="313" t="s">
        <v>221</v>
      </c>
      <c r="BI58" s="313" t="s">
        <v>221</v>
      </c>
      <c r="BJ58" s="313" t="s">
        <v>221</v>
      </c>
      <c r="BK58" s="313" t="s">
        <v>221</v>
      </c>
      <c r="BL58" s="313" t="s">
        <v>221</v>
      </c>
      <c r="BM58" s="313" t="s">
        <v>221</v>
      </c>
      <c r="BN58" s="313" t="s">
        <v>221</v>
      </c>
      <c r="BO58" s="313" t="s">
        <v>221</v>
      </c>
      <c r="BP58" s="313" t="s">
        <v>221</v>
      </c>
      <c r="BQ58" s="313" t="s">
        <v>221</v>
      </c>
      <c r="BR58" s="313" t="s">
        <v>221</v>
      </c>
      <c r="BS58" s="313" t="s">
        <v>221</v>
      </c>
      <c r="BT58" s="313" t="s">
        <v>221</v>
      </c>
      <c r="BU58" s="313" t="s">
        <v>221</v>
      </c>
      <c r="BV58" s="313" t="s">
        <v>221</v>
      </c>
      <c r="BW58" s="313" t="s">
        <v>221</v>
      </c>
      <c r="BX58" s="313" t="s">
        <v>221</v>
      </c>
      <c r="BY58" s="313" t="s">
        <v>221</v>
      </c>
      <c r="BZ58" s="313" t="s">
        <v>221</v>
      </c>
      <c r="CA58" s="313" t="s">
        <v>221</v>
      </c>
      <c r="CB58" s="313" t="s">
        <v>221</v>
      </c>
      <c r="CC58" s="313" t="s">
        <v>221</v>
      </c>
      <c r="CD58" s="313" t="s">
        <v>221</v>
      </c>
      <c r="CE58" s="313" t="s">
        <v>221</v>
      </c>
    </row>
    <row r="59" spans="1:84" ht="15.9" customHeight="1" x14ac:dyDescent="0.3">
      <c r="A59" s="308" t="s">
        <v>233</v>
      </c>
      <c r="B59" s="297"/>
      <c r="C59" s="303">
        <v>6846</v>
      </c>
      <c r="D59" s="303"/>
      <c r="E59" s="303">
        <v>60742</v>
      </c>
      <c r="F59" s="303"/>
      <c r="G59" s="303"/>
      <c r="H59" s="303"/>
      <c r="I59" s="303"/>
      <c r="J59" s="303"/>
      <c r="K59" s="303">
        <v>11791</v>
      </c>
      <c r="L59" s="303"/>
      <c r="M59" s="303"/>
      <c r="N59" s="303">
        <v>0</v>
      </c>
      <c r="O59" s="303"/>
      <c r="P59" s="314">
        <v>2178762</v>
      </c>
      <c r="Q59" s="314">
        <v>2116159</v>
      </c>
      <c r="R59" s="314">
        <v>2271521</v>
      </c>
      <c r="S59" s="315"/>
      <c r="T59" s="315"/>
      <c r="U59" s="316">
        <v>2455386</v>
      </c>
      <c r="V59" s="314"/>
      <c r="W59" s="314">
        <v>106517</v>
      </c>
      <c r="X59" s="314">
        <v>165612</v>
      </c>
      <c r="Y59" s="314">
        <v>158636</v>
      </c>
      <c r="Z59" s="314">
        <v>213597</v>
      </c>
      <c r="AA59" s="314">
        <v>22866</v>
      </c>
      <c r="AB59" s="315"/>
      <c r="AC59" s="314">
        <v>55903</v>
      </c>
      <c r="AD59" s="314">
        <v>16427</v>
      </c>
      <c r="AE59" s="314">
        <v>242867</v>
      </c>
      <c r="AF59" s="314">
        <v>4692</v>
      </c>
      <c r="AG59" s="314">
        <v>24935</v>
      </c>
      <c r="AH59" s="314"/>
      <c r="AI59" s="314"/>
      <c r="AJ59" s="314">
        <v>354050</v>
      </c>
      <c r="AK59" s="314"/>
      <c r="AL59" s="314"/>
      <c r="AM59" s="314"/>
      <c r="AN59" s="314"/>
      <c r="AO59" s="314"/>
      <c r="AP59" s="314">
        <v>529734</v>
      </c>
      <c r="AQ59" s="314"/>
      <c r="AR59" s="314"/>
      <c r="AS59" s="314"/>
      <c r="AT59" s="314">
        <v>108</v>
      </c>
      <c r="AU59" s="314"/>
      <c r="AV59" s="315"/>
      <c r="AW59" s="315"/>
      <c r="AX59" s="315"/>
      <c r="AY59" s="314">
        <v>376818</v>
      </c>
      <c r="AZ59" s="314">
        <v>848273</v>
      </c>
      <c r="BA59" s="317"/>
      <c r="BB59" s="317"/>
      <c r="BC59" s="317"/>
      <c r="BD59" s="317"/>
      <c r="BE59" s="318">
        <v>1537452</v>
      </c>
      <c r="BF59" s="317"/>
      <c r="BG59" s="317"/>
      <c r="BH59" s="317"/>
      <c r="BI59" s="317"/>
      <c r="BJ59" s="317"/>
      <c r="BK59" s="317"/>
      <c r="BL59" s="317"/>
      <c r="BM59" s="317"/>
      <c r="BN59" s="317"/>
      <c r="BO59" s="317"/>
      <c r="BP59" s="317"/>
      <c r="BQ59" s="317"/>
      <c r="BR59" s="317"/>
      <c r="BS59" s="317"/>
      <c r="BT59" s="317"/>
      <c r="BU59" s="317"/>
      <c r="BV59" s="317"/>
      <c r="BW59" s="317"/>
      <c r="BX59" s="317"/>
      <c r="BY59" s="317"/>
      <c r="BZ59" s="317"/>
      <c r="CA59" s="317"/>
      <c r="CB59" s="317"/>
      <c r="CC59" s="317"/>
      <c r="CD59" s="319"/>
      <c r="CE59" s="305"/>
    </row>
    <row r="60" spans="1:84" ht="15.9" customHeight="1" x14ac:dyDescent="0.3">
      <c r="A60" s="320" t="s">
        <v>234</v>
      </c>
      <c r="B60" s="297"/>
      <c r="C60" s="321">
        <v>95.97</v>
      </c>
      <c r="D60" s="322"/>
      <c r="E60" s="322">
        <v>503.4</v>
      </c>
      <c r="F60" s="323"/>
      <c r="G60" s="322"/>
      <c r="H60" s="322"/>
      <c r="I60" s="322"/>
      <c r="J60" s="323"/>
      <c r="K60" s="322">
        <v>113.98</v>
      </c>
      <c r="L60" s="322"/>
      <c r="M60" s="322"/>
      <c r="N60" s="322"/>
      <c r="O60" s="322"/>
      <c r="P60" s="324">
        <v>121.91</v>
      </c>
      <c r="Q60" s="324">
        <v>69.010000000000005</v>
      </c>
      <c r="R60" s="324">
        <v>72.12</v>
      </c>
      <c r="S60" s="324">
        <v>118.96</v>
      </c>
      <c r="T60" s="324">
        <v>16.36</v>
      </c>
      <c r="U60" s="324">
        <v>169.08</v>
      </c>
      <c r="V60" s="324"/>
      <c r="W60" s="324">
        <v>10.84</v>
      </c>
      <c r="X60" s="324">
        <v>19.829999999999998</v>
      </c>
      <c r="Y60" s="324">
        <v>120.03</v>
      </c>
      <c r="Z60" s="324">
        <v>43.31</v>
      </c>
      <c r="AA60" s="324">
        <v>7.09</v>
      </c>
      <c r="AB60" s="324">
        <f>68.82-68.82+74.04+0.5</f>
        <v>74.540000000000006</v>
      </c>
      <c r="AC60" s="324">
        <v>19.95</v>
      </c>
      <c r="AD60" s="324"/>
      <c r="AE60" s="324">
        <v>76.989999999999995</v>
      </c>
      <c r="AF60" s="324">
        <v>7.4</v>
      </c>
      <c r="AG60" s="324">
        <v>68.36</v>
      </c>
      <c r="AH60" s="324"/>
      <c r="AI60" s="324"/>
      <c r="AJ60" s="324">
        <v>863.06</v>
      </c>
      <c r="AK60" s="324"/>
      <c r="AL60" s="324"/>
      <c r="AM60" s="324"/>
      <c r="AN60" s="324"/>
      <c r="AO60" s="324"/>
      <c r="AP60" s="324">
        <v>827.51</v>
      </c>
      <c r="AQ60" s="324"/>
      <c r="AR60" s="324"/>
      <c r="AS60" s="324"/>
      <c r="AT60" s="324">
        <v>17.09</v>
      </c>
      <c r="AU60" s="324"/>
      <c r="AV60" s="324">
        <v>49.27</v>
      </c>
      <c r="AW60" s="324">
        <v>149.25</v>
      </c>
      <c r="AX60" s="324">
        <v>4</v>
      </c>
      <c r="AY60" s="324">
        <v>57.94</v>
      </c>
      <c r="AZ60" s="324">
        <v>31.74</v>
      </c>
      <c r="BA60" s="325"/>
      <c r="BB60" s="325">
        <v>8.98</v>
      </c>
      <c r="BC60" s="325"/>
      <c r="BD60" s="325">
        <f>56.61-56.61+46.16+0.5</f>
        <v>46.66</v>
      </c>
      <c r="BE60" s="325">
        <f>30.06+0.21</f>
        <v>30.27</v>
      </c>
      <c r="BF60" s="325"/>
      <c r="BG60" s="325">
        <v>95</v>
      </c>
      <c r="BH60" s="325">
        <v>149.19999999999999</v>
      </c>
      <c r="BI60" s="325">
        <v>17.43</v>
      </c>
      <c r="BJ60" s="325">
        <v>19.54</v>
      </c>
      <c r="BK60" s="325">
        <v>203.41</v>
      </c>
      <c r="BL60" s="325">
        <v>82.55</v>
      </c>
      <c r="BM60" s="325">
        <v>18.22</v>
      </c>
      <c r="BN60" s="325">
        <v>41.47</v>
      </c>
      <c r="BO60" s="325">
        <v>7.01</v>
      </c>
      <c r="BP60" s="325">
        <v>16.14</v>
      </c>
      <c r="BQ60" s="325"/>
      <c r="BR60" s="325">
        <v>18.940000000000001</v>
      </c>
      <c r="BS60" s="325"/>
      <c r="BT60" s="325">
        <v>1.1499999999999999</v>
      </c>
      <c r="BU60" s="325">
        <v>4.87</v>
      </c>
      <c r="BV60" s="325">
        <v>41.01</v>
      </c>
      <c r="BW60" s="325">
        <v>9.09</v>
      </c>
      <c r="BX60" s="325">
        <v>79.28</v>
      </c>
      <c r="BY60" s="325">
        <v>52.77</v>
      </c>
      <c r="BZ60" s="325"/>
      <c r="CA60" s="325">
        <f>50.84-0.02</f>
        <v>50.82</v>
      </c>
      <c r="CB60" s="325"/>
      <c r="CC60" s="325">
        <f>39.29+4</f>
        <v>43.29</v>
      </c>
      <c r="CD60" s="319" t="s">
        <v>221</v>
      </c>
      <c r="CE60" s="326">
        <f t="shared" ref="CE60:CE70" si="0">SUM(C60:CD60)</f>
        <v>4766.09</v>
      </c>
    </row>
    <row r="61" spans="1:84" ht="15.9" customHeight="1" x14ac:dyDescent="0.3">
      <c r="A61" s="308" t="s">
        <v>235</v>
      </c>
      <c r="B61" s="297"/>
      <c r="C61" s="303">
        <v>9613336</v>
      </c>
      <c r="D61" s="303"/>
      <c r="E61" s="303">
        <v>42366698</v>
      </c>
      <c r="F61" s="314"/>
      <c r="G61" s="303"/>
      <c r="H61" s="303"/>
      <c r="I61" s="314"/>
      <c r="J61" s="314"/>
      <c r="K61" s="314">
        <v>8463334</v>
      </c>
      <c r="L61" s="314"/>
      <c r="M61" s="303"/>
      <c r="N61" s="303"/>
      <c r="O61" s="303"/>
      <c r="P61" s="314">
        <v>11737772</v>
      </c>
      <c r="Q61" s="314">
        <v>7098797</v>
      </c>
      <c r="R61" s="314">
        <v>16318118</v>
      </c>
      <c r="S61" s="314">
        <v>6571835</v>
      </c>
      <c r="T61" s="314">
        <v>2149451</v>
      </c>
      <c r="U61" s="314">
        <v>16494423</v>
      </c>
      <c r="V61" s="314"/>
      <c r="W61" s="314">
        <v>1996084</v>
      </c>
      <c r="X61" s="314">
        <v>3997637</v>
      </c>
      <c r="Y61" s="314">
        <v>13749542</v>
      </c>
      <c r="Z61" s="314">
        <v>6833990</v>
      </c>
      <c r="AA61" s="314">
        <v>1096794</v>
      </c>
      <c r="AB61" s="314">
        <f>7364964-7364964+8095159</f>
        <v>8095159</v>
      </c>
      <c r="AC61" s="314">
        <v>1708401</v>
      </c>
      <c r="AD61" s="314">
        <v>34357</v>
      </c>
      <c r="AE61" s="314">
        <v>7999912</v>
      </c>
      <c r="AF61" s="314">
        <v>645805</v>
      </c>
      <c r="AG61" s="314">
        <v>9669695</v>
      </c>
      <c r="AH61" s="314"/>
      <c r="AI61" s="314"/>
      <c r="AJ61" s="314">
        <v>134803643</v>
      </c>
      <c r="AK61" s="314"/>
      <c r="AL61" s="314"/>
      <c r="AM61" s="314"/>
      <c r="AN61" s="314"/>
      <c r="AO61" s="314"/>
      <c r="AP61" s="314">
        <v>96775568</v>
      </c>
      <c r="AQ61" s="314"/>
      <c r="AR61" s="314"/>
      <c r="AS61" s="314"/>
      <c r="AT61" s="314">
        <v>1914165</v>
      </c>
      <c r="AU61" s="314"/>
      <c r="AV61" s="314">
        <v>6535022</v>
      </c>
      <c r="AW61" s="314">
        <v>12296606</v>
      </c>
      <c r="AX61" s="314">
        <v>339595</v>
      </c>
      <c r="AY61" s="314">
        <v>2894936</v>
      </c>
      <c r="AZ61" s="314">
        <v>1478032</v>
      </c>
      <c r="BA61" s="318"/>
      <c r="BB61" s="318">
        <v>721750</v>
      </c>
      <c r="BC61" s="318"/>
      <c r="BD61" s="318">
        <f>7922419-7922419+7192223</f>
        <v>7192223</v>
      </c>
      <c r="BE61" s="318">
        <v>1979802</v>
      </c>
      <c r="BF61" s="318"/>
      <c r="BG61" s="318">
        <v>4310074</v>
      </c>
      <c r="BH61" s="318">
        <v>16518520</v>
      </c>
      <c r="BI61" s="318">
        <v>1860145</v>
      </c>
      <c r="BJ61" s="318">
        <v>1681901</v>
      </c>
      <c r="BK61" s="318">
        <v>14571852</v>
      </c>
      <c r="BL61" s="318">
        <v>5503718</v>
      </c>
      <c r="BM61" s="318">
        <v>2113055</v>
      </c>
      <c r="BN61" s="318">
        <v>8986610</v>
      </c>
      <c r="BO61" s="318">
        <v>664728</v>
      </c>
      <c r="BP61" s="318">
        <v>1813334</v>
      </c>
      <c r="BQ61" s="318"/>
      <c r="BR61" s="318">
        <v>1780715</v>
      </c>
      <c r="BS61" s="318"/>
      <c r="BT61" s="318">
        <v>129823</v>
      </c>
      <c r="BU61" s="318">
        <v>148983</v>
      </c>
      <c r="BV61" s="318">
        <v>2408295</v>
      </c>
      <c r="BW61" s="318">
        <v>5409762</v>
      </c>
      <c r="BX61" s="318">
        <v>8666994</v>
      </c>
      <c r="BY61" s="318">
        <v>5365831.4000000004</v>
      </c>
      <c r="BZ61" s="318"/>
      <c r="CA61" s="318">
        <v>4577551.4000000004</v>
      </c>
      <c r="CB61" s="318"/>
      <c r="CC61" s="318">
        <f>4174451+1.5</f>
        <v>4174452.5</v>
      </c>
      <c r="CD61" s="319" t="s">
        <v>221</v>
      </c>
      <c r="CE61" s="305">
        <f t="shared" si="0"/>
        <v>534258826.29999995</v>
      </c>
      <c r="CF61" s="327"/>
    </row>
    <row r="62" spans="1:84" ht="15.9" customHeight="1" x14ac:dyDescent="0.3">
      <c r="A62" s="308" t="s">
        <v>3</v>
      </c>
      <c r="B62" s="297"/>
      <c r="C62" s="307">
        <f t="shared" ref="C62:BN62" si="1">ROUND(C47+C48,0)</f>
        <v>1744341</v>
      </c>
      <c r="D62" s="307">
        <f t="shared" si="1"/>
        <v>0</v>
      </c>
      <c r="E62" s="307">
        <f t="shared" si="1"/>
        <v>7686587</v>
      </c>
      <c r="F62" s="307">
        <f t="shared" si="1"/>
        <v>0</v>
      </c>
      <c r="G62" s="307">
        <f t="shared" si="1"/>
        <v>0</v>
      </c>
      <c r="H62" s="307">
        <f t="shared" si="1"/>
        <v>0</v>
      </c>
      <c r="I62" s="307">
        <f t="shared" si="1"/>
        <v>0</v>
      </c>
      <c r="J62" s="307">
        <f>ROUND(J47+J48,0)</f>
        <v>0</v>
      </c>
      <c r="K62" s="307">
        <f t="shared" si="1"/>
        <v>1660658</v>
      </c>
      <c r="L62" s="307">
        <f t="shared" si="1"/>
        <v>0</v>
      </c>
      <c r="M62" s="307">
        <f t="shared" si="1"/>
        <v>0</v>
      </c>
      <c r="N62" s="307">
        <f t="shared" si="1"/>
        <v>0</v>
      </c>
      <c r="O62" s="307">
        <f t="shared" si="1"/>
        <v>0</v>
      </c>
      <c r="P62" s="307">
        <f t="shared" si="1"/>
        <v>2140542</v>
      </c>
      <c r="Q62" s="307">
        <f t="shared" si="1"/>
        <v>1292696</v>
      </c>
      <c r="R62" s="307">
        <f t="shared" si="1"/>
        <v>4837758</v>
      </c>
      <c r="S62" s="307">
        <f t="shared" si="1"/>
        <v>1193936</v>
      </c>
      <c r="T62" s="307">
        <f t="shared" si="1"/>
        <v>389516</v>
      </c>
      <c r="U62" s="307">
        <f t="shared" si="1"/>
        <v>3965303</v>
      </c>
      <c r="V62" s="307">
        <f t="shared" si="1"/>
        <v>0</v>
      </c>
      <c r="W62" s="307">
        <f t="shared" si="1"/>
        <v>575515</v>
      </c>
      <c r="X62" s="307">
        <f t="shared" si="1"/>
        <v>1195198</v>
      </c>
      <c r="Y62" s="307">
        <f t="shared" si="1"/>
        <v>3216267</v>
      </c>
      <c r="Z62" s="307">
        <f t="shared" si="1"/>
        <v>1928506</v>
      </c>
      <c r="AA62" s="307">
        <f t="shared" si="1"/>
        <v>262898</v>
      </c>
      <c r="AB62" s="307">
        <f t="shared" si="1"/>
        <v>1483751</v>
      </c>
      <c r="AC62" s="307">
        <f t="shared" si="1"/>
        <v>310237</v>
      </c>
      <c r="AD62" s="307">
        <f t="shared" si="1"/>
        <v>7683</v>
      </c>
      <c r="AE62" s="307">
        <f t="shared" si="1"/>
        <v>1719503</v>
      </c>
      <c r="AF62" s="307">
        <f t="shared" si="1"/>
        <v>170403</v>
      </c>
      <c r="AG62" s="307">
        <f t="shared" si="1"/>
        <v>2568085</v>
      </c>
      <c r="AH62" s="307">
        <f t="shared" si="1"/>
        <v>0</v>
      </c>
      <c r="AI62" s="307">
        <f t="shared" si="1"/>
        <v>0</v>
      </c>
      <c r="AJ62" s="307">
        <f t="shared" si="1"/>
        <v>38992993</v>
      </c>
      <c r="AK62" s="307">
        <f t="shared" si="1"/>
        <v>0</v>
      </c>
      <c r="AL62" s="307">
        <f t="shared" si="1"/>
        <v>0</v>
      </c>
      <c r="AM62" s="307">
        <f t="shared" si="1"/>
        <v>0</v>
      </c>
      <c r="AN62" s="307">
        <f t="shared" si="1"/>
        <v>0</v>
      </c>
      <c r="AO62" s="307">
        <f t="shared" si="1"/>
        <v>0</v>
      </c>
      <c r="AP62" s="307">
        <f t="shared" si="1"/>
        <v>26054274</v>
      </c>
      <c r="AQ62" s="307">
        <f t="shared" si="1"/>
        <v>0</v>
      </c>
      <c r="AR62" s="307">
        <f t="shared" si="1"/>
        <v>0</v>
      </c>
      <c r="AS62" s="307">
        <f t="shared" si="1"/>
        <v>0</v>
      </c>
      <c r="AT62" s="307">
        <f t="shared" si="1"/>
        <v>408081</v>
      </c>
      <c r="AU62" s="307">
        <f t="shared" si="1"/>
        <v>0</v>
      </c>
      <c r="AV62" s="307">
        <f t="shared" si="1"/>
        <v>1446009</v>
      </c>
      <c r="AW62" s="307">
        <f t="shared" si="1"/>
        <v>2997033</v>
      </c>
      <c r="AX62" s="307">
        <f t="shared" si="1"/>
        <v>61802</v>
      </c>
      <c r="AY62" s="307">
        <f>ROUND(AY47+AY48,0)</f>
        <v>527033</v>
      </c>
      <c r="AZ62" s="307">
        <f>ROUND(AZ47+AZ48,0)</f>
        <v>267935</v>
      </c>
      <c r="BA62" s="305">
        <f>ROUND(BA47+BA48,0)</f>
        <v>0</v>
      </c>
      <c r="BB62" s="305">
        <f t="shared" si="1"/>
        <v>132858</v>
      </c>
      <c r="BC62" s="305">
        <f t="shared" si="1"/>
        <v>0</v>
      </c>
      <c r="BD62" s="305">
        <f t="shared" si="1"/>
        <v>1685694</v>
      </c>
      <c r="BE62" s="305">
        <f t="shared" si="1"/>
        <v>350296</v>
      </c>
      <c r="BF62" s="305">
        <f t="shared" si="1"/>
        <v>0</v>
      </c>
      <c r="BG62" s="305">
        <f t="shared" si="1"/>
        <v>781563</v>
      </c>
      <c r="BH62" s="305">
        <f t="shared" si="1"/>
        <v>3077519</v>
      </c>
      <c r="BI62" s="305">
        <f t="shared" si="1"/>
        <v>363395</v>
      </c>
      <c r="BJ62" s="305">
        <f t="shared" si="1"/>
        <v>303036</v>
      </c>
      <c r="BK62" s="305">
        <f t="shared" si="1"/>
        <v>2768347</v>
      </c>
      <c r="BL62" s="305">
        <f t="shared" si="1"/>
        <v>1011187</v>
      </c>
      <c r="BM62" s="305">
        <f t="shared" si="1"/>
        <v>439213</v>
      </c>
      <c r="BN62" s="305">
        <f t="shared" si="1"/>
        <v>1656074</v>
      </c>
      <c r="BO62" s="305">
        <f t="shared" ref="BO62:CC62" si="2">ROUND(BO47+BO48,0)</f>
        <v>1633656</v>
      </c>
      <c r="BP62" s="305">
        <f t="shared" si="2"/>
        <v>344187</v>
      </c>
      <c r="BQ62" s="305">
        <f t="shared" si="2"/>
        <v>0</v>
      </c>
      <c r="BR62" s="305">
        <f t="shared" si="2"/>
        <v>730507</v>
      </c>
      <c r="BS62" s="305">
        <f t="shared" si="2"/>
        <v>0</v>
      </c>
      <c r="BT62" s="305">
        <f t="shared" si="2"/>
        <v>23512</v>
      </c>
      <c r="BU62" s="305">
        <f t="shared" si="2"/>
        <v>28358</v>
      </c>
      <c r="BV62" s="305">
        <f t="shared" si="2"/>
        <v>438191</v>
      </c>
      <c r="BW62" s="305">
        <f t="shared" si="2"/>
        <v>-13795703</v>
      </c>
      <c r="BX62" s="305">
        <f t="shared" si="2"/>
        <v>1814909</v>
      </c>
      <c r="BY62" s="305">
        <f t="shared" si="2"/>
        <v>996105</v>
      </c>
      <c r="BZ62" s="305">
        <f t="shared" si="2"/>
        <v>0</v>
      </c>
      <c r="CA62" s="305">
        <f t="shared" si="2"/>
        <v>904286</v>
      </c>
      <c r="CB62" s="305">
        <f t="shared" si="2"/>
        <v>0</v>
      </c>
      <c r="CC62" s="305">
        <f t="shared" si="2"/>
        <v>783922</v>
      </c>
      <c r="CD62" s="319" t="s">
        <v>221</v>
      </c>
      <c r="CE62" s="305">
        <f t="shared" si="0"/>
        <v>115575655</v>
      </c>
      <c r="CF62" s="327"/>
    </row>
    <row r="63" spans="1:84" ht="15.9" customHeight="1" x14ac:dyDescent="0.3">
      <c r="A63" s="308" t="s">
        <v>236</v>
      </c>
      <c r="B63" s="297"/>
      <c r="C63" s="303">
        <v>0</v>
      </c>
      <c r="D63" s="303"/>
      <c r="E63" s="303">
        <v>48154</v>
      </c>
      <c r="F63" s="314"/>
      <c r="G63" s="303"/>
      <c r="H63" s="303"/>
      <c r="I63" s="314"/>
      <c r="J63" s="314"/>
      <c r="K63" s="314"/>
      <c r="L63" s="314"/>
      <c r="M63" s="303"/>
      <c r="N63" s="303"/>
      <c r="O63" s="303"/>
      <c r="P63" s="314">
        <v>1513947</v>
      </c>
      <c r="Q63" s="314"/>
      <c r="R63" s="314">
        <v>2273</v>
      </c>
      <c r="S63" s="314"/>
      <c r="T63" s="314"/>
      <c r="U63" s="314">
        <v>60085</v>
      </c>
      <c r="V63" s="314"/>
      <c r="W63" s="314">
        <v>406</v>
      </c>
      <c r="X63" s="314"/>
      <c r="Y63" s="314">
        <v>3601</v>
      </c>
      <c r="Z63" s="314">
        <v>32384</v>
      </c>
      <c r="AA63" s="314">
        <v>9307</v>
      </c>
      <c r="AB63" s="314">
        <f>40350-40350+46610</f>
        <v>46610</v>
      </c>
      <c r="AC63" s="314"/>
      <c r="AD63" s="314"/>
      <c r="AE63" s="314"/>
      <c r="AF63" s="314"/>
      <c r="AG63" s="314">
        <v>169618</v>
      </c>
      <c r="AH63" s="314"/>
      <c r="AI63" s="314"/>
      <c r="AJ63" s="314">
        <v>787492</v>
      </c>
      <c r="AK63" s="314"/>
      <c r="AL63" s="314"/>
      <c r="AM63" s="314"/>
      <c r="AN63" s="314"/>
      <c r="AO63" s="314"/>
      <c r="AP63" s="314">
        <v>188371</v>
      </c>
      <c r="AQ63" s="314"/>
      <c r="AR63" s="314"/>
      <c r="AS63" s="314"/>
      <c r="AT63" s="314">
        <v>353263</v>
      </c>
      <c r="AU63" s="314"/>
      <c r="AV63" s="314">
        <v>48819</v>
      </c>
      <c r="AW63" s="314">
        <v>164330</v>
      </c>
      <c r="AX63" s="314">
        <v>1871406</v>
      </c>
      <c r="AY63" s="314"/>
      <c r="AZ63" s="314">
        <v>91</v>
      </c>
      <c r="BA63" s="318"/>
      <c r="BB63" s="318"/>
      <c r="BC63" s="318"/>
      <c r="BD63" s="318">
        <f>679371-679371+673112</f>
        <v>673112</v>
      </c>
      <c r="BE63" s="318">
        <v>266206</v>
      </c>
      <c r="BF63" s="318"/>
      <c r="BG63" s="318"/>
      <c r="BH63" s="318">
        <v>23594</v>
      </c>
      <c r="BI63" s="318">
        <v>12998</v>
      </c>
      <c r="BJ63" s="318">
        <v>32145</v>
      </c>
      <c r="BK63" s="318">
        <v>862546</v>
      </c>
      <c r="BL63" s="318"/>
      <c r="BM63" s="318"/>
      <c r="BN63" s="318">
        <v>14679</v>
      </c>
      <c r="BO63" s="318"/>
      <c r="BP63" s="318">
        <v>83</v>
      </c>
      <c r="BQ63" s="318"/>
      <c r="BR63" s="318">
        <v>167913</v>
      </c>
      <c r="BS63" s="318"/>
      <c r="BT63" s="318"/>
      <c r="BU63" s="318">
        <v>20664</v>
      </c>
      <c r="BV63" s="318"/>
      <c r="BW63" s="318">
        <v>29340</v>
      </c>
      <c r="BX63" s="318">
        <v>37540</v>
      </c>
      <c r="BY63" s="318"/>
      <c r="BZ63" s="318"/>
      <c r="CA63" s="318"/>
      <c r="CB63" s="318"/>
      <c r="CC63" s="318">
        <f>2167715</f>
        <v>2167715</v>
      </c>
      <c r="CD63" s="319" t="s">
        <v>221</v>
      </c>
      <c r="CE63" s="305">
        <f t="shared" si="0"/>
        <v>9608692</v>
      </c>
      <c r="CF63" s="327"/>
    </row>
    <row r="64" spans="1:84" ht="15.9" customHeight="1" x14ac:dyDescent="0.3">
      <c r="A64" s="308" t="s">
        <v>237</v>
      </c>
      <c r="B64" s="297"/>
      <c r="C64" s="303">
        <v>1417551</v>
      </c>
      <c r="D64" s="303"/>
      <c r="E64" s="314">
        <v>4032433</v>
      </c>
      <c r="F64" s="314"/>
      <c r="G64" s="303"/>
      <c r="H64" s="303"/>
      <c r="I64" s="314"/>
      <c r="J64" s="314"/>
      <c r="K64" s="314">
        <v>1091344</v>
      </c>
      <c r="L64" s="314"/>
      <c r="M64" s="303"/>
      <c r="N64" s="303">
        <v>13347</v>
      </c>
      <c r="O64" s="303"/>
      <c r="P64" s="314">
        <v>48775938</v>
      </c>
      <c r="Q64" s="314">
        <v>892128</v>
      </c>
      <c r="R64" s="314">
        <v>4566636</v>
      </c>
      <c r="S64" s="314">
        <v>1197005</v>
      </c>
      <c r="T64" s="314">
        <v>631495</v>
      </c>
      <c r="U64" s="314">
        <v>11004865</v>
      </c>
      <c r="V64" s="314"/>
      <c r="W64" s="314">
        <v>527844</v>
      </c>
      <c r="X64" s="314">
        <v>531035</v>
      </c>
      <c r="Y64" s="314">
        <v>7431710</v>
      </c>
      <c r="Z64" s="314">
        <v>660459</v>
      </c>
      <c r="AA64" s="314">
        <v>5763621</v>
      </c>
      <c r="AB64" s="314">
        <f>13555569-13555569+24235128</f>
        <v>24235128</v>
      </c>
      <c r="AC64" s="314">
        <v>324055</v>
      </c>
      <c r="AD64" s="314">
        <v>18456</v>
      </c>
      <c r="AE64" s="314">
        <v>838044</v>
      </c>
      <c r="AF64" s="314">
        <v>681</v>
      </c>
      <c r="AG64" s="314">
        <v>842426</v>
      </c>
      <c r="AH64" s="314"/>
      <c r="AI64" s="314"/>
      <c r="AJ64" s="314">
        <v>91491543</v>
      </c>
      <c r="AK64" s="314"/>
      <c r="AL64" s="314"/>
      <c r="AM64" s="314"/>
      <c r="AN64" s="314"/>
      <c r="AO64" s="314"/>
      <c r="AP64" s="314">
        <v>32759507</v>
      </c>
      <c r="AQ64" s="314"/>
      <c r="AR64" s="314"/>
      <c r="AS64" s="314"/>
      <c r="AT64" s="314">
        <v>3234408</v>
      </c>
      <c r="AU64" s="314"/>
      <c r="AV64" s="314">
        <v>12282874</v>
      </c>
      <c r="AW64" s="314">
        <v>252293</v>
      </c>
      <c r="AX64" s="314">
        <v>253</v>
      </c>
      <c r="AY64" s="314">
        <v>1019683</v>
      </c>
      <c r="AZ64" s="314">
        <v>2707985</v>
      </c>
      <c r="BA64" s="318"/>
      <c r="BB64" s="318">
        <v>3225</v>
      </c>
      <c r="BC64" s="318">
        <v>163456</v>
      </c>
      <c r="BD64" s="318">
        <f>10906614-10906614+227054</f>
        <v>227054</v>
      </c>
      <c r="BE64" s="318">
        <v>267549</v>
      </c>
      <c r="BF64" s="318">
        <v>40833</v>
      </c>
      <c r="BG64" s="318">
        <v>13111</v>
      </c>
      <c r="BH64" s="318">
        <v>6433</v>
      </c>
      <c r="BI64" s="318">
        <v>62823</v>
      </c>
      <c r="BJ64" s="318">
        <v>25625</v>
      </c>
      <c r="BK64" s="318">
        <v>350079</v>
      </c>
      <c r="BL64" s="318">
        <v>48651</v>
      </c>
      <c r="BM64" s="318">
        <v>6640</v>
      </c>
      <c r="BN64" s="318">
        <v>39540</v>
      </c>
      <c r="BO64" s="318">
        <v>740587</v>
      </c>
      <c r="BP64" s="318">
        <v>18315</v>
      </c>
      <c r="BQ64" s="318"/>
      <c r="BR64" s="318">
        <v>27275</v>
      </c>
      <c r="BS64" s="318">
        <v>368</v>
      </c>
      <c r="BT64" s="318">
        <v>485</v>
      </c>
      <c r="BU64" s="318">
        <v>9750</v>
      </c>
      <c r="BV64" s="318">
        <v>68156</v>
      </c>
      <c r="BW64" s="318">
        <v>20156</v>
      </c>
      <c r="BX64" s="318">
        <v>148760</v>
      </c>
      <c r="BY64" s="318">
        <v>177805</v>
      </c>
      <c r="BZ64" s="318"/>
      <c r="CA64" s="318">
        <v>45010</v>
      </c>
      <c r="CB64" s="318"/>
      <c r="CC64" s="318">
        <f>419393+2</f>
        <v>419395</v>
      </c>
      <c r="CD64" s="319" t="s">
        <v>221</v>
      </c>
      <c r="CE64" s="305">
        <f t="shared" si="0"/>
        <v>261475828</v>
      </c>
      <c r="CF64" s="327"/>
    </row>
    <row r="65" spans="1:84" ht="15.9" customHeight="1" x14ac:dyDescent="0.3">
      <c r="A65" s="308" t="s">
        <v>238</v>
      </c>
      <c r="B65" s="297"/>
      <c r="C65" s="303">
        <v>34256</v>
      </c>
      <c r="D65" s="303"/>
      <c r="E65" s="303">
        <v>231177</v>
      </c>
      <c r="F65" s="303"/>
      <c r="G65" s="303"/>
      <c r="H65" s="303"/>
      <c r="I65" s="314"/>
      <c r="J65" s="303"/>
      <c r="K65" s="314">
        <v>316841</v>
      </c>
      <c r="L65" s="314"/>
      <c r="M65" s="303"/>
      <c r="N65" s="303">
        <v>9</v>
      </c>
      <c r="O65" s="303"/>
      <c r="P65" s="314">
        <v>80468</v>
      </c>
      <c r="Q65" s="314">
        <v>35400</v>
      </c>
      <c r="R65" s="314">
        <v>23549</v>
      </c>
      <c r="S65" s="314">
        <v>1980</v>
      </c>
      <c r="T65" s="314">
        <v>1577</v>
      </c>
      <c r="U65" s="314">
        <v>50111</v>
      </c>
      <c r="V65" s="314"/>
      <c r="W65" s="314">
        <v>14807</v>
      </c>
      <c r="X65" s="314">
        <v>8678</v>
      </c>
      <c r="Y65" s="314">
        <v>62159</v>
      </c>
      <c r="Z65" s="314">
        <v>30934</v>
      </c>
      <c r="AA65" s="314">
        <v>4989</v>
      </c>
      <c r="AB65" s="314">
        <f>14972-14972+24935</f>
        <v>24935</v>
      </c>
      <c r="AC65" s="314">
        <v>5627</v>
      </c>
      <c r="AD65" s="314">
        <v>1290</v>
      </c>
      <c r="AE65" s="314">
        <v>30074</v>
      </c>
      <c r="AF65" s="314">
        <v>2392</v>
      </c>
      <c r="AG65" s="314">
        <v>32327</v>
      </c>
      <c r="AH65" s="314"/>
      <c r="AI65" s="314"/>
      <c r="AJ65" s="314">
        <v>552683</v>
      </c>
      <c r="AK65" s="314"/>
      <c r="AL65" s="314"/>
      <c r="AM65" s="314"/>
      <c r="AN65" s="314"/>
      <c r="AO65" s="314"/>
      <c r="AP65" s="314">
        <v>1899037</v>
      </c>
      <c r="AQ65" s="314"/>
      <c r="AR65" s="314"/>
      <c r="AS65" s="314"/>
      <c r="AT65" s="314">
        <v>6118</v>
      </c>
      <c r="AU65" s="314"/>
      <c r="AV65" s="314">
        <v>29699</v>
      </c>
      <c r="AW65" s="314">
        <v>35595</v>
      </c>
      <c r="AX65" s="314">
        <v>1658</v>
      </c>
      <c r="AY65" s="314">
        <v>7249</v>
      </c>
      <c r="AZ65" s="314">
        <v>43624</v>
      </c>
      <c r="BA65" s="318">
        <v>783</v>
      </c>
      <c r="BB65" s="318">
        <v>12674</v>
      </c>
      <c r="BC65" s="318">
        <v>9274</v>
      </c>
      <c r="BD65" s="318">
        <f>97685-97685+87723</f>
        <v>87723</v>
      </c>
      <c r="BE65" s="318">
        <v>5283971</v>
      </c>
      <c r="BF65" s="318">
        <v>1111934</v>
      </c>
      <c r="BG65" s="318">
        <v>31158</v>
      </c>
      <c r="BH65" s="318">
        <v>576718</v>
      </c>
      <c r="BI65" s="318">
        <v>20184</v>
      </c>
      <c r="BJ65" s="318">
        <v>7579</v>
      </c>
      <c r="BK65" s="318">
        <v>61934</v>
      </c>
      <c r="BL65" s="318">
        <v>29963</v>
      </c>
      <c r="BM65" s="318">
        <v>6334</v>
      </c>
      <c r="BN65" s="318">
        <v>68526</v>
      </c>
      <c r="BO65" s="318">
        <v>3509</v>
      </c>
      <c r="BP65" s="318">
        <v>12471</v>
      </c>
      <c r="BQ65" s="318"/>
      <c r="BR65" s="318">
        <v>12879</v>
      </c>
      <c r="BS65" s="318">
        <v>13</v>
      </c>
      <c r="BT65" s="318">
        <v>637</v>
      </c>
      <c r="BU65" s="318">
        <v>3425</v>
      </c>
      <c r="BV65" s="318">
        <v>56290</v>
      </c>
      <c r="BW65" s="318">
        <v>4692</v>
      </c>
      <c r="BX65" s="318">
        <v>65900</v>
      </c>
      <c r="BY65" s="318">
        <v>30222</v>
      </c>
      <c r="BZ65" s="318"/>
      <c r="CA65" s="318">
        <v>9672</v>
      </c>
      <c r="CB65" s="318"/>
      <c r="CC65" s="318">
        <f>231061</f>
        <v>231061</v>
      </c>
      <c r="CD65" s="319" t="s">
        <v>221</v>
      </c>
      <c r="CE65" s="305">
        <f t="shared" si="0"/>
        <v>11308769</v>
      </c>
      <c r="CF65" s="327"/>
    </row>
    <row r="66" spans="1:84" ht="15.9" customHeight="1" x14ac:dyDescent="0.3">
      <c r="A66" s="308" t="s">
        <v>239</v>
      </c>
      <c r="B66" s="297"/>
      <c r="C66" s="303">
        <v>66744</v>
      </c>
      <c r="D66" s="303"/>
      <c r="E66" s="303">
        <v>304077</v>
      </c>
      <c r="F66" s="303"/>
      <c r="G66" s="303"/>
      <c r="H66" s="303"/>
      <c r="I66" s="303"/>
      <c r="J66" s="303"/>
      <c r="K66" s="314">
        <v>745472</v>
      </c>
      <c r="L66" s="314"/>
      <c r="M66" s="303"/>
      <c r="N66" s="303"/>
      <c r="O66" s="314"/>
      <c r="P66" s="314">
        <v>325431</v>
      </c>
      <c r="Q66" s="314">
        <v>9873</v>
      </c>
      <c r="R66" s="314">
        <v>29444</v>
      </c>
      <c r="S66" s="303">
        <v>35914</v>
      </c>
      <c r="T66" s="303">
        <v>2318</v>
      </c>
      <c r="U66" s="314">
        <v>4634291</v>
      </c>
      <c r="V66" s="314"/>
      <c r="W66" s="314">
        <v>125171</v>
      </c>
      <c r="X66" s="314">
        <v>4024</v>
      </c>
      <c r="Y66" s="314">
        <v>441880</v>
      </c>
      <c r="Z66" s="314">
        <v>391564</v>
      </c>
      <c r="AA66" s="314">
        <v>1885</v>
      </c>
      <c r="AB66" s="314">
        <f>224115-224115+236712</f>
        <v>236712</v>
      </c>
      <c r="AC66" s="314">
        <v>2996</v>
      </c>
      <c r="AD66" s="314">
        <v>1927532</v>
      </c>
      <c r="AE66" s="314">
        <v>120761</v>
      </c>
      <c r="AF66" s="314">
        <v>5986</v>
      </c>
      <c r="AG66" s="314">
        <v>59148</v>
      </c>
      <c r="AH66" s="314"/>
      <c r="AI66" s="314"/>
      <c r="AJ66" s="314">
        <v>2295170</v>
      </c>
      <c r="AK66" s="314"/>
      <c r="AL66" s="314"/>
      <c r="AM66" s="314"/>
      <c r="AN66" s="314"/>
      <c r="AO66" s="314"/>
      <c r="AP66" s="314">
        <v>1678420</v>
      </c>
      <c r="AQ66" s="314"/>
      <c r="AR66" s="314"/>
      <c r="AS66" s="314"/>
      <c r="AT66" s="314">
        <v>1406050</v>
      </c>
      <c r="AU66" s="314"/>
      <c r="AV66" s="314">
        <v>60777</v>
      </c>
      <c r="AW66" s="314">
        <v>417866</v>
      </c>
      <c r="AX66" s="314"/>
      <c r="AY66" s="314">
        <v>51233</v>
      </c>
      <c r="AZ66" s="314">
        <v>81752</v>
      </c>
      <c r="BA66" s="318">
        <v>1973870</v>
      </c>
      <c r="BB66" s="318">
        <v>19754</v>
      </c>
      <c r="BC66" s="318">
        <v>2949559</v>
      </c>
      <c r="BD66" s="318">
        <f>965951-965951+953354</f>
        <v>953354</v>
      </c>
      <c r="BE66" s="318">
        <v>4319952</v>
      </c>
      <c r="BF66" s="318">
        <v>7740843</v>
      </c>
      <c r="BG66" s="318">
        <v>16374</v>
      </c>
      <c r="BH66" s="318">
        <v>1148421</v>
      </c>
      <c r="BI66" s="318">
        <v>664910</v>
      </c>
      <c r="BJ66" s="318">
        <v>584313</v>
      </c>
      <c r="BK66" s="318">
        <v>1058979</v>
      </c>
      <c r="BL66" s="318">
        <v>1892</v>
      </c>
      <c r="BM66" s="318">
        <v>859731</v>
      </c>
      <c r="BN66" s="318">
        <v>582693</v>
      </c>
      <c r="BO66" s="318">
        <v>80710</v>
      </c>
      <c r="BP66" s="318">
        <v>271597</v>
      </c>
      <c r="BQ66" s="318"/>
      <c r="BR66" s="318">
        <v>1312725</v>
      </c>
      <c r="BS66" s="318"/>
      <c r="BT66" s="318"/>
      <c r="BU66" s="318">
        <v>186262</v>
      </c>
      <c r="BV66" s="318">
        <v>388080</v>
      </c>
      <c r="BW66" s="318">
        <v>53419</v>
      </c>
      <c r="BX66" s="318">
        <v>3145544</v>
      </c>
      <c r="BY66" s="318">
        <v>874</v>
      </c>
      <c r="BZ66" s="318"/>
      <c r="CA66" s="318">
        <v>149541</v>
      </c>
      <c r="CB66" s="318"/>
      <c r="CC66" s="318">
        <f>4514418-5</f>
        <v>4514413</v>
      </c>
      <c r="CD66" s="319" t="s">
        <v>221</v>
      </c>
      <c r="CE66" s="305">
        <f t="shared" si="0"/>
        <v>48440301</v>
      </c>
      <c r="CF66" s="327"/>
    </row>
    <row r="67" spans="1:84" ht="15.9" customHeight="1" x14ac:dyDescent="0.3">
      <c r="A67" s="308" t="s">
        <v>6</v>
      </c>
      <c r="B67" s="297"/>
      <c r="C67" s="307">
        <f>ROUND(C51+C52,0)</f>
        <v>1722634</v>
      </c>
      <c r="D67" s="307">
        <f>ROUND(D51+D52,0)</f>
        <v>0</v>
      </c>
      <c r="E67" s="307">
        <f t="shared" ref="E67:BP67" si="3">ROUND(E51+E52,0)</f>
        <v>2524734</v>
      </c>
      <c r="F67" s="307">
        <f t="shared" si="3"/>
        <v>0</v>
      </c>
      <c r="G67" s="307">
        <f t="shared" si="3"/>
        <v>0</v>
      </c>
      <c r="H67" s="307">
        <f t="shared" si="3"/>
        <v>0</v>
      </c>
      <c r="I67" s="307">
        <f t="shared" si="3"/>
        <v>0</v>
      </c>
      <c r="J67" s="307">
        <f>ROUND(J51+J52,0)</f>
        <v>0</v>
      </c>
      <c r="K67" s="307">
        <f t="shared" si="3"/>
        <v>423963</v>
      </c>
      <c r="L67" s="307">
        <f t="shared" si="3"/>
        <v>0</v>
      </c>
      <c r="M67" s="307">
        <f t="shared" si="3"/>
        <v>0</v>
      </c>
      <c r="N67" s="307">
        <f t="shared" si="3"/>
        <v>0</v>
      </c>
      <c r="O67" s="307">
        <f t="shared" si="3"/>
        <v>0</v>
      </c>
      <c r="P67" s="307">
        <f t="shared" si="3"/>
        <v>4045458</v>
      </c>
      <c r="Q67" s="307">
        <f t="shared" si="3"/>
        <v>910528</v>
      </c>
      <c r="R67" s="307">
        <f t="shared" si="3"/>
        <v>358358</v>
      </c>
      <c r="S67" s="307">
        <f t="shared" si="3"/>
        <v>710702</v>
      </c>
      <c r="T67" s="307">
        <f t="shared" si="3"/>
        <v>17674</v>
      </c>
      <c r="U67" s="307">
        <f t="shared" si="3"/>
        <v>528072</v>
      </c>
      <c r="V67" s="307">
        <f t="shared" si="3"/>
        <v>0</v>
      </c>
      <c r="W67" s="307">
        <f t="shared" si="3"/>
        <v>631667</v>
      </c>
      <c r="X67" s="307">
        <f t="shared" si="3"/>
        <v>380054</v>
      </c>
      <c r="Y67" s="307">
        <f t="shared" si="3"/>
        <v>2530800</v>
      </c>
      <c r="Z67" s="307">
        <f t="shared" si="3"/>
        <v>699963</v>
      </c>
      <c r="AA67" s="307">
        <f t="shared" si="3"/>
        <v>84841</v>
      </c>
      <c r="AB67" s="307">
        <f t="shared" si="3"/>
        <v>281172</v>
      </c>
      <c r="AC67" s="307">
        <f t="shared" si="3"/>
        <v>92255</v>
      </c>
      <c r="AD67" s="307">
        <f t="shared" si="3"/>
        <v>15806</v>
      </c>
      <c r="AE67" s="307">
        <f t="shared" si="3"/>
        <v>23831</v>
      </c>
      <c r="AF67" s="307">
        <f t="shared" si="3"/>
        <v>4525</v>
      </c>
      <c r="AG67" s="307">
        <f t="shared" si="3"/>
        <v>525264</v>
      </c>
      <c r="AH67" s="307">
        <f t="shared" si="3"/>
        <v>0</v>
      </c>
      <c r="AI67" s="307">
        <f t="shared" si="3"/>
        <v>0</v>
      </c>
      <c r="AJ67" s="307">
        <f t="shared" si="3"/>
        <v>2849834</v>
      </c>
      <c r="AK67" s="307">
        <f t="shared" si="3"/>
        <v>0</v>
      </c>
      <c r="AL67" s="307">
        <f t="shared" si="3"/>
        <v>0</v>
      </c>
      <c r="AM67" s="307">
        <f t="shared" si="3"/>
        <v>0</v>
      </c>
      <c r="AN67" s="307">
        <f t="shared" si="3"/>
        <v>0</v>
      </c>
      <c r="AO67" s="307">
        <f t="shared" si="3"/>
        <v>0</v>
      </c>
      <c r="AP67" s="307">
        <f t="shared" si="3"/>
        <v>3484728</v>
      </c>
      <c r="AQ67" s="307">
        <f t="shared" si="3"/>
        <v>0</v>
      </c>
      <c r="AR67" s="307">
        <f t="shared" si="3"/>
        <v>0</v>
      </c>
      <c r="AS67" s="307">
        <f t="shared" si="3"/>
        <v>0</v>
      </c>
      <c r="AT67" s="307">
        <f t="shared" si="3"/>
        <v>777</v>
      </c>
      <c r="AU67" s="307">
        <f t="shared" si="3"/>
        <v>0</v>
      </c>
      <c r="AV67" s="307">
        <f t="shared" si="3"/>
        <v>1296309</v>
      </c>
      <c r="AW67" s="307">
        <f t="shared" si="3"/>
        <v>73908</v>
      </c>
      <c r="AX67" s="307">
        <f t="shared" si="3"/>
        <v>15124</v>
      </c>
      <c r="AY67" s="307">
        <f t="shared" si="3"/>
        <v>21822</v>
      </c>
      <c r="AZ67" s="307">
        <f>ROUND(AZ51+AZ52,0)</f>
        <v>174142</v>
      </c>
      <c r="BA67" s="305">
        <f>ROUND(BA51+BA52,0)</f>
        <v>5682</v>
      </c>
      <c r="BB67" s="305">
        <f t="shared" si="3"/>
        <v>2021</v>
      </c>
      <c r="BC67" s="305">
        <f t="shared" si="3"/>
        <v>91632</v>
      </c>
      <c r="BD67" s="305">
        <f t="shared" si="3"/>
        <v>30598</v>
      </c>
      <c r="BE67" s="305">
        <f t="shared" si="3"/>
        <v>7525491</v>
      </c>
      <c r="BF67" s="305">
        <f t="shared" si="3"/>
        <v>100636</v>
      </c>
      <c r="BG67" s="305">
        <f t="shared" si="3"/>
        <v>12382</v>
      </c>
      <c r="BH67" s="305">
        <f t="shared" si="3"/>
        <v>7514360</v>
      </c>
      <c r="BI67" s="305">
        <f t="shared" si="3"/>
        <v>15894</v>
      </c>
      <c r="BJ67" s="305">
        <f t="shared" si="3"/>
        <v>6668</v>
      </c>
      <c r="BK67" s="305">
        <f t="shared" si="3"/>
        <v>76090</v>
      </c>
      <c r="BL67" s="305">
        <f t="shared" si="3"/>
        <v>17355</v>
      </c>
      <c r="BM67" s="305">
        <f t="shared" si="3"/>
        <v>60859</v>
      </c>
      <c r="BN67" s="305">
        <f t="shared" si="3"/>
        <v>15275</v>
      </c>
      <c r="BO67" s="305">
        <f t="shared" si="3"/>
        <v>84672</v>
      </c>
      <c r="BP67" s="305">
        <f t="shared" si="3"/>
        <v>72609</v>
      </c>
      <c r="BQ67" s="305">
        <f t="shared" ref="BQ67:CC67" si="4">ROUND(BQ51+BQ52,0)</f>
        <v>0</v>
      </c>
      <c r="BR67" s="305">
        <f t="shared" si="4"/>
        <v>5457</v>
      </c>
      <c r="BS67" s="305">
        <f t="shared" si="4"/>
        <v>0</v>
      </c>
      <c r="BT67" s="305">
        <f t="shared" si="4"/>
        <v>8878</v>
      </c>
      <c r="BU67" s="305">
        <f t="shared" si="4"/>
        <v>2627</v>
      </c>
      <c r="BV67" s="305">
        <f t="shared" si="4"/>
        <v>358558</v>
      </c>
      <c r="BW67" s="305">
        <f t="shared" si="4"/>
        <v>41</v>
      </c>
      <c r="BX67" s="305">
        <f t="shared" si="4"/>
        <v>188630</v>
      </c>
      <c r="BY67" s="305">
        <f t="shared" si="4"/>
        <v>42124</v>
      </c>
      <c r="BZ67" s="305">
        <f t="shared" si="4"/>
        <v>0</v>
      </c>
      <c r="CA67" s="305">
        <f t="shared" si="4"/>
        <v>4947</v>
      </c>
      <c r="CB67" s="305">
        <f t="shared" si="4"/>
        <v>0</v>
      </c>
      <c r="CC67" s="305">
        <f t="shared" si="4"/>
        <v>148395</v>
      </c>
      <c r="CD67" s="319" t="s">
        <v>221</v>
      </c>
      <c r="CE67" s="305">
        <f t="shared" si="0"/>
        <v>40820826</v>
      </c>
      <c r="CF67" s="327"/>
    </row>
    <row r="68" spans="1:84" ht="15.9" customHeight="1" x14ac:dyDescent="0.3">
      <c r="A68" s="308" t="s">
        <v>240</v>
      </c>
      <c r="B68" s="297"/>
      <c r="C68" s="303">
        <v>14726</v>
      </c>
      <c r="D68" s="303"/>
      <c r="E68" s="303">
        <v>2702390</v>
      </c>
      <c r="F68" s="303"/>
      <c r="G68" s="303"/>
      <c r="H68" s="303"/>
      <c r="I68" s="303"/>
      <c r="J68" s="303"/>
      <c r="K68" s="314">
        <v>6119</v>
      </c>
      <c r="L68" s="314"/>
      <c r="M68" s="303"/>
      <c r="N68" s="303"/>
      <c r="O68" s="303"/>
      <c r="P68" s="314">
        <v>394867</v>
      </c>
      <c r="Q68" s="314">
        <v>175488</v>
      </c>
      <c r="R68" s="314"/>
      <c r="S68" s="314"/>
      <c r="T68" s="314"/>
      <c r="U68" s="314">
        <v>34626</v>
      </c>
      <c r="V68" s="314"/>
      <c r="W68" s="314"/>
      <c r="X68" s="314"/>
      <c r="Y68" s="314">
        <v>-12991</v>
      </c>
      <c r="Z68" s="314"/>
      <c r="AA68" s="314"/>
      <c r="AB68" s="314">
        <f>16099-16099+142869</f>
        <v>142869</v>
      </c>
      <c r="AC68" s="314"/>
      <c r="AD68" s="314">
        <v>2433</v>
      </c>
      <c r="AE68" s="314"/>
      <c r="AF68" s="314"/>
      <c r="AG68" s="314">
        <v>893</v>
      </c>
      <c r="AH68" s="314"/>
      <c r="AI68" s="314"/>
      <c r="AJ68" s="314">
        <v>157562</v>
      </c>
      <c r="AK68" s="314"/>
      <c r="AL68" s="314"/>
      <c r="AM68" s="314"/>
      <c r="AN68" s="314"/>
      <c r="AO68" s="314"/>
      <c r="AP68" s="314">
        <v>6138498</v>
      </c>
      <c r="AQ68" s="314"/>
      <c r="AR68" s="314"/>
      <c r="AS68" s="314"/>
      <c r="AT68" s="314"/>
      <c r="AU68" s="314"/>
      <c r="AV68" s="314">
        <v>56183</v>
      </c>
      <c r="AW68" s="314">
        <v>337511</v>
      </c>
      <c r="AX68" s="314"/>
      <c r="AY68" s="314"/>
      <c r="AZ68" s="314"/>
      <c r="BA68" s="318"/>
      <c r="BB68" s="318"/>
      <c r="BC68" s="318"/>
      <c r="BD68" s="318">
        <f>238728-238728+111958</f>
        <v>111958</v>
      </c>
      <c r="BE68" s="318">
        <v>664007</v>
      </c>
      <c r="BF68" s="318"/>
      <c r="BG68" s="318">
        <v>322292</v>
      </c>
      <c r="BH68" s="318">
        <v>2751046</v>
      </c>
      <c r="BI68" s="318">
        <v>12539</v>
      </c>
      <c r="BJ68" s="318">
        <v>119658</v>
      </c>
      <c r="BK68" s="318">
        <v>836624</v>
      </c>
      <c r="BL68" s="318"/>
      <c r="BM68" s="318">
        <v>79486</v>
      </c>
      <c r="BN68" s="318">
        <v>49545</v>
      </c>
      <c r="BO68" s="318"/>
      <c r="BP68" s="318"/>
      <c r="BQ68" s="318"/>
      <c r="BR68" s="318">
        <v>1870</v>
      </c>
      <c r="BS68" s="318"/>
      <c r="BT68" s="318"/>
      <c r="BU68" s="318"/>
      <c r="BV68" s="318">
        <v>436931</v>
      </c>
      <c r="BW68" s="318"/>
      <c r="BX68" s="318">
        <v>392641</v>
      </c>
      <c r="BY68" s="318">
        <v>12351</v>
      </c>
      <c r="BZ68" s="318"/>
      <c r="CA68" s="318">
        <v>69</v>
      </c>
      <c r="CB68" s="318"/>
      <c r="CC68" s="318">
        <v>1418443</v>
      </c>
      <c r="CD68" s="319" t="s">
        <v>221</v>
      </c>
      <c r="CE68" s="305">
        <f t="shared" si="0"/>
        <v>17360634</v>
      </c>
      <c r="CF68" s="327"/>
    </row>
    <row r="69" spans="1:84" ht="15.9" customHeight="1" x14ac:dyDescent="0.3">
      <c r="A69" s="308" t="s">
        <v>241</v>
      </c>
      <c r="B69" s="297"/>
      <c r="C69" s="303">
        <v>59389</v>
      </c>
      <c r="D69" s="303"/>
      <c r="E69" s="314">
        <v>316991</v>
      </c>
      <c r="F69" s="314"/>
      <c r="G69" s="303"/>
      <c r="H69" s="303"/>
      <c r="I69" s="314"/>
      <c r="J69" s="314"/>
      <c r="K69" s="314">
        <v>548382</v>
      </c>
      <c r="L69" s="314"/>
      <c r="M69" s="303"/>
      <c r="N69" s="303">
        <v>-13295</v>
      </c>
      <c r="O69" s="303"/>
      <c r="P69" s="314">
        <v>2252766</v>
      </c>
      <c r="Q69" s="314">
        <v>76249</v>
      </c>
      <c r="R69" s="316">
        <v>487621</v>
      </c>
      <c r="S69" s="314">
        <v>379028</v>
      </c>
      <c r="T69" s="303">
        <v>1401</v>
      </c>
      <c r="U69" s="314">
        <v>1206679</v>
      </c>
      <c r="V69" s="314"/>
      <c r="W69" s="303">
        <v>579717</v>
      </c>
      <c r="X69" s="314">
        <v>703634</v>
      </c>
      <c r="Y69" s="314">
        <v>2585885</v>
      </c>
      <c r="Z69" s="314">
        <v>1372985</v>
      </c>
      <c r="AA69" s="314">
        <v>366921</v>
      </c>
      <c r="AB69" s="314">
        <f>179308-179308+379396</f>
        <v>379396</v>
      </c>
      <c r="AC69" s="314">
        <v>47908</v>
      </c>
      <c r="AD69" s="314">
        <v>6627</v>
      </c>
      <c r="AE69" s="314">
        <v>65836</v>
      </c>
      <c r="AF69" s="314">
        <v>3506</v>
      </c>
      <c r="AG69" s="314">
        <v>103594</v>
      </c>
      <c r="AH69" s="314"/>
      <c r="AI69" s="314"/>
      <c r="AJ69" s="314">
        <v>3833830</v>
      </c>
      <c r="AK69" s="314"/>
      <c r="AL69" s="314"/>
      <c r="AM69" s="314"/>
      <c r="AN69" s="314"/>
      <c r="AO69" s="303"/>
      <c r="AP69" s="314">
        <v>4071029</v>
      </c>
      <c r="AQ69" s="303"/>
      <c r="AR69" s="303"/>
      <c r="AS69" s="303"/>
      <c r="AT69" s="303">
        <v>28174</v>
      </c>
      <c r="AU69" s="314"/>
      <c r="AV69" s="314">
        <v>1009644</v>
      </c>
      <c r="AW69" s="314">
        <v>492562</v>
      </c>
      <c r="AX69" s="314">
        <v>126449</v>
      </c>
      <c r="AY69" s="314">
        <v>15181</v>
      </c>
      <c r="AZ69" s="314">
        <v>364508</v>
      </c>
      <c r="BA69" s="318"/>
      <c r="BB69" s="318">
        <v>143370</v>
      </c>
      <c r="BC69" s="318">
        <v>9191</v>
      </c>
      <c r="BD69" s="318">
        <f>2142420-2142420+1942332</f>
        <v>1942332</v>
      </c>
      <c r="BE69" s="318">
        <v>2994672</v>
      </c>
      <c r="BF69" s="318">
        <v>-9298</v>
      </c>
      <c r="BG69" s="318">
        <v>176986</v>
      </c>
      <c r="BH69" s="328">
        <v>12069057</v>
      </c>
      <c r="BI69" s="318">
        <v>1030391</v>
      </c>
      <c r="BJ69" s="318">
        <v>41292</v>
      </c>
      <c r="BK69" s="318">
        <v>1349123</v>
      </c>
      <c r="BL69" s="318">
        <v>9449</v>
      </c>
      <c r="BM69" s="318">
        <v>125836</v>
      </c>
      <c r="BN69" s="318">
        <v>2290476</v>
      </c>
      <c r="BO69" s="318">
        <v>-39226</v>
      </c>
      <c r="BP69" s="318">
        <v>497233</v>
      </c>
      <c r="BQ69" s="318"/>
      <c r="BR69" s="318">
        <v>282104</v>
      </c>
      <c r="BS69" s="318">
        <v>74</v>
      </c>
      <c r="BT69" s="318">
        <v>1289</v>
      </c>
      <c r="BU69" s="318">
        <v>1003923</v>
      </c>
      <c r="BV69" s="318">
        <v>605616</v>
      </c>
      <c r="BW69" s="318">
        <v>1399855</v>
      </c>
      <c r="BX69" s="318">
        <v>5793335</v>
      </c>
      <c r="BY69" s="318">
        <v>200688</v>
      </c>
      <c r="BZ69" s="318"/>
      <c r="CA69" s="318">
        <v>174431</v>
      </c>
      <c r="CB69" s="318"/>
      <c r="CC69" s="318">
        <v>1249103</v>
      </c>
      <c r="CD69" s="329">
        <f>47560909+456745-3246757+859</f>
        <v>44771756</v>
      </c>
      <c r="CE69" s="305">
        <f t="shared" si="0"/>
        <v>99585655</v>
      </c>
      <c r="CF69" s="327"/>
    </row>
    <row r="70" spans="1:84" ht="15.9" customHeight="1" x14ac:dyDescent="0.3">
      <c r="A70" s="308" t="s">
        <v>242</v>
      </c>
      <c r="B70" s="297"/>
      <c r="C70" s="303"/>
      <c r="D70" s="303"/>
      <c r="E70" s="303">
        <v>1500</v>
      </c>
      <c r="F70" s="314"/>
      <c r="G70" s="303"/>
      <c r="H70" s="303"/>
      <c r="I70" s="303"/>
      <c r="J70" s="314"/>
      <c r="K70" s="314">
        <v>3755144</v>
      </c>
      <c r="L70" s="314"/>
      <c r="M70" s="303"/>
      <c r="N70" s="303"/>
      <c r="O70" s="303"/>
      <c r="P70" s="303">
        <v>100</v>
      </c>
      <c r="Q70" s="303"/>
      <c r="R70" s="303">
        <v>22137</v>
      </c>
      <c r="S70" s="303">
        <v>1625</v>
      </c>
      <c r="T70" s="303"/>
      <c r="U70" s="314">
        <v>67265</v>
      </c>
      <c r="V70" s="303"/>
      <c r="W70" s="303"/>
      <c r="X70" s="314"/>
      <c r="Y70" s="314">
        <v>24389</v>
      </c>
      <c r="Z70" s="314">
        <v>1910908</v>
      </c>
      <c r="AA70" s="314"/>
      <c r="AB70" s="314">
        <v>61431</v>
      </c>
      <c r="AC70" s="314"/>
      <c r="AD70" s="314"/>
      <c r="AE70" s="314">
        <v>953</v>
      </c>
      <c r="AF70" s="314"/>
      <c r="AG70" s="314">
        <v>3498</v>
      </c>
      <c r="AH70" s="314"/>
      <c r="AI70" s="314"/>
      <c r="AJ70" s="314">
        <v>4491436</v>
      </c>
      <c r="AK70" s="314"/>
      <c r="AL70" s="314"/>
      <c r="AM70" s="314"/>
      <c r="AN70" s="314"/>
      <c r="AO70" s="314"/>
      <c r="AP70" s="314">
        <v>1733283</v>
      </c>
      <c r="AQ70" s="314"/>
      <c r="AR70" s="314"/>
      <c r="AS70" s="314"/>
      <c r="AT70" s="314">
        <v>1808</v>
      </c>
      <c r="AU70" s="314"/>
      <c r="AV70" s="314">
        <v>21588</v>
      </c>
      <c r="AW70" s="314">
        <v>19311</v>
      </c>
      <c r="AX70" s="314"/>
      <c r="AY70" s="314"/>
      <c r="AZ70" s="314">
        <v>4250816</v>
      </c>
      <c r="BA70" s="318"/>
      <c r="BB70" s="318"/>
      <c r="BC70" s="318"/>
      <c r="BD70" s="318">
        <v>13370358</v>
      </c>
      <c r="BE70" s="318">
        <v>220719</v>
      </c>
      <c r="BF70" s="318"/>
      <c r="BG70" s="318"/>
      <c r="BH70" s="318"/>
      <c r="BI70" s="318"/>
      <c r="BJ70" s="318"/>
      <c r="BK70" s="318"/>
      <c r="BL70" s="318"/>
      <c r="BM70" s="318">
        <v>15838</v>
      </c>
      <c r="BN70" s="318">
        <v>16012947</v>
      </c>
      <c r="BO70" s="318"/>
      <c r="BP70" s="318"/>
      <c r="BQ70" s="318"/>
      <c r="BR70" s="318"/>
      <c r="BS70" s="318"/>
      <c r="BT70" s="318"/>
      <c r="BU70" s="318">
        <v>193105</v>
      </c>
      <c r="BV70" s="318">
        <v>197172</v>
      </c>
      <c r="BW70" s="318"/>
      <c r="BX70" s="318">
        <v>6587198</v>
      </c>
      <c r="BY70" s="318">
        <v>43880</v>
      </c>
      <c r="BZ70" s="318"/>
      <c r="CA70" s="318">
        <v>135466</v>
      </c>
      <c r="CB70" s="318"/>
      <c r="CC70" s="318">
        <v>8535364</v>
      </c>
      <c r="CD70" s="329">
        <f>1162283+1</f>
        <v>1162284</v>
      </c>
      <c r="CE70" s="305">
        <f t="shared" si="0"/>
        <v>62841523</v>
      </c>
      <c r="CF70" s="327"/>
    </row>
    <row r="71" spans="1:84" ht="15.9" customHeight="1" x14ac:dyDescent="0.3">
      <c r="A71" s="308" t="s">
        <v>243</v>
      </c>
      <c r="B71" s="297"/>
      <c r="C71" s="307">
        <f>SUM(C61:C68)+C69-C70</f>
        <v>14672977</v>
      </c>
      <c r="D71" s="307">
        <f t="shared" ref="D71:AI71" si="5">SUM(D61:D69)-D70</f>
        <v>0</v>
      </c>
      <c r="E71" s="307">
        <f t="shared" si="5"/>
        <v>60211741</v>
      </c>
      <c r="F71" s="307">
        <f t="shared" si="5"/>
        <v>0</v>
      </c>
      <c r="G71" s="307">
        <f t="shared" si="5"/>
        <v>0</v>
      </c>
      <c r="H71" s="307">
        <f t="shared" si="5"/>
        <v>0</v>
      </c>
      <c r="I71" s="307">
        <f t="shared" si="5"/>
        <v>0</v>
      </c>
      <c r="J71" s="307">
        <f t="shared" si="5"/>
        <v>0</v>
      </c>
      <c r="K71" s="307">
        <f t="shared" si="5"/>
        <v>9500969</v>
      </c>
      <c r="L71" s="307">
        <f t="shared" si="5"/>
        <v>0</v>
      </c>
      <c r="M71" s="307">
        <f t="shared" si="5"/>
        <v>0</v>
      </c>
      <c r="N71" s="307">
        <f t="shared" si="5"/>
        <v>61</v>
      </c>
      <c r="O71" s="307">
        <f t="shared" si="5"/>
        <v>0</v>
      </c>
      <c r="P71" s="307">
        <f t="shared" si="5"/>
        <v>71267089</v>
      </c>
      <c r="Q71" s="307">
        <f t="shared" si="5"/>
        <v>10491159</v>
      </c>
      <c r="R71" s="307">
        <f t="shared" si="5"/>
        <v>26601620</v>
      </c>
      <c r="S71" s="307">
        <f t="shared" si="5"/>
        <v>10088775</v>
      </c>
      <c r="T71" s="307">
        <f t="shared" si="5"/>
        <v>3193432</v>
      </c>
      <c r="U71" s="307">
        <f t="shared" si="5"/>
        <v>37911190</v>
      </c>
      <c r="V71" s="307">
        <f t="shared" si="5"/>
        <v>0</v>
      </c>
      <c r="W71" s="307">
        <f t="shared" si="5"/>
        <v>4451211</v>
      </c>
      <c r="X71" s="307">
        <f t="shared" si="5"/>
        <v>6820260</v>
      </c>
      <c r="Y71" s="307">
        <f t="shared" si="5"/>
        <v>29984464</v>
      </c>
      <c r="Z71" s="307">
        <f t="shared" si="5"/>
        <v>10039877</v>
      </c>
      <c r="AA71" s="307">
        <f t="shared" si="5"/>
        <v>7591256</v>
      </c>
      <c r="AB71" s="307">
        <f t="shared" si="5"/>
        <v>34864301</v>
      </c>
      <c r="AC71" s="307">
        <f t="shared" si="5"/>
        <v>2491479</v>
      </c>
      <c r="AD71" s="307">
        <f t="shared" si="5"/>
        <v>2014184</v>
      </c>
      <c r="AE71" s="307">
        <f t="shared" si="5"/>
        <v>10797008</v>
      </c>
      <c r="AF71" s="307">
        <f t="shared" si="5"/>
        <v>833298</v>
      </c>
      <c r="AG71" s="307">
        <f t="shared" si="5"/>
        <v>13967552</v>
      </c>
      <c r="AH71" s="307">
        <f t="shared" si="5"/>
        <v>0</v>
      </c>
      <c r="AI71" s="307">
        <f t="shared" si="5"/>
        <v>0</v>
      </c>
      <c r="AJ71" s="307">
        <f t="shared" ref="AJ71:BO71" si="6">SUM(AJ61:AJ69)-AJ70</f>
        <v>271273314</v>
      </c>
      <c r="AK71" s="307">
        <f t="shared" si="6"/>
        <v>0</v>
      </c>
      <c r="AL71" s="307">
        <f t="shared" si="6"/>
        <v>0</v>
      </c>
      <c r="AM71" s="307">
        <f t="shared" si="6"/>
        <v>0</v>
      </c>
      <c r="AN71" s="307">
        <f t="shared" si="6"/>
        <v>0</v>
      </c>
      <c r="AO71" s="307">
        <f t="shared" si="6"/>
        <v>0</v>
      </c>
      <c r="AP71" s="307">
        <f t="shared" si="6"/>
        <v>171316149</v>
      </c>
      <c r="AQ71" s="307">
        <f t="shared" si="6"/>
        <v>0</v>
      </c>
      <c r="AR71" s="307">
        <f t="shared" si="6"/>
        <v>0</v>
      </c>
      <c r="AS71" s="307">
        <f t="shared" si="6"/>
        <v>0</v>
      </c>
      <c r="AT71" s="307">
        <f t="shared" si="6"/>
        <v>7349228</v>
      </c>
      <c r="AU71" s="307">
        <f t="shared" si="6"/>
        <v>0</v>
      </c>
      <c r="AV71" s="307">
        <f t="shared" si="6"/>
        <v>22743748</v>
      </c>
      <c r="AW71" s="307">
        <f t="shared" si="6"/>
        <v>17048393</v>
      </c>
      <c r="AX71" s="307">
        <f t="shared" si="6"/>
        <v>2416287</v>
      </c>
      <c r="AY71" s="307">
        <f t="shared" si="6"/>
        <v>4537137</v>
      </c>
      <c r="AZ71" s="307">
        <f t="shared" si="6"/>
        <v>867253</v>
      </c>
      <c r="BA71" s="305">
        <f t="shared" si="6"/>
        <v>1980335</v>
      </c>
      <c r="BB71" s="305">
        <f t="shared" si="6"/>
        <v>1035652</v>
      </c>
      <c r="BC71" s="305">
        <f t="shared" si="6"/>
        <v>3223112</v>
      </c>
      <c r="BD71" s="305">
        <f t="shared" si="6"/>
        <v>-466310</v>
      </c>
      <c r="BE71" s="305">
        <f t="shared" si="6"/>
        <v>23431227</v>
      </c>
      <c r="BF71" s="305">
        <f t="shared" si="6"/>
        <v>8984948</v>
      </c>
      <c r="BG71" s="305">
        <f t="shared" si="6"/>
        <v>5663940</v>
      </c>
      <c r="BH71" s="305">
        <f t="shared" si="6"/>
        <v>43685668</v>
      </c>
      <c r="BI71" s="305">
        <f t="shared" si="6"/>
        <v>4043279</v>
      </c>
      <c r="BJ71" s="305">
        <f t="shared" si="6"/>
        <v>2802217</v>
      </c>
      <c r="BK71" s="305">
        <f t="shared" si="6"/>
        <v>21935574</v>
      </c>
      <c r="BL71" s="305">
        <f t="shared" si="6"/>
        <v>6622215</v>
      </c>
      <c r="BM71" s="305">
        <f t="shared" si="6"/>
        <v>3675316</v>
      </c>
      <c r="BN71" s="305">
        <f t="shared" si="6"/>
        <v>-2309529</v>
      </c>
      <c r="BO71" s="305">
        <f t="shared" si="6"/>
        <v>3168636</v>
      </c>
      <c r="BP71" s="305">
        <f t="shared" ref="BP71:CC71" si="7">SUM(BP61:BP69)-BP70</f>
        <v>3029829</v>
      </c>
      <c r="BQ71" s="305">
        <f t="shared" si="7"/>
        <v>0</v>
      </c>
      <c r="BR71" s="305">
        <f t="shared" si="7"/>
        <v>4321445</v>
      </c>
      <c r="BS71" s="305">
        <f t="shared" si="7"/>
        <v>455</v>
      </c>
      <c r="BT71" s="305">
        <f t="shared" si="7"/>
        <v>164624</v>
      </c>
      <c r="BU71" s="305">
        <f t="shared" si="7"/>
        <v>1210887</v>
      </c>
      <c r="BV71" s="305">
        <f t="shared" si="7"/>
        <v>4562945</v>
      </c>
      <c r="BW71" s="305">
        <f t="shared" si="7"/>
        <v>-6878438</v>
      </c>
      <c r="BX71" s="305">
        <f t="shared" si="7"/>
        <v>13667055</v>
      </c>
      <c r="BY71" s="305">
        <f t="shared" si="7"/>
        <v>6782120.4000000004</v>
      </c>
      <c r="BZ71" s="305">
        <f t="shared" si="7"/>
        <v>0</v>
      </c>
      <c r="CA71" s="305">
        <f t="shared" si="7"/>
        <v>5730041.4000000004</v>
      </c>
      <c r="CB71" s="305">
        <f t="shared" si="7"/>
        <v>0</v>
      </c>
      <c r="CC71" s="305">
        <f t="shared" si="7"/>
        <v>6571535.5</v>
      </c>
      <c r="CD71" s="330">
        <f>CD69-CD70</f>
        <v>43609472</v>
      </c>
      <c r="CE71" s="305">
        <f>SUM(CE61:CE69)-CE70</f>
        <v>1075593663.3</v>
      </c>
      <c r="CF71" s="327"/>
    </row>
    <row r="72" spans="1:84" ht="15.9" customHeight="1" x14ac:dyDescent="0.3">
      <c r="A72" s="308" t="s">
        <v>244</v>
      </c>
      <c r="B72" s="297"/>
      <c r="C72" s="331" t="s">
        <v>221</v>
      </c>
      <c r="D72" s="331" t="s">
        <v>221</v>
      </c>
      <c r="E72" s="331" t="s">
        <v>221</v>
      </c>
      <c r="F72" s="331" t="s">
        <v>221</v>
      </c>
      <c r="G72" s="331" t="s">
        <v>221</v>
      </c>
      <c r="H72" s="331" t="s">
        <v>221</v>
      </c>
      <c r="I72" s="331" t="s">
        <v>221</v>
      </c>
      <c r="J72" s="331" t="s">
        <v>221</v>
      </c>
      <c r="K72" s="332" t="s">
        <v>221</v>
      </c>
      <c r="L72" s="331" t="s">
        <v>221</v>
      </c>
      <c r="M72" s="331" t="s">
        <v>221</v>
      </c>
      <c r="N72" s="331" t="s">
        <v>221</v>
      </c>
      <c r="O72" s="331" t="s">
        <v>221</v>
      </c>
      <c r="P72" s="331" t="s">
        <v>221</v>
      </c>
      <c r="Q72" s="331" t="s">
        <v>221</v>
      </c>
      <c r="R72" s="331" t="s">
        <v>221</v>
      </c>
      <c r="S72" s="331" t="s">
        <v>221</v>
      </c>
      <c r="T72" s="331" t="s">
        <v>221</v>
      </c>
      <c r="U72" s="331" t="s">
        <v>221</v>
      </c>
      <c r="V72" s="331" t="s">
        <v>221</v>
      </c>
      <c r="W72" s="331" t="s">
        <v>221</v>
      </c>
      <c r="X72" s="331" t="s">
        <v>221</v>
      </c>
      <c r="Y72" s="331" t="s">
        <v>221</v>
      </c>
      <c r="Z72" s="331" t="s">
        <v>221</v>
      </c>
      <c r="AA72" s="331" t="s">
        <v>221</v>
      </c>
      <c r="AB72" s="331" t="s">
        <v>221</v>
      </c>
      <c r="AC72" s="331" t="s">
        <v>221</v>
      </c>
      <c r="AD72" s="331" t="s">
        <v>221</v>
      </c>
      <c r="AE72" s="331" t="s">
        <v>221</v>
      </c>
      <c r="AF72" s="331" t="s">
        <v>221</v>
      </c>
      <c r="AG72" s="331" t="s">
        <v>221</v>
      </c>
      <c r="AH72" s="331" t="s">
        <v>221</v>
      </c>
      <c r="AI72" s="331" t="s">
        <v>221</v>
      </c>
      <c r="AJ72" s="331" t="s">
        <v>221</v>
      </c>
      <c r="AK72" s="331" t="s">
        <v>221</v>
      </c>
      <c r="AL72" s="331" t="s">
        <v>221</v>
      </c>
      <c r="AM72" s="331" t="s">
        <v>221</v>
      </c>
      <c r="AN72" s="331" t="s">
        <v>221</v>
      </c>
      <c r="AO72" s="331" t="s">
        <v>221</v>
      </c>
      <c r="AP72" s="331" t="s">
        <v>221</v>
      </c>
      <c r="AQ72" s="331" t="s">
        <v>221</v>
      </c>
      <c r="AR72" s="331" t="s">
        <v>221</v>
      </c>
      <c r="AS72" s="331" t="s">
        <v>221</v>
      </c>
      <c r="AT72" s="331" t="s">
        <v>221</v>
      </c>
      <c r="AU72" s="331" t="s">
        <v>221</v>
      </c>
      <c r="AV72" s="331" t="s">
        <v>221</v>
      </c>
      <c r="AW72" s="331" t="s">
        <v>221</v>
      </c>
      <c r="AX72" s="331" t="s">
        <v>221</v>
      </c>
      <c r="AY72" s="331" t="s">
        <v>221</v>
      </c>
      <c r="AZ72" s="331" t="s">
        <v>221</v>
      </c>
      <c r="BA72" s="319" t="s">
        <v>221</v>
      </c>
      <c r="BB72" s="319" t="s">
        <v>221</v>
      </c>
      <c r="BC72" s="319" t="s">
        <v>221</v>
      </c>
      <c r="BD72" s="319" t="s">
        <v>221</v>
      </c>
      <c r="BE72" s="319" t="s">
        <v>221</v>
      </c>
      <c r="BF72" s="319" t="s">
        <v>221</v>
      </c>
      <c r="BG72" s="319" t="s">
        <v>221</v>
      </c>
      <c r="BH72" s="319" t="s">
        <v>221</v>
      </c>
      <c r="BI72" s="319" t="s">
        <v>221</v>
      </c>
      <c r="BJ72" s="319" t="s">
        <v>221</v>
      </c>
      <c r="BK72" s="319" t="s">
        <v>221</v>
      </c>
      <c r="BL72" s="319" t="s">
        <v>221</v>
      </c>
      <c r="BM72" s="319" t="s">
        <v>221</v>
      </c>
      <c r="BN72" s="319" t="s">
        <v>221</v>
      </c>
      <c r="BO72" s="319" t="s">
        <v>221</v>
      </c>
      <c r="BP72" s="319" t="s">
        <v>221</v>
      </c>
      <c r="BQ72" s="319" t="s">
        <v>221</v>
      </c>
      <c r="BR72" s="319" t="s">
        <v>221</v>
      </c>
      <c r="BS72" s="319" t="s">
        <v>221</v>
      </c>
      <c r="BT72" s="319" t="s">
        <v>221</v>
      </c>
      <c r="BU72" s="319" t="s">
        <v>221</v>
      </c>
      <c r="BV72" s="319" t="s">
        <v>221</v>
      </c>
      <c r="BW72" s="319" t="s">
        <v>221</v>
      </c>
      <c r="BX72" s="319" t="s">
        <v>221</v>
      </c>
      <c r="BY72" s="319" t="s">
        <v>221</v>
      </c>
      <c r="BZ72" s="319" t="s">
        <v>221</v>
      </c>
      <c r="CA72" s="319" t="s">
        <v>221</v>
      </c>
      <c r="CB72" s="319" t="s">
        <v>221</v>
      </c>
      <c r="CC72" s="319" t="s">
        <v>221</v>
      </c>
      <c r="CD72" s="319" t="s">
        <v>221</v>
      </c>
      <c r="CE72" s="329"/>
      <c r="CF72" s="327"/>
    </row>
    <row r="73" spans="1:84" ht="15.9" customHeight="1" x14ac:dyDescent="0.3">
      <c r="A73" s="308" t="s">
        <v>245</v>
      </c>
      <c r="B73" s="297"/>
      <c r="C73" s="303">
        <v>43313825</v>
      </c>
      <c r="D73" s="303"/>
      <c r="E73" s="314">
        <v>207538678</v>
      </c>
      <c r="F73" s="314"/>
      <c r="G73" s="303"/>
      <c r="H73" s="303"/>
      <c r="I73" s="314"/>
      <c r="J73" s="314"/>
      <c r="K73" s="314">
        <v>9239592</v>
      </c>
      <c r="L73" s="314"/>
      <c r="M73" s="303"/>
      <c r="N73" s="303"/>
      <c r="O73" s="303"/>
      <c r="P73" s="314">
        <v>256000187</v>
      </c>
      <c r="Q73" s="314">
        <v>9390824</v>
      </c>
      <c r="R73" s="314">
        <v>11060597</v>
      </c>
      <c r="S73" s="314"/>
      <c r="T73" s="314">
        <v>4312238</v>
      </c>
      <c r="U73" s="314">
        <v>31676815</v>
      </c>
      <c r="V73" s="314"/>
      <c r="W73" s="314">
        <v>4542761</v>
      </c>
      <c r="X73" s="314">
        <v>12015284</v>
      </c>
      <c r="Y73" s="314">
        <v>37295071</v>
      </c>
      <c r="Z73" s="314">
        <v>922705</v>
      </c>
      <c r="AA73" s="314">
        <v>1233662</v>
      </c>
      <c r="AB73" s="314">
        <v>35281654</v>
      </c>
      <c r="AC73" s="314">
        <v>15855592</v>
      </c>
      <c r="AD73" s="314">
        <v>4913104</v>
      </c>
      <c r="AE73" s="314">
        <v>13032663</v>
      </c>
      <c r="AF73" s="314"/>
      <c r="AG73" s="314">
        <v>9987391</v>
      </c>
      <c r="AH73" s="314"/>
      <c r="AI73" s="314"/>
      <c r="AJ73" s="314">
        <v>25223166</v>
      </c>
      <c r="AK73" s="314"/>
      <c r="AL73" s="314"/>
      <c r="AM73" s="314"/>
      <c r="AN73" s="314"/>
      <c r="AO73" s="314"/>
      <c r="AP73" s="314">
        <v>11536</v>
      </c>
      <c r="AQ73" s="314"/>
      <c r="AR73" s="314"/>
      <c r="AS73" s="314"/>
      <c r="AT73" s="314">
        <v>12082000</v>
      </c>
      <c r="AU73" s="314"/>
      <c r="AV73" s="314">
        <f>19979937+1355162+146+17403</f>
        <v>21352648</v>
      </c>
      <c r="AW73" s="331" t="s">
        <v>221</v>
      </c>
      <c r="AX73" s="331" t="s">
        <v>221</v>
      </c>
      <c r="AY73" s="331" t="s">
        <v>221</v>
      </c>
      <c r="AZ73" s="331" t="s">
        <v>221</v>
      </c>
      <c r="BA73" s="319" t="s">
        <v>221</v>
      </c>
      <c r="BB73" s="319" t="s">
        <v>221</v>
      </c>
      <c r="BC73" s="319" t="s">
        <v>221</v>
      </c>
      <c r="BD73" s="319" t="s">
        <v>221</v>
      </c>
      <c r="BE73" s="319" t="s">
        <v>221</v>
      </c>
      <c r="BF73" s="319" t="s">
        <v>221</v>
      </c>
      <c r="BG73" s="319" t="s">
        <v>221</v>
      </c>
      <c r="BH73" s="319" t="s">
        <v>221</v>
      </c>
      <c r="BI73" s="319" t="s">
        <v>221</v>
      </c>
      <c r="BJ73" s="319" t="s">
        <v>221</v>
      </c>
      <c r="BK73" s="319" t="s">
        <v>221</v>
      </c>
      <c r="BL73" s="319" t="s">
        <v>221</v>
      </c>
      <c r="BM73" s="319" t="s">
        <v>221</v>
      </c>
      <c r="BN73" s="319" t="s">
        <v>221</v>
      </c>
      <c r="BO73" s="319" t="s">
        <v>221</v>
      </c>
      <c r="BP73" s="319" t="s">
        <v>221</v>
      </c>
      <c r="BQ73" s="319" t="s">
        <v>221</v>
      </c>
      <c r="BR73" s="319" t="s">
        <v>221</v>
      </c>
      <c r="BS73" s="319" t="s">
        <v>221</v>
      </c>
      <c r="BT73" s="319" t="s">
        <v>221</v>
      </c>
      <c r="BU73" s="319" t="s">
        <v>221</v>
      </c>
      <c r="BV73" s="319" t="s">
        <v>221</v>
      </c>
      <c r="BW73" s="319" t="s">
        <v>221</v>
      </c>
      <c r="BX73" s="319" t="s">
        <v>221</v>
      </c>
      <c r="BY73" s="319" t="s">
        <v>221</v>
      </c>
      <c r="BZ73" s="319" t="s">
        <v>221</v>
      </c>
      <c r="CA73" s="319" t="s">
        <v>221</v>
      </c>
      <c r="CB73" s="319" t="s">
        <v>221</v>
      </c>
      <c r="CC73" s="319" t="s">
        <v>221</v>
      </c>
      <c r="CD73" s="319" t="s">
        <v>221</v>
      </c>
      <c r="CE73" s="305">
        <f t="shared" ref="CE73:CE80" si="8">SUM(C73:CD73)</f>
        <v>766281993</v>
      </c>
      <c r="CF73" s="327"/>
    </row>
    <row r="74" spans="1:84" ht="15.9" customHeight="1" x14ac:dyDescent="0.3">
      <c r="A74" s="308" t="s">
        <v>246</v>
      </c>
      <c r="B74" s="297"/>
      <c r="C74" s="303">
        <v>266647</v>
      </c>
      <c r="D74" s="303"/>
      <c r="E74" s="314">
        <v>16552206</v>
      </c>
      <c r="F74" s="314"/>
      <c r="G74" s="303"/>
      <c r="H74" s="303"/>
      <c r="I74" s="303"/>
      <c r="J74" s="314"/>
      <c r="K74" s="314">
        <v>521786</v>
      </c>
      <c r="L74" s="314"/>
      <c r="M74" s="303"/>
      <c r="N74" s="303"/>
      <c r="O74" s="303"/>
      <c r="P74" s="314">
        <v>178919072</v>
      </c>
      <c r="Q74" s="314">
        <v>16523946</v>
      </c>
      <c r="R74" s="314">
        <v>64472194</v>
      </c>
      <c r="S74" s="314"/>
      <c r="T74" s="314">
        <v>690024</v>
      </c>
      <c r="U74" s="314">
        <v>103427923</v>
      </c>
      <c r="V74" s="314"/>
      <c r="W74" s="314">
        <v>24693988</v>
      </c>
      <c r="X74" s="314">
        <v>38877362</v>
      </c>
      <c r="Y74" s="314">
        <v>77035751</v>
      </c>
      <c r="Z74" s="314">
        <v>25173277</v>
      </c>
      <c r="AA74" s="314">
        <v>21679417</v>
      </c>
      <c r="AB74" s="314">
        <f>6280652-6280652+16506088</f>
        <v>16506088</v>
      </c>
      <c r="AC74" s="314">
        <v>385625</v>
      </c>
      <c r="AD74" s="314">
        <v>363611</v>
      </c>
      <c r="AE74" s="314">
        <v>14828413</v>
      </c>
      <c r="AF74" s="314">
        <v>1104841</v>
      </c>
      <c r="AG74" s="314">
        <v>40320312</v>
      </c>
      <c r="AH74" s="314"/>
      <c r="AI74" s="314"/>
      <c r="AJ74" s="314">
        <v>579980596</v>
      </c>
      <c r="AK74" s="314"/>
      <c r="AL74" s="314"/>
      <c r="AM74" s="314"/>
      <c r="AN74" s="314"/>
      <c r="AO74" s="314"/>
      <c r="AP74" s="314">
        <v>388101237</v>
      </c>
      <c r="AQ74" s="314"/>
      <c r="AR74" s="314"/>
      <c r="AS74" s="314"/>
      <c r="AT74" s="314"/>
      <c r="AU74" s="314"/>
      <c r="AV74" s="314">
        <f>77829759+347293+1324300+68259+110938-1</f>
        <v>79680548</v>
      </c>
      <c r="AW74" s="331" t="s">
        <v>221</v>
      </c>
      <c r="AX74" s="331" t="s">
        <v>221</v>
      </c>
      <c r="AY74" s="331" t="s">
        <v>221</v>
      </c>
      <c r="AZ74" s="331" t="s">
        <v>221</v>
      </c>
      <c r="BA74" s="319" t="s">
        <v>221</v>
      </c>
      <c r="BB74" s="319" t="s">
        <v>221</v>
      </c>
      <c r="BC74" s="319" t="s">
        <v>221</v>
      </c>
      <c r="BD74" s="319" t="s">
        <v>221</v>
      </c>
      <c r="BE74" s="319" t="s">
        <v>221</v>
      </c>
      <c r="BF74" s="319" t="s">
        <v>221</v>
      </c>
      <c r="BG74" s="319" t="s">
        <v>221</v>
      </c>
      <c r="BH74" s="319" t="s">
        <v>221</v>
      </c>
      <c r="BI74" s="319" t="s">
        <v>221</v>
      </c>
      <c r="BJ74" s="319" t="s">
        <v>221</v>
      </c>
      <c r="BK74" s="319" t="s">
        <v>221</v>
      </c>
      <c r="BL74" s="319" t="s">
        <v>221</v>
      </c>
      <c r="BM74" s="319" t="s">
        <v>221</v>
      </c>
      <c r="BN74" s="319" t="s">
        <v>221</v>
      </c>
      <c r="BO74" s="319" t="s">
        <v>221</v>
      </c>
      <c r="BP74" s="319" t="s">
        <v>221</v>
      </c>
      <c r="BQ74" s="319" t="s">
        <v>221</v>
      </c>
      <c r="BR74" s="319" t="s">
        <v>221</v>
      </c>
      <c r="BS74" s="319" t="s">
        <v>221</v>
      </c>
      <c r="BT74" s="319" t="s">
        <v>221</v>
      </c>
      <c r="BU74" s="319" t="s">
        <v>221</v>
      </c>
      <c r="BV74" s="319" t="s">
        <v>221</v>
      </c>
      <c r="BW74" s="319" t="s">
        <v>221</v>
      </c>
      <c r="BX74" s="319" t="s">
        <v>221</v>
      </c>
      <c r="BY74" s="319" t="s">
        <v>221</v>
      </c>
      <c r="BZ74" s="319" t="s">
        <v>221</v>
      </c>
      <c r="CA74" s="319" t="s">
        <v>221</v>
      </c>
      <c r="CB74" s="319" t="s">
        <v>221</v>
      </c>
      <c r="CC74" s="319" t="s">
        <v>221</v>
      </c>
      <c r="CD74" s="319" t="s">
        <v>221</v>
      </c>
      <c r="CE74" s="305">
        <f t="shared" si="8"/>
        <v>1690104864</v>
      </c>
      <c r="CF74" s="327"/>
    </row>
    <row r="75" spans="1:84" ht="15.9" customHeight="1" x14ac:dyDescent="0.3">
      <c r="A75" s="308" t="s">
        <v>247</v>
      </c>
      <c r="B75" s="297"/>
      <c r="C75" s="307">
        <f t="shared" ref="C75:AV75" si="9">SUM(C73:C74)</f>
        <v>43580472</v>
      </c>
      <c r="D75" s="307">
        <f t="shared" si="9"/>
        <v>0</v>
      </c>
      <c r="E75" s="307">
        <f t="shared" si="9"/>
        <v>224090884</v>
      </c>
      <c r="F75" s="307">
        <f t="shared" si="9"/>
        <v>0</v>
      </c>
      <c r="G75" s="307">
        <f t="shared" si="9"/>
        <v>0</v>
      </c>
      <c r="H75" s="307">
        <f t="shared" si="9"/>
        <v>0</v>
      </c>
      <c r="I75" s="307">
        <f t="shared" si="9"/>
        <v>0</v>
      </c>
      <c r="J75" s="307">
        <f t="shared" si="9"/>
        <v>0</v>
      </c>
      <c r="K75" s="307">
        <f t="shared" si="9"/>
        <v>9761378</v>
      </c>
      <c r="L75" s="307">
        <f t="shared" si="9"/>
        <v>0</v>
      </c>
      <c r="M75" s="307">
        <f t="shared" si="9"/>
        <v>0</v>
      </c>
      <c r="N75" s="307">
        <f t="shared" si="9"/>
        <v>0</v>
      </c>
      <c r="O75" s="307">
        <f t="shared" si="9"/>
        <v>0</v>
      </c>
      <c r="P75" s="307">
        <f t="shared" si="9"/>
        <v>434919259</v>
      </c>
      <c r="Q75" s="307">
        <f t="shared" si="9"/>
        <v>25914770</v>
      </c>
      <c r="R75" s="307">
        <f t="shared" si="9"/>
        <v>75532791</v>
      </c>
      <c r="S75" s="307">
        <f t="shared" si="9"/>
        <v>0</v>
      </c>
      <c r="T75" s="307">
        <f t="shared" si="9"/>
        <v>5002262</v>
      </c>
      <c r="U75" s="307">
        <f t="shared" si="9"/>
        <v>135104738</v>
      </c>
      <c r="V75" s="307">
        <f t="shared" si="9"/>
        <v>0</v>
      </c>
      <c r="W75" s="307">
        <f t="shared" si="9"/>
        <v>29236749</v>
      </c>
      <c r="X75" s="307">
        <f t="shared" si="9"/>
        <v>50892646</v>
      </c>
      <c r="Y75" s="307">
        <f t="shared" si="9"/>
        <v>114330822</v>
      </c>
      <c r="Z75" s="307">
        <f t="shared" si="9"/>
        <v>26095982</v>
      </c>
      <c r="AA75" s="307">
        <f t="shared" si="9"/>
        <v>22913079</v>
      </c>
      <c r="AB75" s="307">
        <f t="shared" si="9"/>
        <v>51787742</v>
      </c>
      <c r="AC75" s="307">
        <f t="shared" si="9"/>
        <v>16241217</v>
      </c>
      <c r="AD75" s="307">
        <f t="shared" si="9"/>
        <v>5276715</v>
      </c>
      <c r="AE75" s="307">
        <f t="shared" si="9"/>
        <v>27861076</v>
      </c>
      <c r="AF75" s="307">
        <f t="shared" si="9"/>
        <v>1104841</v>
      </c>
      <c r="AG75" s="307">
        <f t="shared" si="9"/>
        <v>50307703</v>
      </c>
      <c r="AH75" s="307">
        <f t="shared" si="9"/>
        <v>0</v>
      </c>
      <c r="AI75" s="307">
        <f t="shared" si="9"/>
        <v>0</v>
      </c>
      <c r="AJ75" s="307">
        <f t="shared" si="9"/>
        <v>605203762</v>
      </c>
      <c r="AK75" s="307">
        <f t="shared" si="9"/>
        <v>0</v>
      </c>
      <c r="AL75" s="307">
        <f t="shared" si="9"/>
        <v>0</v>
      </c>
      <c r="AM75" s="307">
        <f t="shared" si="9"/>
        <v>0</v>
      </c>
      <c r="AN75" s="307">
        <f t="shared" si="9"/>
        <v>0</v>
      </c>
      <c r="AO75" s="307">
        <f t="shared" si="9"/>
        <v>0</v>
      </c>
      <c r="AP75" s="307">
        <f t="shared" si="9"/>
        <v>388112773</v>
      </c>
      <c r="AQ75" s="307">
        <f t="shared" si="9"/>
        <v>0</v>
      </c>
      <c r="AR75" s="307">
        <f t="shared" si="9"/>
        <v>0</v>
      </c>
      <c r="AS75" s="307">
        <f t="shared" si="9"/>
        <v>0</v>
      </c>
      <c r="AT75" s="307">
        <f t="shared" si="9"/>
        <v>12082000</v>
      </c>
      <c r="AU75" s="307">
        <f t="shared" si="9"/>
        <v>0</v>
      </c>
      <c r="AV75" s="307">
        <f t="shared" si="9"/>
        <v>101033196</v>
      </c>
      <c r="AW75" s="331" t="s">
        <v>221</v>
      </c>
      <c r="AX75" s="331" t="s">
        <v>221</v>
      </c>
      <c r="AY75" s="331" t="s">
        <v>221</v>
      </c>
      <c r="AZ75" s="331" t="s">
        <v>221</v>
      </c>
      <c r="BA75" s="319" t="s">
        <v>221</v>
      </c>
      <c r="BB75" s="319" t="s">
        <v>221</v>
      </c>
      <c r="BC75" s="319" t="s">
        <v>221</v>
      </c>
      <c r="BD75" s="319" t="s">
        <v>221</v>
      </c>
      <c r="BE75" s="319" t="s">
        <v>221</v>
      </c>
      <c r="BF75" s="319" t="s">
        <v>221</v>
      </c>
      <c r="BG75" s="319" t="s">
        <v>221</v>
      </c>
      <c r="BH75" s="319" t="s">
        <v>221</v>
      </c>
      <c r="BI75" s="319" t="s">
        <v>221</v>
      </c>
      <c r="BJ75" s="319" t="s">
        <v>221</v>
      </c>
      <c r="BK75" s="319" t="s">
        <v>221</v>
      </c>
      <c r="BL75" s="319" t="s">
        <v>221</v>
      </c>
      <c r="BM75" s="319" t="s">
        <v>221</v>
      </c>
      <c r="BN75" s="319" t="s">
        <v>221</v>
      </c>
      <c r="BO75" s="319" t="s">
        <v>221</v>
      </c>
      <c r="BP75" s="319" t="s">
        <v>221</v>
      </c>
      <c r="BQ75" s="319" t="s">
        <v>221</v>
      </c>
      <c r="BR75" s="319" t="s">
        <v>221</v>
      </c>
      <c r="BS75" s="319" t="s">
        <v>221</v>
      </c>
      <c r="BT75" s="319" t="s">
        <v>221</v>
      </c>
      <c r="BU75" s="319" t="s">
        <v>221</v>
      </c>
      <c r="BV75" s="319" t="s">
        <v>221</v>
      </c>
      <c r="BW75" s="319" t="s">
        <v>221</v>
      </c>
      <c r="BX75" s="319" t="s">
        <v>221</v>
      </c>
      <c r="BY75" s="319" t="s">
        <v>221</v>
      </c>
      <c r="BZ75" s="319" t="s">
        <v>221</v>
      </c>
      <c r="CA75" s="319" t="s">
        <v>221</v>
      </c>
      <c r="CB75" s="319" t="s">
        <v>221</v>
      </c>
      <c r="CC75" s="319" t="s">
        <v>221</v>
      </c>
      <c r="CD75" s="319" t="s">
        <v>221</v>
      </c>
      <c r="CE75" s="305">
        <f t="shared" si="8"/>
        <v>2456386857</v>
      </c>
      <c r="CF75" s="327"/>
    </row>
    <row r="76" spans="1:84" ht="15.9" customHeight="1" x14ac:dyDescent="0.3">
      <c r="A76" s="308" t="s">
        <v>248</v>
      </c>
      <c r="B76" s="297"/>
      <c r="C76" s="303">
        <v>23787</v>
      </c>
      <c r="D76" s="303"/>
      <c r="E76" s="314">
        <v>120982</v>
      </c>
      <c r="F76" s="314"/>
      <c r="G76" s="303"/>
      <c r="H76" s="303"/>
      <c r="I76" s="314"/>
      <c r="J76" s="314"/>
      <c r="K76" s="314"/>
      <c r="L76" s="314"/>
      <c r="M76" s="314"/>
      <c r="N76" s="314"/>
      <c r="O76" s="314"/>
      <c r="P76" s="314">
        <v>47660</v>
      </c>
      <c r="Q76" s="314">
        <v>28451</v>
      </c>
      <c r="R76" s="314">
        <v>16034</v>
      </c>
      <c r="S76" s="314">
        <v>18093</v>
      </c>
      <c r="T76" s="314">
        <v>587</v>
      </c>
      <c r="U76" s="314">
        <v>29977</v>
      </c>
      <c r="V76" s="314"/>
      <c r="W76" s="314">
        <v>6547</v>
      </c>
      <c r="X76" s="314">
        <v>4048</v>
      </c>
      <c r="Y76" s="314">
        <v>35012</v>
      </c>
      <c r="Z76" s="314">
        <v>11548</v>
      </c>
      <c r="AA76" s="314">
        <v>6030</v>
      </c>
      <c r="AB76" s="314">
        <f>7983-7983+10626</f>
        <v>10626</v>
      </c>
      <c r="AC76" s="314">
        <v>1526</v>
      </c>
      <c r="AD76" s="314">
        <v>1269</v>
      </c>
      <c r="AE76" s="314">
        <v>19027</v>
      </c>
      <c r="AF76" s="314">
        <v>1043</v>
      </c>
      <c r="AG76" s="314">
        <v>15202</v>
      </c>
      <c r="AH76" s="314"/>
      <c r="AI76" s="314"/>
      <c r="AJ76" s="314">
        <v>224703</v>
      </c>
      <c r="AK76" s="314"/>
      <c r="AL76" s="314"/>
      <c r="AM76" s="314"/>
      <c r="AN76" s="314"/>
      <c r="AO76" s="314"/>
      <c r="AP76" s="314">
        <v>260199</v>
      </c>
      <c r="AQ76" s="314"/>
      <c r="AR76" s="314"/>
      <c r="AS76" s="314"/>
      <c r="AT76" s="314">
        <v>2221</v>
      </c>
      <c r="AU76" s="314"/>
      <c r="AV76" s="314">
        <v>21762</v>
      </c>
      <c r="AW76" s="314">
        <v>17852</v>
      </c>
      <c r="AX76" s="314">
        <v>2159</v>
      </c>
      <c r="AY76" s="314">
        <v>5545</v>
      </c>
      <c r="AZ76" s="314">
        <v>17149</v>
      </c>
      <c r="BA76" s="318">
        <v>3212</v>
      </c>
      <c r="BB76" s="318">
        <v>367</v>
      </c>
      <c r="BC76" s="318">
        <v>681</v>
      </c>
      <c r="BD76" s="318">
        <f>10615-10615+7972</f>
        <v>7972</v>
      </c>
      <c r="BE76" s="318">
        <v>380823</v>
      </c>
      <c r="BF76" s="318">
        <v>8430</v>
      </c>
      <c r="BG76" s="318">
        <v>11900</v>
      </c>
      <c r="BH76" s="318">
        <v>46121</v>
      </c>
      <c r="BI76" s="318">
        <v>7512</v>
      </c>
      <c r="BJ76" s="318">
        <v>3428</v>
      </c>
      <c r="BK76" s="318">
        <v>24001</v>
      </c>
      <c r="BL76" s="318">
        <v>7487</v>
      </c>
      <c r="BM76" s="318">
        <v>4074</v>
      </c>
      <c r="BN76" s="318">
        <v>11013</v>
      </c>
      <c r="BO76" s="318">
        <v>3182</v>
      </c>
      <c r="BP76" s="318">
        <v>5296</v>
      </c>
      <c r="BQ76" s="318"/>
      <c r="BR76" s="318"/>
      <c r="BS76" s="318"/>
      <c r="BT76" s="318">
        <v>851</v>
      </c>
      <c r="BU76" s="318">
        <v>5573</v>
      </c>
      <c r="BV76" s="318">
        <v>14096</v>
      </c>
      <c r="BW76" s="318"/>
      <c r="BX76" s="318">
        <v>22233</v>
      </c>
      <c r="BY76" s="318">
        <v>5821</v>
      </c>
      <c r="BZ76" s="318"/>
      <c r="CA76" s="318">
        <v>3814</v>
      </c>
      <c r="CB76" s="318"/>
      <c r="CC76" s="318">
        <v>10526</v>
      </c>
      <c r="CD76" s="319" t="s">
        <v>221</v>
      </c>
      <c r="CE76" s="305">
        <f t="shared" si="8"/>
        <v>1537452</v>
      </c>
      <c r="CF76" s="305">
        <f>BE59-CE76</f>
        <v>0</v>
      </c>
    </row>
    <row r="77" spans="1:84" ht="15.9" customHeight="1" x14ac:dyDescent="0.3">
      <c r="A77" s="308" t="s">
        <v>249</v>
      </c>
      <c r="B77" s="297"/>
      <c r="C77" s="303">
        <v>17300</v>
      </c>
      <c r="D77" s="303"/>
      <c r="E77" s="303">
        <v>326274</v>
      </c>
      <c r="F77" s="303"/>
      <c r="G77" s="303"/>
      <c r="H77" s="303"/>
      <c r="I77" s="303"/>
      <c r="J77" s="303"/>
      <c r="K77" s="303"/>
      <c r="L77" s="303"/>
      <c r="M77" s="303"/>
      <c r="N77" s="303">
        <v>670</v>
      </c>
      <c r="O77" s="303"/>
      <c r="P77" s="303"/>
      <c r="Q77" s="303">
        <v>248</v>
      </c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>
        <v>31682</v>
      </c>
      <c r="AH77" s="303"/>
      <c r="AI77" s="303"/>
      <c r="AJ77" s="303">
        <v>546</v>
      </c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>
        <f>97+1</f>
        <v>98</v>
      </c>
      <c r="AW77" s="303"/>
      <c r="AX77" s="331" t="s">
        <v>221</v>
      </c>
      <c r="AY77" s="331" t="s">
        <v>221</v>
      </c>
      <c r="AZ77" s="303"/>
      <c r="BA77" s="304"/>
      <c r="BB77" s="304"/>
      <c r="BC77" s="304"/>
      <c r="BD77" s="319" t="s">
        <v>221</v>
      </c>
      <c r="BE77" s="319" t="s">
        <v>221</v>
      </c>
      <c r="BF77" s="304"/>
      <c r="BG77" s="319" t="s">
        <v>221</v>
      </c>
      <c r="BH77" s="304"/>
      <c r="BI77" s="304"/>
      <c r="BJ77" s="319" t="s">
        <v>221</v>
      </c>
      <c r="BK77" s="304"/>
      <c r="BL77" s="304"/>
      <c r="BM77" s="304"/>
      <c r="BN77" s="319" t="s">
        <v>221</v>
      </c>
      <c r="BO77" s="319" t="s">
        <v>221</v>
      </c>
      <c r="BP77" s="319" t="s">
        <v>221</v>
      </c>
      <c r="BQ77" s="319" t="s">
        <v>221</v>
      </c>
      <c r="BR77" s="304"/>
      <c r="BS77" s="304"/>
      <c r="BT77" s="304"/>
      <c r="BU77" s="304"/>
      <c r="BV77" s="304"/>
      <c r="BW77" s="304"/>
      <c r="BX77" s="304"/>
      <c r="BY77" s="304"/>
      <c r="BZ77" s="304"/>
      <c r="CA77" s="304"/>
      <c r="CB77" s="304"/>
      <c r="CC77" s="319" t="s">
        <v>221</v>
      </c>
      <c r="CD77" s="319" t="s">
        <v>221</v>
      </c>
      <c r="CE77" s="305">
        <f>SUM(C77:CD77)</f>
        <v>376818</v>
      </c>
      <c r="CF77" s="305">
        <f>AY59-CE77</f>
        <v>0</v>
      </c>
    </row>
    <row r="78" spans="1:84" ht="15.9" customHeight="1" x14ac:dyDescent="0.3">
      <c r="A78" s="308" t="s">
        <v>250</v>
      </c>
      <c r="B78" s="297"/>
      <c r="C78" s="303">
        <v>2312</v>
      </c>
      <c r="D78" s="303"/>
      <c r="E78" s="303">
        <v>11760</v>
      </c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>
        <v>4633</v>
      </c>
      <c r="Q78" s="303">
        <v>2766</v>
      </c>
      <c r="R78" s="303">
        <v>1559</v>
      </c>
      <c r="S78" s="303">
        <v>1759</v>
      </c>
      <c r="T78" s="303">
        <v>57</v>
      </c>
      <c r="U78" s="303">
        <v>2914</v>
      </c>
      <c r="V78" s="303"/>
      <c r="W78" s="303">
        <v>636</v>
      </c>
      <c r="X78" s="303">
        <v>393</v>
      </c>
      <c r="Y78" s="303">
        <v>3403</v>
      </c>
      <c r="Z78" s="303">
        <v>1123</v>
      </c>
      <c r="AA78" s="303">
        <v>586</v>
      </c>
      <c r="AB78" s="303">
        <v>776</v>
      </c>
      <c r="AC78" s="303">
        <v>148</v>
      </c>
      <c r="AD78" s="303">
        <v>123</v>
      </c>
      <c r="AE78" s="303">
        <v>1849</v>
      </c>
      <c r="AF78" s="303">
        <v>101</v>
      </c>
      <c r="AG78" s="303">
        <v>1478</v>
      </c>
      <c r="AH78" s="303"/>
      <c r="AI78" s="303"/>
      <c r="AJ78" s="303">
        <v>21842</v>
      </c>
      <c r="AK78" s="303"/>
      <c r="AL78" s="303"/>
      <c r="AM78" s="303"/>
      <c r="AN78" s="303"/>
      <c r="AO78" s="303"/>
      <c r="AP78" s="303">
        <v>25292</v>
      </c>
      <c r="AQ78" s="303"/>
      <c r="AR78" s="303"/>
      <c r="AS78" s="303"/>
      <c r="AT78" s="303">
        <v>216</v>
      </c>
      <c r="AU78" s="303"/>
      <c r="AV78" s="303">
        <v>2115</v>
      </c>
      <c r="AW78" s="303">
        <v>1735</v>
      </c>
      <c r="AX78" s="331" t="s">
        <v>221</v>
      </c>
      <c r="AY78" s="331" t="s">
        <v>221</v>
      </c>
      <c r="AZ78" s="331" t="s">
        <v>221</v>
      </c>
      <c r="BA78" s="304">
        <v>312</v>
      </c>
      <c r="BB78" s="304">
        <v>36</v>
      </c>
      <c r="BC78" s="304">
        <v>66</v>
      </c>
      <c r="BD78" s="319" t="s">
        <v>221</v>
      </c>
      <c r="BE78" s="319" t="s">
        <v>221</v>
      </c>
      <c r="BF78" s="319" t="s">
        <v>221</v>
      </c>
      <c r="BG78" s="319" t="s">
        <v>221</v>
      </c>
      <c r="BH78" s="304">
        <v>4483</v>
      </c>
      <c r="BI78" s="304">
        <v>730</v>
      </c>
      <c r="BJ78" s="319" t="s">
        <v>221</v>
      </c>
      <c r="BK78" s="304">
        <v>2333</v>
      </c>
      <c r="BL78" s="304">
        <v>728</v>
      </c>
      <c r="BM78" s="304">
        <v>396</v>
      </c>
      <c r="BN78" s="319" t="s">
        <v>221</v>
      </c>
      <c r="BO78" s="319" t="s">
        <v>221</v>
      </c>
      <c r="BP78" s="319" t="s">
        <v>221</v>
      </c>
      <c r="BQ78" s="319" t="s">
        <v>221</v>
      </c>
      <c r="BR78" s="319" t="s">
        <v>221</v>
      </c>
      <c r="BS78" s="304">
        <v>0</v>
      </c>
      <c r="BT78" s="304">
        <v>83</v>
      </c>
      <c r="BU78" s="304">
        <v>542</v>
      </c>
      <c r="BV78" s="304">
        <v>1370</v>
      </c>
      <c r="BW78" s="304"/>
      <c r="BX78" s="304">
        <v>2161</v>
      </c>
      <c r="BY78" s="304">
        <f>566</f>
        <v>566</v>
      </c>
      <c r="BZ78" s="304"/>
      <c r="CA78" s="304">
        <f>371-1</f>
        <v>370</v>
      </c>
      <c r="CB78" s="304"/>
      <c r="CC78" s="319" t="s">
        <v>221</v>
      </c>
      <c r="CD78" s="319" t="s">
        <v>221</v>
      </c>
      <c r="CE78" s="305">
        <f t="shared" si="8"/>
        <v>103752</v>
      </c>
      <c r="CF78" s="305"/>
    </row>
    <row r="79" spans="1:84" ht="15.9" customHeight="1" x14ac:dyDescent="0.3">
      <c r="A79" s="308" t="s">
        <v>251</v>
      </c>
      <c r="B79" s="297"/>
      <c r="C79" s="333">
        <v>33764</v>
      </c>
      <c r="D79" s="333"/>
      <c r="E79" s="303">
        <v>304417</v>
      </c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>
        <v>814619</v>
      </c>
      <c r="Q79" s="303">
        <v>4266</v>
      </c>
      <c r="R79" s="303">
        <v>50304</v>
      </c>
      <c r="S79" s="303"/>
      <c r="T79" s="303"/>
      <c r="U79" s="303">
        <v>15577</v>
      </c>
      <c r="V79" s="303"/>
      <c r="W79" s="303">
        <v>47489</v>
      </c>
      <c r="X79" s="303">
        <v>60865</v>
      </c>
      <c r="Y79" s="303">
        <v>251867</v>
      </c>
      <c r="Z79" s="303">
        <v>27553</v>
      </c>
      <c r="AA79" s="303">
        <v>24409</v>
      </c>
      <c r="AB79" s="303"/>
      <c r="AC79" s="303">
        <v>2924</v>
      </c>
      <c r="AD79" s="303">
        <v>804</v>
      </c>
      <c r="AE79" s="303">
        <v>16181</v>
      </c>
      <c r="AF79" s="303">
        <v>548</v>
      </c>
      <c r="AG79" s="303">
        <v>94357</v>
      </c>
      <c r="AH79" s="303"/>
      <c r="AI79" s="303"/>
      <c r="AJ79" s="303">
        <v>241945</v>
      </c>
      <c r="AK79" s="303"/>
      <c r="AL79" s="303"/>
      <c r="AM79" s="303"/>
      <c r="AN79" s="303"/>
      <c r="AO79" s="303"/>
      <c r="AP79" s="303">
        <v>384077</v>
      </c>
      <c r="AQ79" s="303"/>
      <c r="AR79" s="303"/>
      <c r="AS79" s="303"/>
      <c r="AT79" s="303"/>
      <c r="AU79" s="303"/>
      <c r="AV79" s="303">
        <v>75762</v>
      </c>
      <c r="AW79" s="303">
        <v>2864</v>
      </c>
      <c r="AX79" s="331" t="s">
        <v>221</v>
      </c>
      <c r="AY79" s="331" t="s">
        <v>221</v>
      </c>
      <c r="AZ79" s="331" t="s">
        <v>221</v>
      </c>
      <c r="BA79" s="319" t="s">
        <v>221</v>
      </c>
      <c r="BB79" s="304"/>
      <c r="BC79" s="304"/>
      <c r="BD79" s="319" t="s">
        <v>221</v>
      </c>
      <c r="BE79" s="319" t="s">
        <v>221</v>
      </c>
      <c r="BF79" s="319" t="s">
        <v>221</v>
      </c>
      <c r="BG79" s="319" t="s">
        <v>221</v>
      </c>
      <c r="BH79" s="304"/>
      <c r="BI79" s="304"/>
      <c r="BJ79" s="319" t="s">
        <v>221</v>
      </c>
      <c r="BK79" s="304"/>
      <c r="BL79" s="304"/>
      <c r="BM79" s="304"/>
      <c r="BN79" s="319" t="s">
        <v>221</v>
      </c>
      <c r="BO79" s="319" t="s">
        <v>221</v>
      </c>
      <c r="BP79" s="319" t="s">
        <v>221</v>
      </c>
      <c r="BQ79" s="319" t="s">
        <v>221</v>
      </c>
      <c r="BR79" s="319" t="s">
        <v>221</v>
      </c>
      <c r="BS79" s="304"/>
      <c r="BT79" s="304"/>
      <c r="BU79" s="304"/>
      <c r="BV79" s="304"/>
      <c r="BW79" s="304"/>
      <c r="BX79" s="304"/>
      <c r="BY79" s="304"/>
      <c r="BZ79" s="304"/>
      <c r="CA79" s="304"/>
      <c r="CB79" s="304"/>
      <c r="CC79" s="319" t="s">
        <v>221</v>
      </c>
      <c r="CD79" s="319" t="s">
        <v>221</v>
      </c>
      <c r="CE79" s="305">
        <f t="shared" si="8"/>
        <v>2454592</v>
      </c>
      <c r="CF79" s="305">
        <f>BA59</f>
        <v>0</v>
      </c>
    </row>
    <row r="80" spans="1:84" ht="15.9" customHeight="1" x14ac:dyDescent="0.3">
      <c r="A80" s="308" t="s">
        <v>252</v>
      </c>
      <c r="B80" s="297"/>
      <c r="C80" s="322">
        <v>84.49</v>
      </c>
      <c r="D80" s="322"/>
      <c r="E80" s="322">
        <v>437.69</v>
      </c>
      <c r="F80" s="322"/>
      <c r="G80" s="322"/>
      <c r="H80" s="322"/>
      <c r="I80" s="322"/>
      <c r="J80" s="322"/>
      <c r="K80" s="322">
        <v>66.42</v>
      </c>
      <c r="L80" s="322"/>
      <c r="M80" s="322"/>
      <c r="N80" s="322"/>
      <c r="O80" s="322"/>
      <c r="P80" s="322">
        <v>56.44</v>
      </c>
      <c r="Q80" s="322">
        <v>63.85</v>
      </c>
      <c r="R80" s="322">
        <v>4.6900000000000004</v>
      </c>
      <c r="S80" s="322">
        <v>0.14000000000000001</v>
      </c>
      <c r="T80" s="322">
        <v>15.55</v>
      </c>
      <c r="U80" s="322"/>
      <c r="V80" s="322"/>
      <c r="W80" s="322"/>
      <c r="X80" s="322"/>
      <c r="Y80" s="322">
        <v>15.96</v>
      </c>
      <c r="Z80" s="322">
        <v>4.45</v>
      </c>
      <c r="AA80" s="322"/>
      <c r="AB80" s="322"/>
      <c r="AC80" s="322"/>
      <c r="AD80" s="322"/>
      <c r="AE80" s="322">
        <v>13.47</v>
      </c>
      <c r="AF80" s="322">
        <v>1.51</v>
      </c>
      <c r="AG80" s="322">
        <v>32.81</v>
      </c>
      <c r="AH80" s="322"/>
      <c r="AI80" s="322"/>
      <c r="AJ80" s="322">
        <v>292.05</v>
      </c>
      <c r="AK80" s="322"/>
      <c r="AL80" s="322"/>
      <c r="AM80" s="322"/>
      <c r="AN80" s="322"/>
      <c r="AO80" s="322"/>
      <c r="AP80" s="322">
        <v>372.43</v>
      </c>
      <c r="AQ80" s="322"/>
      <c r="AR80" s="322"/>
      <c r="AS80" s="322"/>
      <c r="AT80" s="322">
        <v>5.18</v>
      </c>
      <c r="AU80" s="322"/>
      <c r="AV80" s="322">
        <v>25.28</v>
      </c>
      <c r="AW80" s="331" t="s">
        <v>221</v>
      </c>
      <c r="AX80" s="331" t="s">
        <v>221</v>
      </c>
      <c r="AY80" s="331" t="s">
        <v>221</v>
      </c>
      <c r="AZ80" s="331" t="s">
        <v>221</v>
      </c>
      <c r="BA80" s="319" t="s">
        <v>221</v>
      </c>
      <c r="BB80" s="319" t="s">
        <v>221</v>
      </c>
      <c r="BC80" s="319" t="s">
        <v>221</v>
      </c>
      <c r="BD80" s="319" t="s">
        <v>221</v>
      </c>
      <c r="BE80" s="319" t="s">
        <v>221</v>
      </c>
      <c r="BF80" s="319" t="s">
        <v>221</v>
      </c>
      <c r="BG80" s="319" t="s">
        <v>221</v>
      </c>
      <c r="BH80" s="319" t="s">
        <v>221</v>
      </c>
      <c r="BI80" s="319" t="s">
        <v>221</v>
      </c>
      <c r="BJ80" s="319" t="s">
        <v>221</v>
      </c>
      <c r="BK80" s="319" t="s">
        <v>221</v>
      </c>
      <c r="BL80" s="319" t="s">
        <v>221</v>
      </c>
      <c r="BM80" s="319" t="s">
        <v>221</v>
      </c>
      <c r="BN80" s="319" t="s">
        <v>221</v>
      </c>
      <c r="BO80" s="319" t="s">
        <v>221</v>
      </c>
      <c r="BP80" s="319" t="s">
        <v>221</v>
      </c>
      <c r="BQ80" s="319" t="s">
        <v>221</v>
      </c>
      <c r="BR80" s="319" t="s">
        <v>221</v>
      </c>
      <c r="BS80" s="319" t="s">
        <v>221</v>
      </c>
      <c r="BT80" s="319" t="s">
        <v>221</v>
      </c>
      <c r="BU80" s="334"/>
      <c r="BV80" s="334"/>
      <c r="BW80" s="334"/>
      <c r="BX80" s="334"/>
      <c r="BY80" s="334"/>
      <c r="BZ80" s="334"/>
      <c r="CA80" s="334"/>
      <c r="CB80" s="334"/>
      <c r="CC80" s="319" t="s">
        <v>221</v>
      </c>
      <c r="CD80" s="319" t="s">
        <v>221</v>
      </c>
      <c r="CE80" s="335">
        <f t="shared" si="8"/>
        <v>1492.41</v>
      </c>
      <c r="CF80" s="335"/>
    </row>
    <row r="81" spans="1:5" ht="15.9" customHeight="1" x14ac:dyDescent="0.25">
      <c r="A81" s="336" t="s">
        <v>253</v>
      </c>
      <c r="B81" s="336"/>
      <c r="C81" s="336"/>
      <c r="D81" s="336"/>
      <c r="E81" s="336"/>
    </row>
    <row r="82" spans="1:5" ht="12.6" customHeight="1" x14ac:dyDescent="0.25">
      <c r="A82" s="337" t="s">
        <v>254</v>
      </c>
      <c r="B82" s="338"/>
      <c r="C82" s="339" t="s">
        <v>1000</v>
      </c>
      <c r="D82" s="340"/>
      <c r="E82" s="310"/>
    </row>
    <row r="83" spans="1:5" ht="12.6" customHeight="1" x14ac:dyDescent="0.25">
      <c r="A83" s="341" t="s">
        <v>255</v>
      </c>
      <c r="B83" s="338" t="s">
        <v>256</v>
      </c>
      <c r="C83" s="342" t="s">
        <v>1004</v>
      </c>
      <c r="D83" s="340"/>
      <c r="E83" s="310"/>
    </row>
    <row r="84" spans="1:5" ht="12.6" customHeight="1" x14ac:dyDescent="0.25">
      <c r="A84" s="341" t="s">
        <v>257</v>
      </c>
      <c r="B84" s="338" t="s">
        <v>256</v>
      </c>
      <c r="C84" s="343" t="s">
        <v>1005</v>
      </c>
      <c r="D84" s="344"/>
      <c r="E84" s="345"/>
    </row>
    <row r="85" spans="1:5" ht="12.6" customHeight="1" x14ac:dyDescent="0.25">
      <c r="A85" s="341" t="s">
        <v>987</v>
      </c>
      <c r="B85" s="338"/>
      <c r="C85" s="346" t="s">
        <v>1006</v>
      </c>
      <c r="D85" s="344"/>
      <c r="E85" s="345"/>
    </row>
    <row r="86" spans="1:5" ht="12.6" customHeight="1" x14ac:dyDescent="0.25">
      <c r="A86" s="341" t="s">
        <v>988</v>
      </c>
      <c r="B86" s="338" t="s">
        <v>256</v>
      </c>
      <c r="C86" s="347" t="s">
        <v>1007</v>
      </c>
      <c r="D86" s="344"/>
      <c r="E86" s="345"/>
    </row>
    <row r="87" spans="1:5" ht="12.6" customHeight="1" x14ac:dyDescent="0.25">
      <c r="A87" s="341" t="s">
        <v>258</v>
      </c>
      <c r="B87" s="338" t="s">
        <v>256</v>
      </c>
      <c r="C87" s="343" t="s">
        <v>1008</v>
      </c>
      <c r="D87" s="344"/>
      <c r="E87" s="345"/>
    </row>
    <row r="88" spans="1:5" ht="12.6" customHeight="1" x14ac:dyDescent="0.25">
      <c r="A88" s="341" t="s">
        <v>259</v>
      </c>
      <c r="B88" s="338" t="s">
        <v>256</v>
      </c>
      <c r="C88" s="343" t="s">
        <v>1003</v>
      </c>
      <c r="D88" s="344"/>
      <c r="E88" s="345"/>
    </row>
    <row r="89" spans="1:5" ht="12.6" customHeight="1" x14ac:dyDescent="0.25">
      <c r="A89" s="341" t="s">
        <v>260</v>
      </c>
      <c r="B89" s="338" t="s">
        <v>256</v>
      </c>
      <c r="C89" s="343" t="s">
        <v>1009</v>
      </c>
      <c r="D89" s="344"/>
      <c r="E89" s="345"/>
    </row>
    <row r="90" spans="1:5" ht="12.6" customHeight="1" x14ac:dyDescent="0.25">
      <c r="A90" s="341" t="s">
        <v>261</v>
      </c>
      <c r="B90" s="338" t="s">
        <v>256</v>
      </c>
      <c r="C90" s="343" t="s">
        <v>1010</v>
      </c>
      <c r="D90" s="344"/>
      <c r="E90" s="345"/>
    </row>
    <row r="91" spans="1:5" ht="12.6" customHeight="1" x14ac:dyDescent="0.25">
      <c r="A91" s="341" t="s">
        <v>262</v>
      </c>
      <c r="B91" s="338" t="s">
        <v>256</v>
      </c>
      <c r="C91" s="343" t="s">
        <v>1011</v>
      </c>
      <c r="D91" s="344"/>
      <c r="E91" s="345"/>
    </row>
    <row r="92" spans="1:5" ht="12.6" customHeight="1" x14ac:dyDescent="0.25">
      <c r="A92" s="341" t="s">
        <v>263</v>
      </c>
      <c r="B92" s="338" t="s">
        <v>256</v>
      </c>
      <c r="C92" s="348" t="s">
        <v>1012</v>
      </c>
      <c r="D92" s="340"/>
      <c r="E92" s="310"/>
    </row>
    <row r="93" spans="1:5" ht="12.6" customHeight="1" x14ac:dyDescent="0.25">
      <c r="A93" s="341" t="s">
        <v>264</v>
      </c>
      <c r="B93" s="338" t="s">
        <v>256</v>
      </c>
      <c r="C93" s="349" t="s">
        <v>1013</v>
      </c>
      <c r="D93" s="340"/>
      <c r="E93" s="310"/>
    </row>
    <row r="94" spans="1:5" ht="12.6" customHeight="1" x14ac:dyDescent="0.25">
      <c r="A94" s="341"/>
      <c r="B94" s="341"/>
      <c r="C94" s="350"/>
      <c r="D94" s="310"/>
      <c r="E94" s="310"/>
    </row>
    <row r="95" spans="1:5" ht="12.6" customHeight="1" x14ac:dyDescent="0.25">
      <c r="A95" s="336" t="s">
        <v>265</v>
      </c>
      <c r="B95" s="336"/>
      <c r="C95" s="336"/>
      <c r="D95" s="336"/>
      <c r="E95" s="336"/>
    </row>
    <row r="96" spans="1:5" ht="12.6" customHeight="1" x14ac:dyDescent="0.25">
      <c r="A96" s="351" t="s">
        <v>266</v>
      </c>
      <c r="B96" s="351"/>
      <c r="C96" s="351"/>
      <c r="D96" s="351"/>
      <c r="E96" s="351"/>
    </row>
    <row r="97" spans="1:5" ht="12.6" customHeight="1" x14ac:dyDescent="0.25">
      <c r="A97" s="341" t="s">
        <v>267</v>
      </c>
      <c r="B97" s="338" t="s">
        <v>256</v>
      </c>
      <c r="C97" s="352"/>
      <c r="D97" s="310"/>
      <c r="E97" s="310"/>
    </row>
    <row r="98" spans="1:5" ht="12.6" customHeight="1" x14ac:dyDescent="0.25">
      <c r="A98" s="341" t="s">
        <v>259</v>
      </c>
      <c r="B98" s="338" t="s">
        <v>256</v>
      </c>
      <c r="C98" s="352"/>
      <c r="D98" s="310"/>
      <c r="E98" s="310"/>
    </row>
    <row r="99" spans="1:5" ht="12.6" customHeight="1" x14ac:dyDescent="0.25">
      <c r="A99" s="341" t="s">
        <v>268</v>
      </c>
      <c r="B99" s="338" t="s">
        <v>256</v>
      </c>
      <c r="C99" s="352"/>
      <c r="D99" s="310"/>
      <c r="E99" s="310"/>
    </row>
    <row r="100" spans="1:5" ht="12.6" customHeight="1" x14ac:dyDescent="0.25">
      <c r="A100" s="351" t="s">
        <v>269</v>
      </c>
      <c r="B100" s="351"/>
      <c r="C100" s="351"/>
      <c r="D100" s="351"/>
      <c r="E100" s="351"/>
    </row>
    <row r="101" spans="1:5" ht="12.6" customHeight="1" x14ac:dyDescent="0.25">
      <c r="A101" s="341" t="s">
        <v>270</v>
      </c>
      <c r="B101" s="338" t="s">
        <v>256</v>
      </c>
      <c r="C101" s="352"/>
      <c r="D101" s="310"/>
      <c r="E101" s="310"/>
    </row>
    <row r="102" spans="1:5" ht="12.6" customHeight="1" x14ac:dyDescent="0.25">
      <c r="A102" s="341" t="s">
        <v>132</v>
      </c>
      <c r="B102" s="338" t="s">
        <v>256</v>
      </c>
      <c r="C102" s="353">
        <v>1</v>
      </c>
      <c r="D102" s="310"/>
      <c r="E102" s="310"/>
    </row>
    <row r="103" spans="1:5" ht="12.6" customHeight="1" x14ac:dyDescent="0.25">
      <c r="A103" s="351" t="s">
        <v>271</v>
      </c>
      <c r="B103" s="351"/>
      <c r="C103" s="351"/>
      <c r="D103" s="351"/>
      <c r="E103" s="351"/>
    </row>
    <row r="104" spans="1:5" ht="12.6" customHeight="1" x14ac:dyDescent="0.25">
      <c r="A104" s="341" t="s">
        <v>272</v>
      </c>
      <c r="B104" s="338" t="s">
        <v>256</v>
      </c>
      <c r="C104" s="352"/>
      <c r="D104" s="310"/>
      <c r="E104" s="310"/>
    </row>
    <row r="105" spans="1:5" ht="12.6" customHeight="1" x14ac:dyDescent="0.25">
      <c r="A105" s="341" t="s">
        <v>273</v>
      </c>
      <c r="B105" s="338" t="s">
        <v>256</v>
      </c>
      <c r="C105" s="352"/>
      <c r="D105" s="310"/>
      <c r="E105" s="310"/>
    </row>
    <row r="106" spans="1:5" ht="12.6" customHeight="1" x14ac:dyDescent="0.25">
      <c r="A106" s="341" t="s">
        <v>274</v>
      </c>
      <c r="B106" s="338" t="s">
        <v>256</v>
      </c>
      <c r="C106" s="352"/>
      <c r="D106" s="310"/>
      <c r="E106" s="310"/>
    </row>
    <row r="107" spans="1:5" ht="21.75" customHeight="1" x14ac:dyDescent="0.25">
      <c r="A107" s="341"/>
      <c r="B107" s="338"/>
      <c r="C107" s="354"/>
      <c r="D107" s="310"/>
      <c r="E107" s="310"/>
    </row>
    <row r="108" spans="1:5" ht="13.5" customHeight="1" x14ac:dyDescent="0.25">
      <c r="A108" s="355" t="s">
        <v>275</v>
      </c>
      <c r="B108" s="336"/>
      <c r="C108" s="336"/>
      <c r="D108" s="336"/>
      <c r="E108" s="336"/>
    </row>
    <row r="109" spans="1:5" ht="13.5" customHeight="1" x14ac:dyDescent="0.25">
      <c r="A109" s="341"/>
      <c r="B109" s="338"/>
      <c r="C109" s="354"/>
      <c r="D109" s="310"/>
      <c r="E109" s="310"/>
    </row>
    <row r="110" spans="1:5" ht="12.6" customHeight="1" x14ac:dyDescent="0.25">
      <c r="A110" s="337" t="s">
        <v>276</v>
      </c>
      <c r="B110" s="310"/>
      <c r="C110" s="356" t="s">
        <v>277</v>
      </c>
      <c r="D110" s="300" t="s">
        <v>215</v>
      </c>
      <c r="E110" s="310"/>
    </row>
    <row r="111" spans="1:5" ht="12.6" customHeight="1" x14ac:dyDescent="0.25">
      <c r="A111" s="341" t="s">
        <v>278</v>
      </c>
      <c r="B111" s="338" t="s">
        <v>256</v>
      </c>
      <c r="C111" s="352">
        <v>12460</v>
      </c>
      <c r="D111" s="357">
        <v>67588</v>
      </c>
      <c r="E111" s="310"/>
    </row>
    <row r="112" spans="1:5" ht="12.6" customHeight="1" x14ac:dyDescent="0.25">
      <c r="A112" s="341" t="s">
        <v>279</v>
      </c>
      <c r="B112" s="338" t="s">
        <v>256</v>
      </c>
      <c r="C112" s="352">
        <v>70</v>
      </c>
      <c r="D112" s="357">
        <v>11791</v>
      </c>
      <c r="E112" s="310"/>
    </row>
    <row r="113" spans="1:5" ht="12.6" customHeight="1" x14ac:dyDescent="0.25">
      <c r="A113" s="341" t="s">
        <v>280</v>
      </c>
      <c r="B113" s="338" t="s">
        <v>256</v>
      </c>
      <c r="C113" s="352"/>
      <c r="D113" s="357"/>
      <c r="E113" s="310"/>
    </row>
    <row r="114" spans="1:5" ht="12.6" customHeight="1" x14ac:dyDescent="0.25">
      <c r="A114" s="341" t="s">
        <v>281</v>
      </c>
      <c r="B114" s="338" t="s">
        <v>256</v>
      </c>
      <c r="C114" s="352"/>
      <c r="D114" s="357"/>
      <c r="E114" s="310"/>
    </row>
    <row r="115" spans="1:5" ht="12.6" customHeight="1" x14ac:dyDescent="0.25">
      <c r="A115" s="337" t="s">
        <v>282</v>
      </c>
      <c r="B115" s="310"/>
      <c r="C115" s="356" t="s">
        <v>167</v>
      </c>
      <c r="D115" s="310"/>
      <c r="E115" s="310"/>
    </row>
    <row r="116" spans="1:5" ht="12.6" customHeight="1" x14ac:dyDescent="0.25">
      <c r="A116" s="341" t="s">
        <v>283</v>
      </c>
      <c r="B116" s="338" t="s">
        <v>256</v>
      </c>
      <c r="C116" s="352">
        <v>28</v>
      </c>
      <c r="D116" s="310"/>
      <c r="E116" s="310"/>
    </row>
    <row r="117" spans="1:5" ht="12.6" customHeight="1" x14ac:dyDescent="0.25">
      <c r="A117" s="341" t="s">
        <v>284</v>
      </c>
      <c r="B117" s="338" t="s">
        <v>256</v>
      </c>
      <c r="C117" s="352"/>
      <c r="D117" s="310"/>
      <c r="E117" s="310"/>
    </row>
    <row r="118" spans="1:5" ht="12.6" customHeight="1" x14ac:dyDescent="0.25">
      <c r="A118" s="341" t="s">
        <v>975</v>
      </c>
      <c r="B118" s="338" t="s">
        <v>256</v>
      </c>
      <c r="C118" s="352">
        <v>183</v>
      </c>
      <c r="D118" s="310"/>
      <c r="E118" s="310"/>
    </row>
    <row r="119" spans="1:5" ht="12.6" customHeight="1" x14ac:dyDescent="0.25">
      <c r="A119" s="341" t="s">
        <v>285</v>
      </c>
      <c r="B119" s="338" t="s">
        <v>256</v>
      </c>
      <c r="C119" s="352"/>
      <c r="D119" s="310"/>
      <c r="E119" s="310"/>
    </row>
    <row r="120" spans="1:5" ht="12.6" customHeight="1" x14ac:dyDescent="0.25">
      <c r="A120" s="341" t="s">
        <v>286</v>
      </c>
      <c r="B120" s="338" t="s">
        <v>256</v>
      </c>
      <c r="C120" s="352"/>
      <c r="D120" s="310"/>
      <c r="E120" s="310"/>
    </row>
    <row r="121" spans="1:5" ht="12.6" customHeight="1" x14ac:dyDescent="0.25">
      <c r="A121" s="341" t="s">
        <v>287</v>
      </c>
      <c r="B121" s="338" t="s">
        <v>256</v>
      </c>
      <c r="C121" s="352"/>
      <c r="D121" s="310"/>
      <c r="E121" s="310"/>
    </row>
    <row r="122" spans="1:5" ht="12.6" customHeight="1" x14ac:dyDescent="0.25">
      <c r="A122" s="341" t="s">
        <v>97</v>
      </c>
      <c r="B122" s="338" t="s">
        <v>256</v>
      </c>
      <c r="C122" s="352"/>
      <c r="D122" s="310"/>
      <c r="E122" s="310"/>
    </row>
    <row r="123" spans="1:5" ht="12.6" customHeight="1" x14ac:dyDescent="0.25">
      <c r="A123" s="341" t="s">
        <v>288</v>
      </c>
      <c r="B123" s="338" t="s">
        <v>256</v>
      </c>
      <c r="C123" s="352">
        <v>35</v>
      </c>
      <c r="D123" s="310"/>
      <c r="E123" s="310"/>
    </row>
    <row r="124" spans="1:5" ht="12.6" customHeight="1" x14ac:dyDescent="0.25">
      <c r="A124" s="341" t="s">
        <v>289</v>
      </c>
      <c r="B124" s="338"/>
      <c r="C124" s="352"/>
      <c r="D124" s="310"/>
      <c r="E124" s="310"/>
    </row>
    <row r="125" spans="1:5" ht="12.6" customHeight="1" x14ac:dyDescent="0.25">
      <c r="A125" s="341" t="s">
        <v>280</v>
      </c>
      <c r="B125" s="338" t="s">
        <v>256</v>
      </c>
      <c r="C125" s="352"/>
      <c r="D125" s="310"/>
      <c r="E125" s="310"/>
    </row>
    <row r="126" spans="1:5" ht="12.6" customHeight="1" x14ac:dyDescent="0.25">
      <c r="A126" s="341" t="s">
        <v>290</v>
      </c>
      <c r="B126" s="338" t="s">
        <v>256</v>
      </c>
      <c r="C126" s="352"/>
      <c r="D126" s="310"/>
      <c r="E126" s="310"/>
    </row>
    <row r="127" spans="1:5" ht="12.6" customHeight="1" x14ac:dyDescent="0.25">
      <c r="A127" s="341" t="s">
        <v>291</v>
      </c>
      <c r="B127" s="310"/>
      <c r="C127" s="350"/>
      <c r="D127" s="310"/>
      <c r="E127" s="310">
        <f>SUM(C116:C126)</f>
        <v>246</v>
      </c>
    </row>
    <row r="128" spans="1:5" ht="12.6" customHeight="1" x14ac:dyDescent="0.25">
      <c r="A128" s="341" t="s">
        <v>292</v>
      </c>
      <c r="B128" s="338" t="s">
        <v>256</v>
      </c>
      <c r="C128" s="352">
        <v>371</v>
      </c>
      <c r="D128" s="310"/>
      <c r="E128" s="310"/>
    </row>
    <row r="129" spans="1:6" ht="12.6" customHeight="1" x14ac:dyDescent="0.25">
      <c r="A129" s="341" t="s">
        <v>293</v>
      </c>
      <c r="B129" s="338" t="s">
        <v>256</v>
      </c>
      <c r="C129" s="352"/>
      <c r="D129" s="310"/>
      <c r="E129" s="310"/>
    </row>
    <row r="130" spans="1:6" ht="12.6" customHeight="1" x14ac:dyDescent="0.25">
      <c r="A130" s="341"/>
      <c r="B130" s="310"/>
      <c r="C130" s="350"/>
      <c r="D130" s="310"/>
      <c r="E130" s="310"/>
    </row>
    <row r="131" spans="1:6" ht="12.6" customHeight="1" x14ac:dyDescent="0.25">
      <c r="A131" s="341" t="s">
        <v>294</v>
      </c>
      <c r="B131" s="338" t="s">
        <v>256</v>
      </c>
      <c r="C131" s="352"/>
      <c r="D131" s="310"/>
      <c r="E131" s="310"/>
    </row>
    <row r="132" spans="1:6" ht="12.6" customHeight="1" x14ac:dyDescent="0.25">
      <c r="A132" s="341"/>
      <c r="B132" s="341"/>
      <c r="C132" s="350"/>
      <c r="D132" s="310"/>
      <c r="E132" s="310"/>
    </row>
    <row r="133" spans="1:6" ht="12.6" customHeight="1" x14ac:dyDescent="0.25">
      <c r="A133" s="341"/>
      <c r="B133" s="341"/>
      <c r="C133" s="350"/>
      <c r="D133" s="310"/>
      <c r="E133" s="310"/>
    </row>
    <row r="134" spans="1:6" ht="12.6" customHeight="1" x14ac:dyDescent="0.25">
      <c r="A134" s="341"/>
      <c r="B134" s="341"/>
      <c r="C134" s="350"/>
      <c r="D134" s="310"/>
      <c r="E134" s="310"/>
    </row>
    <row r="135" spans="1:6" ht="18" customHeight="1" x14ac:dyDescent="0.25">
      <c r="A135" s="341"/>
      <c r="B135" s="341"/>
      <c r="C135" s="350"/>
      <c r="D135" s="310"/>
      <c r="E135" s="310"/>
    </row>
    <row r="136" spans="1:6" ht="12.6" customHeight="1" x14ac:dyDescent="0.25">
      <c r="A136" s="336" t="s">
        <v>976</v>
      </c>
      <c r="B136" s="355"/>
      <c r="C136" s="355"/>
      <c r="D136" s="355"/>
      <c r="E136" s="355"/>
    </row>
    <row r="137" spans="1:6" ht="12.6" customHeight="1" x14ac:dyDescent="0.25">
      <c r="A137" s="358" t="s">
        <v>295</v>
      </c>
      <c r="B137" s="359" t="s">
        <v>296</v>
      </c>
      <c r="C137" s="360" t="s">
        <v>297</v>
      </c>
      <c r="D137" s="359" t="s">
        <v>132</v>
      </c>
      <c r="E137" s="359" t="s">
        <v>203</v>
      </c>
    </row>
    <row r="138" spans="1:6" ht="12.6" customHeight="1" x14ac:dyDescent="0.25">
      <c r="A138" s="341" t="s">
        <v>277</v>
      </c>
      <c r="B138" s="357">
        <v>7057</v>
      </c>
      <c r="C138" s="352">
        <v>1268</v>
      </c>
      <c r="D138" s="357">
        <v>4135</v>
      </c>
      <c r="E138" s="310">
        <f>SUM(B138:D138)</f>
        <v>12460</v>
      </c>
    </row>
    <row r="139" spans="1:6" ht="12.6" customHeight="1" x14ac:dyDescent="0.25">
      <c r="A139" s="341" t="s">
        <v>215</v>
      </c>
      <c r="B139" s="357">
        <v>41294</v>
      </c>
      <c r="C139" s="352">
        <v>9195</v>
      </c>
      <c r="D139" s="357">
        <v>17099</v>
      </c>
      <c r="E139" s="310">
        <f>SUM(B139:D139)</f>
        <v>67588</v>
      </c>
    </row>
    <row r="140" spans="1:6" ht="12.6" customHeight="1" x14ac:dyDescent="0.25">
      <c r="A140" s="341" t="s">
        <v>298</v>
      </c>
      <c r="B140" s="357"/>
      <c r="C140" s="357"/>
      <c r="D140" s="357"/>
      <c r="E140" s="310">
        <f>SUM(B140:D140)</f>
        <v>0</v>
      </c>
    </row>
    <row r="141" spans="1:6" ht="12.6" customHeight="1" x14ac:dyDescent="0.25">
      <c r="A141" s="341" t="s">
        <v>245</v>
      </c>
      <c r="B141" s="357">
        <v>439612922</v>
      </c>
      <c r="C141" s="352">
        <f>83307978.5-C147</f>
        <v>74308692.810000002</v>
      </c>
      <c r="D141" s="357">
        <f>243361092-D147</f>
        <v>243120785.58000001</v>
      </c>
      <c r="E141" s="310">
        <f>SUM(B141:D141)</f>
        <v>757042400.38999999</v>
      </c>
      <c r="F141" s="279"/>
    </row>
    <row r="142" spans="1:6" ht="12.6" customHeight="1" x14ac:dyDescent="0.25">
      <c r="A142" s="341" t="s">
        <v>246</v>
      </c>
      <c r="B142" s="357">
        <v>693296080</v>
      </c>
      <c r="C142" s="352">
        <f>98416598-C148</f>
        <v>98416598</v>
      </c>
      <c r="D142" s="357">
        <f>898392186-D148</f>
        <v>897873295.30999994</v>
      </c>
      <c r="E142" s="310">
        <f>SUM(B142:D142)</f>
        <v>1689585973.3099999</v>
      </c>
      <c r="F142" s="279"/>
    </row>
    <row r="143" spans="1:6" ht="12.6" customHeight="1" x14ac:dyDescent="0.25">
      <c r="A143" s="358" t="s">
        <v>299</v>
      </c>
      <c r="B143" s="359" t="s">
        <v>296</v>
      </c>
      <c r="C143" s="360" t="s">
        <v>297</v>
      </c>
      <c r="D143" s="359" t="s">
        <v>132</v>
      </c>
      <c r="E143" s="359" t="s">
        <v>203</v>
      </c>
    </row>
    <row r="144" spans="1:6" ht="12.6" customHeight="1" x14ac:dyDescent="0.25">
      <c r="A144" s="341" t="s">
        <v>277</v>
      </c>
      <c r="B144" s="357"/>
      <c r="C144" s="352">
        <v>68</v>
      </c>
      <c r="D144" s="357">
        <v>2</v>
      </c>
      <c r="E144" s="310">
        <f>SUM(B144:D144)</f>
        <v>70</v>
      </c>
    </row>
    <row r="145" spans="1:6" ht="12.6" customHeight="1" x14ac:dyDescent="0.25">
      <c r="A145" s="341" t="s">
        <v>215</v>
      </c>
      <c r="B145" s="357"/>
      <c r="C145" s="352">
        <v>11766</v>
      </c>
      <c r="D145" s="357">
        <v>25</v>
      </c>
      <c r="E145" s="310">
        <f>SUM(B145:D145)</f>
        <v>11791</v>
      </c>
    </row>
    <row r="146" spans="1:6" ht="12.6" customHeight="1" x14ac:dyDescent="0.25">
      <c r="A146" s="341" t="s">
        <v>298</v>
      </c>
      <c r="B146" s="357"/>
      <c r="C146" s="352"/>
      <c r="D146" s="357"/>
      <c r="E146" s="310">
        <f>SUM(B146:D146)</f>
        <v>0</v>
      </c>
    </row>
    <row r="147" spans="1:6" ht="12.6" customHeight="1" x14ac:dyDescent="0.25">
      <c r="A147" s="341" t="s">
        <v>245</v>
      </c>
      <c r="B147" s="357"/>
      <c r="C147" s="352">
        <v>8999285.6899999995</v>
      </c>
      <c r="D147" s="357">
        <v>240306.42</v>
      </c>
      <c r="E147" s="310">
        <f>SUM(B147:D147)</f>
        <v>9239592.1099999994</v>
      </c>
      <c r="F147" s="265">
        <f>E141+E147</f>
        <v>766281992.5</v>
      </c>
    </row>
    <row r="148" spans="1:6" ht="12.6" customHeight="1" x14ac:dyDescent="0.25">
      <c r="A148" s="341" t="s">
        <v>246</v>
      </c>
      <c r="B148" s="357"/>
      <c r="C148" s="352">
        <v>0</v>
      </c>
      <c r="D148" s="357">
        <v>518890.69</v>
      </c>
      <c r="E148" s="310">
        <f>SUM(B148:D148)</f>
        <v>518890.69</v>
      </c>
      <c r="F148" s="265">
        <f>E142+E148</f>
        <v>1690104864</v>
      </c>
    </row>
    <row r="149" spans="1:6" ht="12.6" customHeight="1" x14ac:dyDescent="0.25">
      <c r="A149" s="358" t="s">
        <v>300</v>
      </c>
      <c r="B149" s="359" t="s">
        <v>296</v>
      </c>
      <c r="C149" s="360" t="s">
        <v>297</v>
      </c>
      <c r="D149" s="359" t="s">
        <v>132</v>
      </c>
      <c r="E149" s="359" t="s">
        <v>203</v>
      </c>
    </row>
    <row r="150" spans="1:6" ht="12.6" customHeight="1" x14ac:dyDescent="0.25">
      <c r="A150" s="341" t="s">
        <v>277</v>
      </c>
      <c r="B150" s="357"/>
      <c r="C150" s="352"/>
      <c r="D150" s="357"/>
      <c r="E150" s="310">
        <f>SUM(B150:D150)</f>
        <v>0</v>
      </c>
    </row>
    <row r="151" spans="1:6" ht="12.6" customHeight="1" x14ac:dyDescent="0.25">
      <c r="A151" s="341" t="s">
        <v>215</v>
      </c>
      <c r="B151" s="357"/>
      <c r="C151" s="352"/>
      <c r="D151" s="357"/>
      <c r="E151" s="310">
        <f>SUM(B151:D151)</f>
        <v>0</v>
      </c>
    </row>
    <row r="152" spans="1:6" ht="12.6" customHeight="1" x14ac:dyDescent="0.25">
      <c r="A152" s="341" t="s">
        <v>298</v>
      </c>
      <c r="B152" s="357"/>
      <c r="C152" s="352"/>
      <c r="D152" s="357"/>
      <c r="E152" s="310">
        <f>SUM(B152:D152)</f>
        <v>0</v>
      </c>
    </row>
    <row r="153" spans="1:6" ht="12.6" customHeight="1" x14ac:dyDescent="0.25">
      <c r="A153" s="341" t="s">
        <v>245</v>
      </c>
      <c r="B153" s="357"/>
      <c r="C153" s="352"/>
      <c r="D153" s="357"/>
      <c r="E153" s="310">
        <f>SUM(B153:D153)</f>
        <v>0</v>
      </c>
    </row>
    <row r="154" spans="1:6" ht="12.6" customHeight="1" x14ac:dyDescent="0.25">
      <c r="A154" s="341" t="s">
        <v>246</v>
      </c>
      <c r="B154" s="357"/>
      <c r="C154" s="352"/>
      <c r="D154" s="357"/>
      <c r="E154" s="310">
        <f>SUM(B154:D154)</f>
        <v>0</v>
      </c>
    </row>
    <row r="155" spans="1:6" ht="12.6" customHeight="1" x14ac:dyDescent="0.25">
      <c r="A155" s="361"/>
      <c r="B155" s="361"/>
      <c r="C155" s="362"/>
      <c r="D155" s="363"/>
      <c r="E155" s="310"/>
    </row>
    <row r="156" spans="1:6" ht="12.6" customHeight="1" x14ac:dyDescent="0.25">
      <c r="A156" s="358" t="s">
        <v>301</v>
      </c>
      <c r="B156" s="359" t="s">
        <v>302</v>
      </c>
      <c r="C156" s="360" t="s">
        <v>303</v>
      </c>
      <c r="D156" s="310"/>
      <c r="E156" s="310"/>
    </row>
    <row r="157" spans="1:6" ht="12.6" customHeight="1" x14ac:dyDescent="0.25">
      <c r="A157" s="361" t="s">
        <v>304</v>
      </c>
      <c r="B157" s="357"/>
      <c r="C157" s="357"/>
      <c r="D157" s="310"/>
      <c r="E157" s="310"/>
    </row>
    <row r="158" spans="1:6" ht="12.6" customHeight="1" x14ac:dyDescent="0.25">
      <c r="A158" s="361"/>
      <c r="B158" s="363"/>
      <c r="C158" s="362"/>
      <c r="D158" s="310"/>
      <c r="E158" s="310"/>
    </row>
    <row r="159" spans="1:6" ht="12.6" customHeight="1" x14ac:dyDescent="0.25">
      <c r="A159" s="361"/>
      <c r="B159" s="361"/>
      <c r="C159" s="362"/>
      <c r="D159" s="363"/>
      <c r="E159" s="310"/>
    </row>
    <row r="160" spans="1:6" ht="12.6" customHeight="1" x14ac:dyDescent="0.25">
      <c r="A160" s="361"/>
      <c r="B160" s="361"/>
      <c r="C160" s="362"/>
      <c r="D160" s="363"/>
      <c r="E160" s="310"/>
    </row>
    <row r="161" spans="1:5" ht="12.6" customHeight="1" x14ac:dyDescent="0.25">
      <c r="A161" s="361"/>
      <c r="B161" s="361"/>
      <c r="C161" s="362"/>
      <c r="D161" s="363"/>
      <c r="E161" s="310"/>
    </row>
    <row r="162" spans="1:5" ht="21.75" customHeight="1" x14ac:dyDescent="0.25">
      <c r="A162" s="361"/>
      <c r="B162" s="361"/>
      <c r="C162" s="362"/>
      <c r="D162" s="363"/>
      <c r="E162" s="310"/>
    </row>
    <row r="163" spans="1:5" ht="11.4" customHeight="1" x14ac:dyDescent="0.25">
      <c r="A163" s="355" t="s">
        <v>305</v>
      </c>
      <c r="B163" s="336"/>
      <c r="C163" s="336"/>
      <c r="D163" s="336"/>
      <c r="E163" s="336"/>
    </row>
    <row r="164" spans="1:5" ht="11.4" customHeight="1" x14ac:dyDescent="0.25">
      <c r="A164" s="351" t="s">
        <v>306</v>
      </c>
      <c r="B164" s="351"/>
      <c r="C164" s="351"/>
      <c r="D164" s="351"/>
      <c r="E164" s="351"/>
    </row>
    <row r="165" spans="1:5" ht="11.4" customHeight="1" x14ac:dyDescent="0.25">
      <c r="A165" s="341" t="s">
        <v>307</v>
      </c>
      <c r="B165" s="338" t="s">
        <v>256</v>
      </c>
      <c r="C165" s="352">
        <v>32776295</v>
      </c>
      <c r="D165" s="310"/>
      <c r="E165" s="310"/>
    </row>
    <row r="166" spans="1:5" ht="12" customHeight="1" x14ac:dyDescent="0.25">
      <c r="A166" s="341" t="s">
        <v>308</v>
      </c>
      <c r="B166" s="338" t="s">
        <v>256</v>
      </c>
      <c r="C166" s="352">
        <v>775929</v>
      </c>
      <c r="D166" s="310"/>
      <c r="E166" s="310"/>
    </row>
    <row r="167" spans="1:5" ht="12" customHeight="1" x14ac:dyDescent="0.25">
      <c r="A167" s="361" t="s">
        <v>309</v>
      </c>
      <c r="B167" s="338" t="s">
        <v>256</v>
      </c>
      <c r="C167" s="352">
        <v>1597603</v>
      </c>
      <c r="D167" s="310"/>
      <c r="E167" s="310"/>
    </row>
    <row r="168" spans="1:5" ht="11.4" customHeight="1" x14ac:dyDescent="0.25">
      <c r="A168" s="341" t="s">
        <v>310</v>
      </c>
      <c r="B168" s="338" t="s">
        <v>256</v>
      </c>
      <c r="C168" s="352">
        <v>44720252</v>
      </c>
      <c r="D168" s="310"/>
      <c r="E168" s="310"/>
    </row>
    <row r="169" spans="1:5" ht="11.4" customHeight="1" x14ac:dyDescent="0.25">
      <c r="A169" s="341" t="s">
        <v>311</v>
      </c>
      <c r="B169" s="338" t="s">
        <v>256</v>
      </c>
      <c r="C169" s="352">
        <v>613999</v>
      </c>
      <c r="D169" s="310"/>
      <c r="E169" s="310"/>
    </row>
    <row r="170" spans="1:5" ht="11.4" customHeight="1" x14ac:dyDescent="0.25">
      <c r="A170" s="341" t="s">
        <v>312</v>
      </c>
      <c r="B170" s="338" t="s">
        <v>256</v>
      </c>
      <c r="C170" s="352">
        <v>23540670</v>
      </c>
      <c r="D170" s="310"/>
      <c r="E170" s="310"/>
    </row>
    <row r="171" spans="1:5" ht="11.4" customHeight="1" x14ac:dyDescent="0.25">
      <c r="A171" s="341" t="s">
        <v>313</v>
      </c>
      <c r="B171" s="338" t="s">
        <v>256</v>
      </c>
      <c r="C171" s="352">
        <f>13876300-2325393</f>
        <v>11550907</v>
      </c>
      <c r="D171" s="310"/>
      <c r="E171" s="310"/>
    </row>
    <row r="172" spans="1:5" ht="11.4" customHeight="1" x14ac:dyDescent="0.25">
      <c r="A172" s="341" t="s">
        <v>313</v>
      </c>
      <c r="B172" s="338" t="s">
        <v>256</v>
      </c>
      <c r="C172" s="352"/>
      <c r="D172" s="310"/>
      <c r="E172" s="310"/>
    </row>
    <row r="173" spans="1:5" ht="11.4" customHeight="1" x14ac:dyDescent="0.25">
      <c r="A173" s="341" t="s">
        <v>203</v>
      </c>
      <c r="B173" s="310"/>
      <c r="C173" s="350"/>
      <c r="D173" s="310">
        <f>SUM(C165:C172)</f>
        <v>115575655</v>
      </c>
      <c r="E173" s="310"/>
    </row>
    <row r="174" spans="1:5" ht="11.4" customHeight="1" x14ac:dyDescent="0.25">
      <c r="A174" s="351" t="s">
        <v>314</v>
      </c>
      <c r="B174" s="351"/>
      <c r="C174" s="351"/>
      <c r="D174" s="351"/>
      <c r="E174" s="351"/>
    </row>
    <row r="175" spans="1:5" ht="11.4" customHeight="1" x14ac:dyDescent="0.25">
      <c r="A175" s="341" t="s">
        <v>315</v>
      </c>
      <c r="B175" s="338" t="s">
        <v>256</v>
      </c>
      <c r="C175" s="352">
        <f>7276434+884089+3027813+538260-40844+23063</f>
        <v>11708815</v>
      </c>
      <c r="D175" s="310"/>
      <c r="E175" s="310"/>
    </row>
    <row r="176" spans="1:5" ht="11.4" customHeight="1" x14ac:dyDescent="0.25">
      <c r="A176" s="341" t="s">
        <v>316</v>
      </c>
      <c r="B176" s="338" t="s">
        <v>256</v>
      </c>
      <c r="C176" s="352">
        <f>14922.97+4587929.58+195382.47+853584.28</f>
        <v>5651819.2999999998</v>
      </c>
      <c r="D176" s="310"/>
      <c r="E176" s="310"/>
    </row>
    <row r="177" spans="1:5" ht="11.4" customHeight="1" x14ac:dyDescent="0.25">
      <c r="A177" s="341" t="s">
        <v>203</v>
      </c>
      <c r="B177" s="310"/>
      <c r="C177" s="350"/>
      <c r="D177" s="310">
        <f>SUM(C175:C176)</f>
        <v>17360634.300000001</v>
      </c>
      <c r="E177" s="310"/>
    </row>
    <row r="178" spans="1:5" ht="11.4" customHeight="1" x14ac:dyDescent="0.25">
      <c r="A178" s="351" t="s">
        <v>317</v>
      </c>
      <c r="B178" s="351"/>
      <c r="C178" s="351"/>
      <c r="D178" s="351"/>
      <c r="E178" s="351"/>
    </row>
    <row r="179" spans="1:5" ht="11.4" customHeight="1" x14ac:dyDescent="0.25">
      <c r="A179" s="341" t="s">
        <v>318</v>
      </c>
      <c r="B179" s="338" t="s">
        <v>256</v>
      </c>
      <c r="C179" s="352">
        <f>1072601.72+4128476.48</f>
        <v>5201078.2</v>
      </c>
      <c r="D179" s="310"/>
      <c r="E179" s="310"/>
    </row>
    <row r="180" spans="1:5" ht="11.4" customHeight="1" x14ac:dyDescent="0.25">
      <c r="A180" s="341" t="s">
        <v>319</v>
      </c>
      <c r="B180" s="338" t="s">
        <v>256</v>
      </c>
      <c r="C180" s="352">
        <f>235998.1+1087256.89+708611.8</f>
        <v>2031866.79</v>
      </c>
      <c r="D180" s="310"/>
      <c r="E180" s="310"/>
    </row>
    <row r="181" spans="1:5" ht="11.4" customHeight="1" x14ac:dyDescent="0.25">
      <c r="A181" s="341" t="s">
        <v>203</v>
      </c>
      <c r="B181" s="310"/>
      <c r="C181" s="350"/>
      <c r="D181" s="310">
        <f>SUM(C179:C180)</f>
        <v>7232944.9900000002</v>
      </c>
      <c r="E181" s="310"/>
    </row>
    <row r="182" spans="1:5" ht="11.4" customHeight="1" x14ac:dyDescent="0.25">
      <c r="A182" s="351" t="s">
        <v>320</v>
      </c>
      <c r="B182" s="351"/>
      <c r="C182" s="351"/>
      <c r="D182" s="351"/>
      <c r="E182" s="351"/>
    </row>
    <row r="183" spans="1:5" ht="11.4" customHeight="1" x14ac:dyDescent="0.25">
      <c r="A183" s="341" t="s">
        <v>321</v>
      </c>
      <c r="B183" s="338" t="s">
        <v>256</v>
      </c>
      <c r="C183" s="352">
        <v>793807.16</v>
      </c>
      <c r="D183" s="310"/>
      <c r="E183" s="310"/>
    </row>
    <row r="184" spans="1:5" ht="15" customHeight="1" x14ac:dyDescent="0.25">
      <c r="A184" s="341" t="s">
        <v>322</v>
      </c>
      <c r="B184" s="338" t="s">
        <v>256</v>
      </c>
      <c r="C184" s="352">
        <f>173140.2+506540.69+2146892.01+9329543.87+124009.15+129758.98+21119.89+12940674</f>
        <v>25371678.789999999</v>
      </c>
      <c r="D184" s="310"/>
      <c r="E184" s="310"/>
    </row>
    <row r="185" spans="1:5" ht="11.4" customHeight="1" x14ac:dyDescent="0.25">
      <c r="A185" s="341" t="s">
        <v>132</v>
      </c>
      <c r="B185" s="338" t="s">
        <v>256</v>
      </c>
      <c r="C185" s="352"/>
      <c r="D185" s="310"/>
      <c r="E185" s="310"/>
    </row>
    <row r="186" spans="1:5" ht="11.4" customHeight="1" x14ac:dyDescent="0.25">
      <c r="A186" s="341" t="s">
        <v>203</v>
      </c>
      <c r="B186" s="310"/>
      <c r="C186" s="350"/>
      <c r="D186" s="310">
        <f>SUM(C183:C185)</f>
        <v>26165485.949999999</v>
      </c>
      <c r="E186" s="310"/>
    </row>
    <row r="187" spans="1:5" ht="11.4" customHeight="1" x14ac:dyDescent="0.25">
      <c r="A187" s="351" t="s">
        <v>323</v>
      </c>
      <c r="B187" s="351"/>
      <c r="C187" s="351"/>
      <c r="D187" s="351"/>
      <c r="E187" s="351"/>
    </row>
    <row r="188" spans="1:5" ht="15" customHeight="1" x14ac:dyDescent="0.25">
      <c r="A188" s="341" t="s">
        <v>324</v>
      </c>
      <c r="B188" s="338" t="s">
        <v>256</v>
      </c>
      <c r="C188" s="352">
        <v>13290109.800000001</v>
      </c>
      <c r="D188" s="310"/>
      <c r="E188" s="310"/>
    </row>
    <row r="189" spans="1:5" ht="11.4" customHeight="1" x14ac:dyDescent="0.25">
      <c r="A189" s="341" t="s">
        <v>325</v>
      </c>
      <c r="B189" s="338" t="s">
        <v>256</v>
      </c>
      <c r="C189" s="352"/>
      <c r="D189" s="310"/>
      <c r="E189" s="310"/>
    </row>
    <row r="190" spans="1:5" ht="11.4" customHeight="1" x14ac:dyDescent="0.25">
      <c r="A190" s="341" t="s">
        <v>203</v>
      </c>
      <c r="B190" s="310"/>
      <c r="C190" s="350"/>
      <c r="D190" s="310">
        <f>SUM(C188:C189)</f>
        <v>13290109.800000001</v>
      </c>
      <c r="E190" s="310"/>
    </row>
    <row r="191" spans="1:5" ht="18" customHeight="1" x14ac:dyDescent="0.25">
      <c r="A191" s="341"/>
      <c r="B191" s="310"/>
      <c r="C191" s="350"/>
      <c r="D191" s="310"/>
      <c r="E191" s="310"/>
    </row>
    <row r="192" spans="1:5" ht="12.6" customHeight="1" x14ac:dyDescent="0.25">
      <c r="A192" s="336" t="s">
        <v>326</v>
      </c>
      <c r="B192" s="336"/>
      <c r="C192" s="336"/>
      <c r="D192" s="336"/>
      <c r="E192" s="336"/>
    </row>
    <row r="193" spans="1:8" ht="12.6" customHeight="1" x14ac:dyDescent="0.25">
      <c r="A193" s="355" t="s">
        <v>327</v>
      </c>
      <c r="B193" s="336"/>
      <c r="C193" s="336"/>
      <c r="D193" s="336"/>
      <c r="E193" s="336"/>
    </row>
    <row r="194" spans="1:8" ht="12.6" customHeight="1" x14ac:dyDescent="0.25">
      <c r="A194" s="337"/>
      <c r="B194" s="300" t="s">
        <v>328</v>
      </c>
      <c r="C194" s="356" t="s">
        <v>329</v>
      </c>
      <c r="D194" s="300" t="s">
        <v>330</v>
      </c>
      <c r="E194" s="300" t="s">
        <v>331</v>
      </c>
    </row>
    <row r="195" spans="1:8" ht="12.6" customHeight="1" x14ac:dyDescent="0.25">
      <c r="A195" s="341" t="s">
        <v>332</v>
      </c>
      <c r="B195" s="357">
        <v>40852919</v>
      </c>
      <c r="C195" s="352"/>
      <c r="D195" s="357">
        <v>1863</v>
      </c>
      <c r="E195" s="310">
        <f t="shared" ref="E195:E203" si="10">SUM(B195:C195)-D195</f>
        <v>40851056</v>
      </c>
    </row>
    <row r="196" spans="1:8" ht="12.6" customHeight="1" x14ac:dyDescent="0.25">
      <c r="A196" s="341" t="s">
        <v>333</v>
      </c>
      <c r="B196" s="357">
        <v>3027045</v>
      </c>
      <c r="C196" s="352">
        <v>57496.5</v>
      </c>
      <c r="D196" s="357"/>
      <c r="E196" s="310">
        <f t="shared" si="10"/>
        <v>3084541.5</v>
      </c>
    </row>
    <row r="197" spans="1:8" ht="12.6" customHeight="1" x14ac:dyDescent="0.25">
      <c r="A197" s="341" t="s">
        <v>334</v>
      </c>
      <c r="B197" s="357">
        <v>614384341</v>
      </c>
      <c r="C197" s="352">
        <v>7300299</v>
      </c>
      <c r="D197" s="357"/>
      <c r="E197" s="310">
        <f t="shared" si="10"/>
        <v>621684640</v>
      </c>
    </row>
    <row r="198" spans="1:8" ht="12.6" customHeight="1" x14ac:dyDescent="0.25">
      <c r="A198" s="341" t="s">
        <v>335</v>
      </c>
      <c r="B198" s="357">
        <v>42130632</v>
      </c>
      <c r="C198" s="352">
        <v>257952</v>
      </c>
      <c r="D198" s="357"/>
      <c r="E198" s="310">
        <f t="shared" si="10"/>
        <v>42388584</v>
      </c>
    </row>
    <row r="199" spans="1:8" ht="12.6" customHeight="1" x14ac:dyDescent="0.25">
      <c r="A199" s="341" t="s">
        <v>336</v>
      </c>
      <c r="B199" s="357">
        <v>3797270</v>
      </c>
      <c r="C199" s="352"/>
      <c r="D199" s="357"/>
      <c r="E199" s="310">
        <f t="shared" si="10"/>
        <v>3797270</v>
      </c>
    </row>
    <row r="200" spans="1:8" ht="12.6" customHeight="1" x14ac:dyDescent="0.25">
      <c r="A200" s="341" t="s">
        <v>337</v>
      </c>
      <c r="B200" s="357">
        <v>343795733</v>
      </c>
      <c r="C200" s="352">
        <v>13437055</v>
      </c>
      <c r="D200" s="357">
        <v>214484</v>
      </c>
      <c r="E200" s="310">
        <f t="shared" si="10"/>
        <v>357018304</v>
      </c>
    </row>
    <row r="201" spans="1:8" ht="12.6" customHeight="1" x14ac:dyDescent="0.25">
      <c r="A201" s="341" t="s">
        <v>338</v>
      </c>
      <c r="B201" s="357">
        <v>16784953</v>
      </c>
      <c r="C201" s="352">
        <v>1453002</v>
      </c>
      <c r="D201" s="357"/>
      <c r="E201" s="310">
        <f t="shared" si="10"/>
        <v>18237955</v>
      </c>
    </row>
    <row r="202" spans="1:8" ht="12.6" customHeight="1" x14ac:dyDescent="0.25">
      <c r="A202" s="341" t="s">
        <v>339</v>
      </c>
      <c r="B202" s="357">
        <v>23065089</v>
      </c>
      <c r="C202" s="352">
        <v>225205</v>
      </c>
      <c r="D202" s="357"/>
      <c r="E202" s="310">
        <f t="shared" si="10"/>
        <v>23290294</v>
      </c>
    </row>
    <row r="203" spans="1:8" ht="12.6" customHeight="1" x14ac:dyDescent="0.25">
      <c r="A203" s="341" t="s">
        <v>340</v>
      </c>
      <c r="B203" s="357">
        <v>17485533.5</v>
      </c>
      <c r="C203" s="352">
        <v>20659571</v>
      </c>
      <c r="D203" s="357">
        <v>4386369</v>
      </c>
      <c r="E203" s="310">
        <f t="shared" si="10"/>
        <v>33758735.5</v>
      </c>
    </row>
    <row r="204" spans="1:8" ht="12.6" customHeight="1" x14ac:dyDescent="0.25">
      <c r="A204" s="341" t="s">
        <v>203</v>
      </c>
      <c r="B204" s="310">
        <f>SUM(B195:B203)</f>
        <v>1105323515.5</v>
      </c>
      <c r="C204" s="350">
        <f>SUM(C195:C203)</f>
        <v>43390580.5</v>
      </c>
      <c r="D204" s="310">
        <f>SUM(D195:D203)</f>
        <v>4602716</v>
      </c>
      <c r="E204" s="310">
        <f>SUM(E195:E203)</f>
        <v>1144111380</v>
      </c>
    </row>
    <row r="205" spans="1:8" ht="12.6" customHeight="1" x14ac:dyDescent="0.25">
      <c r="A205" s="341"/>
      <c r="B205" s="341"/>
      <c r="C205" s="350"/>
      <c r="D205" s="310"/>
      <c r="E205" s="310"/>
    </row>
    <row r="206" spans="1:8" ht="12.6" customHeight="1" x14ac:dyDescent="0.25">
      <c r="A206" s="355" t="s">
        <v>341</v>
      </c>
      <c r="B206" s="355"/>
      <c r="C206" s="355"/>
      <c r="D206" s="355"/>
      <c r="E206" s="355"/>
    </row>
    <row r="207" spans="1:8" ht="12.6" customHeight="1" x14ac:dyDescent="0.25">
      <c r="A207" s="337"/>
      <c r="B207" s="300" t="s">
        <v>328</v>
      </c>
      <c r="C207" s="356" t="s">
        <v>329</v>
      </c>
      <c r="D207" s="300" t="s">
        <v>330</v>
      </c>
      <c r="E207" s="300" t="s">
        <v>331</v>
      </c>
      <c r="H207" s="364"/>
    </row>
    <row r="208" spans="1:8" ht="12.6" customHeight="1" x14ac:dyDescent="0.25">
      <c r="A208" s="341" t="s">
        <v>332</v>
      </c>
      <c r="B208" s="363"/>
      <c r="C208" s="362"/>
      <c r="D208" s="363"/>
      <c r="E208" s="310"/>
      <c r="H208" s="364"/>
    </row>
    <row r="209" spans="1:8" ht="12.6" customHeight="1" x14ac:dyDescent="0.25">
      <c r="A209" s="341" t="s">
        <v>333</v>
      </c>
      <c r="B209" s="357">
        <v>1037893</v>
      </c>
      <c r="C209" s="352">
        <v>112371</v>
      </c>
      <c r="D209" s="357"/>
      <c r="E209" s="310">
        <f t="shared" ref="E209:E216" si="11">SUM(B209:C209)-D209</f>
        <v>1150264</v>
      </c>
      <c r="H209" s="364"/>
    </row>
    <row r="210" spans="1:8" ht="12.6" customHeight="1" x14ac:dyDescent="0.25">
      <c r="A210" s="341" t="s">
        <v>334</v>
      </c>
      <c r="B210" s="357">
        <v>212218964</v>
      </c>
      <c r="C210" s="352">
        <v>18864445</v>
      </c>
      <c r="D210" s="357"/>
      <c r="E210" s="310">
        <f t="shared" si="11"/>
        <v>231083409</v>
      </c>
      <c r="H210" s="364"/>
    </row>
    <row r="211" spans="1:8" ht="12.6" customHeight="1" x14ac:dyDescent="0.25">
      <c r="A211" s="341" t="s">
        <v>335</v>
      </c>
      <c r="B211" s="357">
        <v>35813130</v>
      </c>
      <c r="C211" s="352">
        <v>975515</v>
      </c>
      <c r="D211" s="357"/>
      <c r="E211" s="310">
        <f t="shared" si="11"/>
        <v>36788645</v>
      </c>
      <c r="H211" s="364"/>
    </row>
    <row r="212" spans="1:8" ht="12.6" customHeight="1" x14ac:dyDescent="0.25">
      <c r="A212" s="341" t="s">
        <v>336</v>
      </c>
      <c r="B212" s="357">
        <v>3797270</v>
      </c>
      <c r="C212" s="352"/>
      <c r="D212" s="357"/>
      <c r="E212" s="310">
        <f t="shared" si="11"/>
        <v>3797270</v>
      </c>
      <c r="H212" s="364"/>
    </row>
    <row r="213" spans="1:8" ht="12.6" customHeight="1" x14ac:dyDescent="0.25">
      <c r="A213" s="341" t="s">
        <v>337</v>
      </c>
      <c r="B213" s="357">
        <v>271655689</v>
      </c>
      <c r="C213" s="352">
        <v>18641698</v>
      </c>
      <c r="D213" s="357"/>
      <c r="E213" s="310">
        <f t="shared" si="11"/>
        <v>290297387</v>
      </c>
      <c r="H213" s="364"/>
    </row>
    <row r="214" spans="1:8" ht="12.6" customHeight="1" x14ac:dyDescent="0.25">
      <c r="A214" s="341" t="s">
        <v>338</v>
      </c>
      <c r="B214" s="357">
        <v>14791587.5</v>
      </c>
      <c r="C214" s="352">
        <v>1361376</v>
      </c>
      <c r="D214" s="357"/>
      <c r="E214" s="310">
        <f t="shared" si="11"/>
        <v>16152963.5</v>
      </c>
      <c r="H214" s="364"/>
    </row>
    <row r="215" spans="1:8" ht="12.6" customHeight="1" x14ac:dyDescent="0.25">
      <c r="A215" s="341" t="s">
        <v>339</v>
      </c>
      <c r="B215" s="357">
        <v>15198013.5</v>
      </c>
      <c r="C215" s="352">
        <v>1065094</v>
      </c>
      <c r="D215" s="357"/>
      <c r="E215" s="310">
        <f t="shared" si="11"/>
        <v>16263107.5</v>
      </c>
      <c r="H215" s="364"/>
    </row>
    <row r="216" spans="1:8" ht="12.6" customHeight="1" x14ac:dyDescent="0.25">
      <c r="A216" s="341" t="s">
        <v>340</v>
      </c>
      <c r="B216" s="357"/>
      <c r="C216" s="352"/>
      <c r="D216" s="357"/>
      <c r="E216" s="310">
        <f t="shared" si="11"/>
        <v>0</v>
      </c>
      <c r="H216" s="364"/>
    </row>
    <row r="217" spans="1:8" ht="12.6" customHeight="1" x14ac:dyDescent="0.25">
      <c r="A217" s="341" t="s">
        <v>203</v>
      </c>
      <c r="B217" s="310">
        <f>SUM(B208:B216)</f>
        <v>554512547</v>
      </c>
      <c r="C217" s="350">
        <f>SUM(C208:C216)</f>
        <v>41020499</v>
      </c>
      <c r="D217" s="310">
        <f>SUM(D208:D216)</f>
        <v>0</v>
      </c>
      <c r="E217" s="310">
        <f>SUM(E208:E216)</f>
        <v>595533046</v>
      </c>
    </row>
    <row r="218" spans="1:8" ht="21.75" customHeight="1" x14ac:dyDescent="0.25">
      <c r="A218" s="341"/>
      <c r="B218" s="310"/>
      <c r="C218" s="350"/>
      <c r="D218" s="310"/>
      <c r="E218" s="310"/>
    </row>
    <row r="219" spans="1:8" ht="12.6" customHeight="1" x14ac:dyDescent="0.25">
      <c r="A219" s="336" t="s">
        <v>342</v>
      </c>
      <c r="B219" s="336"/>
      <c r="C219" s="336"/>
      <c r="D219" s="336"/>
      <c r="E219" s="336"/>
    </row>
    <row r="220" spans="1:8" ht="12.6" customHeight="1" x14ac:dyDescent="0.25">
      <c r="A220" s="336"/>
      <c r="B220" s="395" t="s">
        <v>991</v>
      </c>
      <c r="C220" s="395"/>
      <c r="D220" s="336"/>
      <c r="E220" s="336"/>
    </row>
    <row r="221" spans="1:8" ht="12.6" customHeight="1" x14ac:dyDescent="0.25">
      <c r="A221" s="365" t="s">
        <v>991</v>
      </c>
      <c r="B221" s="336"/>
      <c r="C221" s="352">
        <f>258927-258927+239609</f>
        <v>239609</v>
      </c>
      <c r="D221" s="338">
        <f>C221</f>
        <v>239609</v>
      </c>
      <c r="E221" s="336"/>
    </row>
    <row r="222" spans="1:8" ht="12.6" customHeight="1" x14ac:dyDescent="0.25">
      <c r="A222" s="351" t="s">
        <v>343</v>
      </c>
      <c r="B222" s="351"/>
      <c r="C222" s="351"/>
      <c r="D222" s="351"/>
      <c r="E222" s="351"/>
    </row>
    <row r="223" spans="1:8" ht="12.6" customHeight="1" x14ac:dyDescent="0.25">
      <c r="A223" s="341" t="s">
        <v>344</v>
      </c>
      <c r="B223" s="338" t="s">
        <v>256</v>
      </c>
      <c r="C223" s="352">
        <v>789369401</v>
      </c>
      <c r="D223" s="310"/>
      <c r="E223" s="310"/>
    </row>
    <row r="224" spans="1:8" ht="12.6" customHeight="1" x14ac:dyDescent="0.25">
      <c r="A224" s="341" t="s">
        <v>345</v>
      </c>
      <c r="B224" s="338" t="s">
        <v>256</v>
      </c>
      <c r="C224" s="352">
        <v>128382784</v>
      </c>
      <c r="D224" s="310"/>
      <c r="E224" s="310"/>
    </row>
    <row r="225" spans="1:5" ht="12.6" customHeight="1" x14ac:dyDescent="0.25">
      <c r="A225" s="341" t="s">
        <v>346</v>
      </c>
      <c r="B225" s="338" t="s">
        <v>256</v>
      </c>
      <c r="C225" s="352">
        <v>14046933</v>
      </c>
      <c r="D225" s="310"/>
      <c r="E225" s="310"/>
    </row>
    <row r="226" spans="1:5" ht="12.6" customHeight="1" x14ac:dyDescent="0.25">
      <c r="A226" s="341" t="s">
        <v>347</v>
      </c>
      <c r="B226" s="338" t="s">
        <v>256</v>
      </c>
      <c r="C226" s="352">
        <v>15619192</v>
      </c>
      <c r="D226" s="310"/>
      <c r="E226" s="310"/>
    </row>
    <row r="227" spans="1:5" ht="12.6" customHeight="1" x14ac:dyDescent="0.25">
      <c r="A227" s="341" t="s">
        <v>348</v>
      </c>
      <c r="B227" s="338" t="s">
        <v>256</v>
      </c>
      <c r="C227" s="352">
        <v>323588162</v>
      </c>
      <c r="D227" s="310"/>
      <c r="E227" s="310"/>
    </row>
    <row r="228" spans="1:5" ht="12.6" customHeight="1" x14ac:dyDescent="0.25">
      <c r="A228" s="341" t="s">
        <v>349</v>
      </c>
      <c r="B228" s="338" t="s">
        <v>256</v>
      </c>
      <c r="C228" s="352"/>
      <c r="D228" s="310"/>
      <c r="E228" s="310"/>
    </row>
    <row r="229" spans="1:5" ht="12.6" customHeight="1" x14ac:dyDescent="0.25">
      <c r="A229" s="341" t="s">
        <v>350</v>
      </c>
      <c r="B229" s="310"/>
      <c r="C229" s="350"/>
      <c r="D229" s="310">
        <f>SUM(C223:C228)</f>
        <v>1271006472</v>
      </c>
      <c r="E229" s="310"/>
    </row>
    <row r="230" spans="1:5" ht="12.6" customHeight="1" x14ac:dyDescent="0.25">
      <c r="A230" s="351" t="s">
        <v>351</v>
      </c>
      <c r="B230" s="351"/>
      <c r="C230" s="351"/>
      <c r="D230" s="351"/>
      <c r="E230" s="351"/>
    </row>
    <row r="231" spans="1:5" ht="12.6" customHeight="1" x14ac:dyDescent="0.25">
      <c r="A231" s="337" t="s">
        <v>352</v>
      </c>
      <c r="B231" s="338" t="s">
        <v>256</v>
      </c>
      <c r="C231" s="352">
        <v>5535</v>
      </c>
      <c r="D231" s="310"/>
      <c r="E231" s="310"/>
    </row>
    <row r="232" spans="1:5" ht="12.6" customHeight="1" x14ac:dyDescent="0.25">
      <c r="A232" s="337"/>
      <c r="B232" s="338"/>
      <c r="C232" s="350"/>
      <c r="D232" s="310"/>
      <c r="E232" s="310"/>
    </row>
    <row r="233" spans="1:5" ht="12.6" customHeight="1" x14ac:dyDescent="0.25">
      <c r="A233" s="337" t="s">
        <v>353</v>
      </c>
      <c r="B233" s="338" t="s">
        <v>256</v>
      </c>
      <c r="C233" s="352">
        <v>5416164</v>
      </c>
      <c r="D233" s="310"/>
      <c r="E233" s="310"/>
    </row>
    <row r="234" spans="1:5" ht="12.6" customHeight="1" x14ac:dyDescent="0.25">
      <c r="A234" s="337" t="s">
        <v>354</v>
      </c>
      <c r="B234" s="338" t="s">
        <v>256</v>
      </c>
      <c r="C234" s="352">
        <v>15971757</v>
      </c>
      <c r="D234" s="310"/>
      <c r="E234" s="310"/>
    </row>
    <row r="235" spans="1:5" ht="12.6" customHeight="1" x14ac:dyDescent="0.25">
      <c r="A235" s="341"/>
      <c r="B235" s="310"/>
      <c r="C235" s="350"/>
      <c r="D235" s="310"/>
      <c r="E235" s="310"/>
    </row>
    <row r="236" spans="1:5" ht="12.6" customHeight="1" x14ac:dyDescent="0.25">
      <c r="A236" s="337" t="s">
        <v>355</v>
      </c>
      <c r="B236" s="310"/>
      <c r="C236" s="350"/>
      <c r="D236" s="310">
        <f>SUM(C233:C235)</f>
        <v>21387921</v>
      </c>
      <c r="E236" s="310"/>
    </row>
    <row r="237" spans="1:5" ht="12.6" customHeight="1" x14ac:dyDescent="0.25">
      <c r="A237" s="351" t="s">
        <v>356</v>
      </c>
      <c r="B237" s="351"/>
      <c r="C237" s="351"/>
      <c r="D237" s="351"/>
      <c r="E237" s="351"/>
    </row>
    <row r="238" spans="1:5" ht="12.6" customHeight="1" x14ac:dyDescent="0.25">
      <c r="A238" s="341" t="s">
        <v>357</v>
      </c>
      <c r="B238" s="338" t="s">
        <v>256</v>
      </c>
      <c r="C238" s="352">
        <f>72568947-72568947+58143093-58143093+58162411</f>
        <v>58162411</v>
      </c>
      <c r="D238" s="310"/>
      <c r="E238" s="310"/>
    </row>
    <row r="239" spans="1:5" ht="12.6" customHeight="1" x14ac:dyDescent="0.25">
      <c r="A239" s="341" t="s">
        <v>356</v>
      </c>
      <c r="B239" s="338" t="s">
        <v>256</v>
      </c>
      <c r="C239" s="352">
        <v>30621563</v>
      </c>
      <c r="D239" s="310"/>
      <c r="E239" s="310"/>
    </row>
    <row r="240" spans="1:5" ht="12.6" customHeight="1" x14ac:dyDescent="0.25">
      <c r="A240" s="341" t="s">
        <v>358</v>
      </c>
      <c r="B240" s="310"/>
      <c r="C240" s="350"/>
      <c r="D240" s="310">
        <f>SUM(C238:C239)</f>
        <v>88783974</v>
      </c>
      <c r="E240" s="310"/>
    </row>
    <row r="241" spans="1:5" ht="12.6" customHeight="1" x14ac:dyDescent="0.25">
      <c r="A241" s="341"/>
      <c r="B241" s="310"/>
      <c r="C241" s="350"/>
      <c r="D241" s="310"/>
      <c r="E241" s="310"/>
    </row>
    <row r="242" spans="1:5" ht="18.75" customHeight="1" x14ac:dyDescent="0.25">
      <c r="A242" s="341" t="s">
        <v>359</v>
      </c>
      <c r="B242" s="310"/>
      <c r="C242" s="350"/>
      <c r="D242" s="310">
        <f>D221+D229+D236+D240</f>
        <v>1381417976</v>
      </c>
      <c r="E242" s="310"/>
    </row>
    <row r="243" spans="1:5" ht="12.6" customHeight="1" x14ac:dyDescent="0.25">
      <c r="A243" s="341"/>
      <c r="B243" s="341"/>
      <c r="C243" s="350"/>
      <c r="D243" s="310"/>
      <c r="E243" s="310"/>
    </row>
    <row r="244" spans="1:5" ht="12.6" customHeight="1" x14ac:dyDescent="0.25">
      <c r="A244" s="341"/>
      <c r="B244" s="341"/>
      <c r="C244" s="350"/>
      <c r="D244" s="310"/>
      <c r="E244" s="310"/>
    </row>
    <row r="245" spans="1:5" ht="12.6" customHeight="1" x14ac:dyDescent="0.25">
      <c r="A245" s="341"/>
      <c r="B245" s="341"/>
      <c r="C245" s="350"/>
      <c r="D245" s="310"/>
      <c r="E245" s="310"/>
    </row>
    <row r="246" spans="1:5" ht="12.6" customHeight="1" x14ac:dyDescent="0.25">
      <c r="A246" s="341"/>
      <c r="B246" s="341"/>
      <c r="C246" s="350"/>
      <c r="D246" s="310"/>
      <c r="E246" s="310"/>
    </row>
    <row r="247" spans="1:5" ht="21.75" customHeight="1" x14ac:dyDescent="0.25">
      <c r="A247" s="341"/>
      <c r="B247" s="341"/>
      <c r="C247" s="350"/>
      <c r="D247" s="310"/>
      <c r="E247" s="310"/>
    </row>
    <row r="248" spans="1:5" ht="12.45" customHeight="1" x14ac:dyDescent="0.25">
      <c r="A248" s="336" t="s">
        <v>360</v>
      </c>
      <c r="B248" s="336"/>
      <c r="C248" s="336"/>
      <c r="D248" s="336"/>
      <c r="E248" s="336"/>
    </row>
    <row r="249" spans="1:5" ht="11.25" customHeight="1" x14ac:dyDescent="0.25">
      <c r="A249" s="351" t="s">
        <v>361</v>
      </c>
      <c r="B249" s="351"/>
      <c r="C249" s="351"/>
      <c r="D249" s="351"/>
      <c r="E249" s="351"/>
    </row>
    <row r="250" spans="1:5" ht="12.45" customHeight="1" x14ac:dyDescent="0.25">
      <c r="A250" s="341" t="s">
        <v>362</v>
      </c>
      <c r="B250" s="338" t="s">
        <v>256</v>
      </c>
      <c r="C250" s="352">
        <v>61871862</v>
      </c>
      <c r="D250" s="310"/>
      <c r="E250" s="310"/>
    </row>
    <row r="251" spans="1:5" ht="12.45" customHeight="1" x14ac:dyDescent="0.25">
      <c r="A251" s="341" t="s">
        <v>363</v>
      </c>
      <c r="B251" s="338" t="s">
        <v>256</v>
      </c>
      <c r="C251" s="352"/>
      <c r="D251" s="310"/>
      <c r="E251" s="310"/>
    </row>
    <row r="252" spans="1:5" ht="12.45" customHeight="1" x14ac:dyDescent="0.25">
      <c r="A252" s="341" t="s">
        <v>364</v>
      </c>
      <c r="B252" s="338" t="s">
        <v>256</v>
      </c>
      <c r="C252" s="352">
        <v>291730287</v>
      </c>
      <c r="D252" s="310"/>
      <c r="E252" s="310"/>
    </row>
    <row r="253" spans="1:5" ht="12.45" customHeight="1" x14ac:dyDescent="0.25">
      <c r="A253" s="341" t="s">
        <v>365</v>
      </c>
      <c r="B253" s="338" t="s">
        <v>256</v>
      </c>
      <c r="C253" s="352">
        <v>174402098</v>
      </c>
      <c r="D253" s="310"/>
      <c r="E253" s="310"/>
    </row>
    <row r="254" spans="1:5" ht="12.45" customHeight="1" x14ac:dyDescent="0.25">
      <c r="A254" s="341" t="s">
        <v>977</v>
      </c>
      <c r="B254" s="338" t="s">
        <v>256</v>
      </c>
      <c r="C254" s="352"/>
      <c r="D254" s="310"/>
      <c r="E254" s="310"/>
    </row>
    <row r="255" spans="1:5" ht="12.45" customHeight="1" x14ac:dyDescent="0.25">
      <c r="A255" s="341" t="s">
        <v>366</v>
      </c>
      <c r="B255" s="338" t="s">
        <v>256</v>
      </c>
      <c r="C255" s="352">
        <v>8194160</v>
      </c>
      <c r="D255" s="310"/>
      <c r="E255" s="310"/>
    </row>
    <row r="256" spans="1:5" ht="12.45" customHeight="1" x14ac:dyDescent="0.25">
      <c r="A256" s="341" t="s">
        <v>367</v>
      </c>
      <c r="B256" s="338" t="s">
        <v>256</v>
      </c>
      <c r="C256" s="352"/>
      <c r="D256" s="310"/>
      <c r="E256" s="310"/>
    </row>
    <row r="257" spans="1:5" ht="12.45" customHeight="1" x14ac:dyDescent="0.25">
      <c r="A257" s="341" t="s">
        <v>368</v>
      </c>
      <c r="B257" s="338" t="s">
        <v>256</v>
      </c>
      <c r="C257" s="352">
        <v>20232774</v>
      </c>
      <c r="D257" s="310"/>
      <c r="E257" s="310"/>
    </row>
    <row r="258" spans="1:5" ht="12.45" customHeight="1" x14ac:dyDescent="0.25">
      <c r="A258" s="341" t="s">
        <v>369</v>
      </c>
      <c r="B258" s="338" t="s">
        <v>256</v>
      </c>
      <c r="C258" s="352">
        <f>7624254-0.6</f>
        <v>7624253.4000000004</v>
      </c>
      <c r="D258" s="310"/>
      <c r="E258" s="310"/>
    </row>
    <row r="259" spans="1:5" ht="12.45" customHeight="1" x14ac:dyDescent="0.25">
      <c r="A259" s="341" t="s">
        <v>370</v>
      </c>
      <c r="B259" s="338" t="s">
        <v>256</v>
      </c>
      <c r="C259" s="352">
        <v>2375308</v>
      </c>
      <c r="D259" s="310"/>
      <c r="E259" s="310"/>
    </row>
    <row r="260" spans="1:5" ht="12.45" customHeight="1" x14ac:dyDescent="0.25">
      <c r="A260" s="341" t="s">
        <v>371</v>
      </c>
      <c r="B260" s="310"/>
      <c r="C260" s="350"/>
      <c r="D260" s="310">
        <f>SUM(C250:C252)-C253+SUM(C254:C259)</f>
        <v>217626546.40000001</v>
      </c>
      <c r="E260" s="310"/>
    </row>
    <row r="261" spans="1:5" ht="11.25" customHeight="1" x14ac:dyDescent="0.25">
      <c r="A261" s="351" t="s">
        <v>372</v>
      </c>
      <c r="B261" s="351"/>
      <c r="C261" s="351"/>
      <c r="D261" s="351"/>
      <c r="E261" s="351"/>
    </row>
    <row r="262" spans="1:5" ht="12.45" customHeight="1" x14ac:dyDescent="0.25">
      <c r="A262" s="341" t="s">
        <v>362</v>
      </c>
      <c r="B262" s="338" t="s">
        <v>256</v>
      </c>
      <c r="C262" s="352"/>
      <c r="D262" s="310"/>
      <c r="E262" s="310"/>
    </row>
    <row r="263" spans="1:5" ht="12.45" customHeight="1" x14ac:dyDescent="0.25">
      <c r="A263" s="341" t="s">
        <v>363</v>
      </c>
      <c r="B263" s="338" t="s">
        <v>256</v>
      </c>
      <c r="C263" s="352">
        <v>336583881</v>
      </c>
      <c r="D263" s="310"/>
      <c r="E263" s="310"/>
    </row>
    <row r="264" spans="1:5" ht="12.45" customHeight="1" x14ac:dyDescent="0.25">
      <c r="A264" s="341" t="s">
        <v>373</v>
      </c>
      <c r="B264" s="338" t="s">
        <v>256</v>
      </c>
      <c r="C264" s="352">
        <v>14658290</v>
      </c>
      <c r="D264" s="310"/>
      <c r="E264" s="310"/>
    </row>
    <row r="265" spans="1:5" ht="12.45" customHeight="1" x14ac:dyDescent="0.25">
      <c r="A265" s="341" t="s">
        <v>374</v>
      </c>
      <c r="B265" s="310"/>
      <c r="C265" s="350"/>
      <c r="D265" s="310">
        <f>SUM(C262:C264)</f>
        <v>351242171</v>
      </c>
      <c r="E265" s="310"/>
    </row>
    <row r="266" spans="1:5" ht="11.25" customHeight="1" x14ac:dyDescent="0.25">
      <c r="A266" s="351" t="s">
        <v>375</v>
      </c>
      <c r="B266" s="351"/>
      <c r="C266" s="351"/>
      <c r="D266" s="351"/>
      <c r="E266" s="351"/>
    </row>
    <row r="267" spans="1:5" ht="12.45" customHeight="1" x14ac:dyDescent="0.25">
      <c r="A267" s="341" t="s">
        <v>332</v>
      </c>
      <c r="B267" s="338" t="s">
        <v>256</v>
      </c>
      <c r="C267" s="352">
        <v>40851056</v>
      </c>
      <c r="D267" s="310"/>
      <c r="E267" s="310"/>
    </row>
    <row r="268" spans="1:5" ht="12.45" customHeight="1" x14ac:dyDescent="0.25">
      <c r="A268" s="341" t="s">
        <v>333</v>
      </c>
      <c r="B268" s="338" t="s">
        <v>256</v>
      </c>
      <c r="C268" s="352">
        <v>3084542</v>
      </c>
      <c r="D268" s="310"/>
      <c r="E268" s="310"/>
    </row>
    <row r="269" spans="1:5" ht="12.45" customHeight="1" x14ac:dyDescent="0.25">
      <c r="A269" s="341" t="s">
        <v>334</v>
      </c>
      <c r="B269" s="338" t="s">
        <v>256</v>
      </c>
      <c r="C269" s="352">
        <v>621684640</v>
      </c>
      <c r="D269" s="310"/>
      <c r="E269" s="310"/>
    </row>
    <row r="270" spans="1:5" ht="12.45" customHeight="1" x14ac:dyDescent="0.25">
      <c r="A270" s="341" t="s">
        <v>376</v>
      </c>
      <c r="B270" s="338" t="s">
        <v>256</v>
      </c>
      <c r="C270" s="352">
        <v>42388584</v>
      </c>
      <c r="D270" s="310"/>
      <c r="E270" s="310"/>
    </row>
    <row r="271" spans="1:5" ht="12.45" customHeight="1" x14ac:dyDescent="0.25">
      <c r="A271" s="341" t="s">
        <v>377</v>
      </c>
      <c r="B271" s="338" t="s">
        <v>256</v>
      </c>
      <c r="C271" s="352">
        <v>3797270</v>
      </c>
      <c r="D271" s="310"/>
      <c r="E271" s="310"/>
    </row>
    <row r="272" spans="1:5" ht="12.45" customHeight="1" x14ac:dyDescent="0.25">
      <c r="A272" s="341" t="s">
        <v>378</v>
      </c>
      <c r="B272" s="338" t="s">
        <v>256</v>
      </c>
      <c r="C272" s="352">
        <v>375256258</v>
      </c>
      <c r="D272" s="310"/>
      <c r="E272" s="310"/>
    </row>
    <row r="273" spans="1:5" ht="12.45" customHeight="1" x14ac:dyDescent="0.25">
      <c r="A273" s="341" t="s">
        <v>339</v>
      </c>
      <c r="B273" s="338" t="s">
        <v>256</v>
      </c>
      <c r="C273" s="352">
        <v>23290294</v>
      </c>
      <c r="D273" s="310"/>
      <c r="E273" s="310"/>
    </row>
    <row r="274" spans="1:5" ht="12.45" customHeight="1" x14ac:dyDescent="0.25">
      <c r="A274" s="341" t="s">
        <v>340</v>
      </c>
      <c r="B274" s="338" t="s">
        <v>256</v>
      </c>
      <c r="C274" s="352">
        <v>33758736</v>
      </c>
      <c r="D274" s="310"/>
      <c r="E274" s="310"/>
    </row>
    <row r="275" spans="1:5" ht="12.45" customHeight="1" x14ac:dyDescent="0.25">
      <c r="A275" s="341" t="s">
        <v>379</v>
      </c>
      <c r="B275" s="310"/>
      <c r="C275" s="350"/>
      <c r="D275" s="310">
        <f>SUM(C267:C274)</f>
        <v>1144111380</v>
      </c>
      <c r="E275" s="310"/>
    </row>
    <row r="276" spans="1:5" ht="12.6" customHeight="1" x14ac:dyDescent="0.25">
      <c r="A276" s="341" t="s">
        <v>380</v>
      </c>
      <c r="B276" s="338" t="s">
        <v>256</v>
      </c>
      <c r="C276" s="352">
        <v>595533046</v>
      </c>
      <c r="D276" s="310"/>
      <c r="E276" s="310"/>
    </row>
    <row r="277" spans="1:5" ht="12.6" customHeight="1" x14ac:dyDescent="0.25">
      <c r="A277" s="341" t="s">
        <v>381</v>
      </c>
      <c r="B277" s="310"/>
      <c r="C277" s="350"/>
      <c r="D277" s="310">
        <f>D275-C276</f>
        <v>548578334</v>
      </c>
      <c r="E277" s="310"/>
    </row>
    <row r="278" spans="1:5" ht="12.6" customHeight="1" x14ac:dyDescent="0.25">
      <c r="A278" s="351" t="s">
        <v>382</v>
      </c>
      <c r="B278" s="351"/>
      <c r="C278" s="351"/>
      <c r="D278" s="351"/>
      <c r="E278" s="351"/>
    </row>
    <row r="279" spans="1:5" ht="12.6" customHeight="1" x14ac:dyDescent="0.25">
      <c r="A279" s="341" t="s">
        <v>383</v>
      </c>
      <c r="B279" s="338" t="s">
        <v>256</v>
      </c>
      <c r="C279" s="352"/>
      <c r="D279" s="310"/>
      <c r="E279" s="310"/>
    </row>
    <row r="280" spans="1:5" ht="12.6" customHeight="1" x14ac:dyDescent="0.25">
      <c r="A280" s="341" t="s">
        <v>384</v>
      </c>
      <c r="B280" s="338" t="s">
        <v>256</v>
      </c>
      <c r="C280" s="352"/>
      <c r="D280" s="310"/>
      <c r="E280" s="310"/>
    </row>
    <row r="281" spans="1:5" ht="12.6" customHeight="1" x14ac:dyDescent="0.25">
      <c r="A281" s="341" t="s">
        <v>385</v>
      </c>
      <c r="B281" s="338" t="s">
        <v>256</v>
      </c>
      <c r="C281" s="352"/>
      <c r="D281" s="310"/>
      <c r="E281" s="310"/>
    </row>
    <row r="282" spans="1:5" ht="12.6" customHeight="1" x14ac:dyDescent="0.25">
      <c r="A282" s="341" t="s">
        <v>373</v>
      </c>
      <c r="B282" s="338" t="s">
        <v>256</v>
      </c>
      <c r="C282" s="352"/>
      <c r="D282" s="310"/>
      <c r="E282" s="310"/>
    </row>
    <row r="283" spans="1:5" ht="12.6" customHeight="1" x14ac:dyDescent="0.25">
      <c r="A283" s="341" t="s">
        <v>386</v>
      </c>
      <c r="B283" s="310"/>
      <c r="C283" s="350"/>
      <c r="D283" s="310">
        <f>C279-C280+C281+C282</f>
        <v>0</v>
      </c>
      <c r="E283" s="310"/>
    </row>
    <row r="284" spans="1:5" ht="12.6" customHeight="1" x14ac:dyDescent="0.25">
      <c r="A284" s="341"/>
      <c r="B284" s="310"/>
      <c r="C284" s="350"/>
      <c r="D284" s="310"/>
      <c r="E284" s="310"/>
    </row>
    <row r="285" spans="1:5" ht="12.6" customHeight="1" x14ac:dyDescent="0.25">
      <c r="A285" s="351" t="s">
        <v>387</v>
      </c>
      <c r="B285" s="351"/>
      <c r="C285" s="351"/>
      <c r="D285" s="351"/>
      <c r="E285" s="351"/>
    </row>
    <row r="286" spans="1:5" ht="12.6" customHeight="1" x14ac:dyDescent="0.25">
      <c r="A286" s="341" t="s">
        <v>388</v>
      </c>
      <c r="B286" s="338" t="s">
        <v>256</v>
      </c>
      <c r="C286" s="352"/>
      <c r="D286" s="310"/>
      <c r="E286" s="310"/>
    </row>
    <row r="287" spans="1:5" ht="12.6" customHeight="1" x14ac:dyDescent="0.25">
      <c r="A287" s="341" t="s">
        <v>389</v>
      </c>
      <c r="B287" s="338" t="s">
        <v>256</v>
      </c>
      <c r="C287" s="352"/>
      <c r="D287" s="310"/>
      <c r="E287" s="310"/>
    </row>
    <row r="288" spans="1:5" ht="12.6" customHeight="1" x14ac:dyDescent="0.25">
      <c r="A288" s="341" t="s">
        <v>390</v>
      </c>
      <c r="B288" s="338" t="s">
        <v>256</v>
      </c>
      <c r="C288" s="352"/>
      <c r="D288" s="310"/>
      <c r="E288" s="310"/>
    </row>
    <row r="289" spans="1:5" ht="12.6" customHeight="1" x14ac:dyDescent="0.25">
      <c r="A289" s="341" t="s">
        <v>391</v>
      </c>
      <c r="B289" s="338" t="s">
        <v>256</v>
      </c>
      <c r="C289" s="352">
        <v>6643354</v>
      </c>
      <c r="D289" s="310"/>
      <c r="E289" s="310"/>
    </row>
    <row r="290" spans="1:5" ht="12.6" customHeight="1" x14ac:dyDescent="0.25">
      <c r="A290" s="341" t="s">
        <v>392</v>
      </c>
      <c r="B290" s="310"/>
      <c r="C290" s="350"/>
      <c r="D290" s="310">
        <f>SUM(C286:C289)</f>
        <v>6643354</v>
      </c>
      <c r="E290" s="310"/>
    </row>
    <row r="291" spans="1:5" ht="12.6" customHeight="1" x14ac:dyDescent="0.25">
      <c r="A291" s="341"/>
      <c r="B291" s="310"/>
      <c r="C291" s="350"/>
      <c r="D291" s="310"/>
      <c r="E291" s="310"/>
    </row>
    <row r="292" spans="1:5" ht="12.6" customHeight="1" x14ac:dyDescent="0.25">
      <c r="A292" s="341" t="s">
        <v>393</v>
      </c>
      <c r="B292" s="310"/>
      <c r="C292" s="350"/>
      <c r="D292" s="310">
        <f>D260+D265+D277+D283+D290</f>
        <v>1124090405.4000001</v>
      </c>
      <c r="E292" s="310"/>
    </row>
    <row r="293" spans="1:5" ht="12.6" customHeight="1" x14ac:dyDescent="0.25">
      <c r="A293" s="341"/>
      <c r="B293" s="341"/>
      <c r="C293" s="350"/>
      <c r="D293" s="310"/>
      <c r="E293" s="310"/>
    </row>
    <row r="294" spans="1:5" ht="12.6" customHeight="1" x14ac:dyDescent="0.25">
      <c r="A294" s="341"/>
      <c r="B294" s="341"/>
      <c r="C294" s="350"/>
      <c r="D294" s="310"/>
      <c r="E294" s="310"/>
    </row>
    <row r="295" spans="1:5" ht="12.6" customHeight="1" x14ac:dyDescent="0.25">
      <c r="A295" s="341"/>
      <c r="B295" s="341"/>
      <c r="C295" s="350"/>
      <c r="D295" s="310"/>
      <c r="E295" s="310"/>
    </row>
    <row r="296" spans="1:5" ht="12.6" customHeight="1" x14ac:dyDescent="0.25">
      <c r="A296" s="341"/>
      <c r="B296" s="341"/>
      <c r="C296" s="350"/>
      <c r="D296" s="310"/>
      <c r="E296" s="310"/>
    </row>
    <row r="297" spans="1:5" ht="12.6" customHeight="1" x14ac:dyDescent="0.25">
      <c r="A297" s="341"/>
      <c r="B297" s="341"/>
      <c r="C297" s="350"/>
      <c r="D297" s="310"/>
      <c r="E297" s="310"/>
    </row>
    <row r="298" spans="1:5" ht="12.6" customHeight="1" x14ac:dyDescent="0.25">
      <c r="A298" s="341"/>
      <c r="B298" s="341"/>
      <c r="C298" s="350"/>
      <c r="D298" s="310"/>
      <c r="E298" s="310"/>
    </row>
    <row r="299" spans="1:5" ht="12.6" customHeight="1" x14ac:dyDescent="0.25">
      <c r="A299" s="341"/>
      <c r="B299" s="341"/>
      <c r="C299" s="350"/>
      <c r="D299" s="310"/>
      <c r="E299" s="310"/>
    </row>
    <row r="300" spans="1:5" ht="12.6" customHeight="1" x14ac:dyDescent="0.25">
      <c r="A300" s="341"/>
      <c r="B300" s="341"/>
      <c r="C300" s="350"/>
      <c r="D300" s="310"/>
      <c r="E300" s="310"/>
    </row>
    <row r="301" spans="1:5" ht="20.25" customHeight="1" x14ac:dyDescent="0.25">
      <c r="A301" s="341"/>
      <c r="B301" s="341"/>
      <c r="C301" s="350"/>
      <c r="D301" s="310"/>
      <c r="E301" s="310"/>
    </row>
    <row r="302" spans="1:5" ht="12.6" customHeight="1" x14ac:dyDescent="0.25">
      <c r="A302" s="336" t="s">
        <v>394</v>
      </c>
      <c r="B302" s="336"/>
      <c r="C302" s="336"/>
      <c r="D302" s="336"/>
      <c r="E302" s="336"/>
    </row>
    <row r="303" spans="1:5" ht="14.25" customHeight="1" x14ac:dyDescent="0.25">
      <c r="A303" s="351" t="s">
        <v>395</v>
      </c>
      <c r="B303" s="351"/>
      <c r="C303" s="351"/>
      <c r="D303" s="351"/>
      <c r="E303" s="351"/>
    </row>
    <row r="304" spans="1:5" ht="12.6" customHeight="1" x14ac:dyDescent="0.25">
      <c r="A304" s="341" t="s">
        <v>396</v>
      </c>
      <c r="B304" s="338" t="s">
        <v>256</v>
      </c>
      <c r="C304" s="352"/>
      <c r="D304" s="310"/>
      <c r="E304" s="310"/>
    </row>
    <row r="305" spans="1:5" ht="12.6" customHeight="1" x14ac:dyDescent="0.25">
      <c r="A305" s="341" t="s">
        <v>397</v>
      </c>
      <c r="B305" s="338" t="s">
        <v>256</v>
      </c>
      <c r="C305" s="352">
        <v>42734602</v>
      </c>
      <c r="D305" s="310"/>
      <c r="E305" s="310"/>
    </row>
    <row r="306" spans="1:5" ht="12.6" customHeight="1" x14ac:dyDescent="0.25">
      <c r="A306" s="341" t="s">
        <v>398</v>
      </c>
      <c r="B306" s="338" t="s">
        <v>256</v>
      </c>
      <c r="C306" s="352">
        <v>65313382</v>
      </c>
      <c r="D306" s="310"/>
      <c r="E306" s="310"/>
    </row>
    <row r="307" spans="1:5" ht="12.6" customHeight="1" x14ac:dyDescent="0.25">
      <c r="A307" s="341" t="s">
        <v>399</v>
      </c>
      <c r="B307" s="338" t="s">
        <v>256</v>
      </c>
      <c r="C307" s="352">
        <v>7258586</v>
      </c>
      <c r="D307" s="310"/>
      <c r="E307" s="310"/>
    </row>
    <row r="308" spans="1:5" ht="12.6" customHeight="1" x14ac:dyDescent="0.25">
      <c r="A308" s="341" t="s">
        <v>400</v>
      </c>
      <c r="B308" s="338" t="s">
        <v>256</v>
      </c>
      <c r="C308" s="352"/>
      <c r="D308" s="310"/>
      <c r="E308" s="310"/>
    </row>
    <row r="309" spans="1:5" ht="12.6" customHeight="1" x14ac:dyDescent="0.25">
      <c r="A309" s="341" t="s">
        <v>978</v>
      </c>
      <c r="B309" s="338" t="s">
        <v>256</v>
      </c>
      <c r="C309" s="352">
        <v>7709249</v>
      </c>
      <c r="D309" s="310"/>
      <c r="E309" s="310"/>
    </row>
    <row r="310" spans="1:5" ht="12.6" customHeight="1" x14ac:dyDescent="0.25">
      <c r="A310" s="341" t="s">
        <v>401</v>
      </c>
      <c r="B310" s="338" t="s">
        <v>256</v>
      </c>
      <c r="C310" s="352">
        <v>1840007</v>
      </c>
      <c r="D310" s="310"/>
      <c r="E310" s="310"/>
    </row>
    <row r="311" spans="1:5" ht="12.6" customHeight="1" x14ac:dyDescent="0.25">
      <c r="A311" s="341" t="s">
        <v>402</v>
      </c>
      <c r="B311" s="338" t="s">
        <v>256</v>
      </c>
      <c r="C311" s="352"/>
      <c r="D311" s="310"/>
      <c r="E311" s="310"/>
    </row>
    <row r="312" spans="1:5" ht="12.6" customHeight="1" x14ac:dyDescent="0.25">
      <c r="A312" s="341" t="s">
        <v>403</v>
      </c>
      <c r="B312" s="338" t="s">
        <v>256</v>
      </c>
      <c r="C312" s="352">
        <v>18854035</v>
      </c>
      <c r="D312" s="310"/>
      <c r="E312" s="310"/>
    </row>
    <row r="313" spans="1:5" ht="12.6" customHeight="1" x14ac:dyDescent="0.25">
      <c r="A313" s="341" t="s">
        <v>404</v>
      </c>
      <c r="B313" s="338" t="s">
        <v>256</v>
      </c>
      <c r="C313" s="352"/>
      <c r="D313" s="310"/>
      <c r="E313" s="310"/>
    </row>
    <row r="314" spans="1:5" ht="12.6" customHeight="1" x14ac:dyDescent="0.25">
      <c r="A314" s="341" t="s">
        <v>405</v>
      </c>
      <c r="B314" s="310"/>
      <c r="C314" s="350"/>
      <c r="D314" s="310">
        <f>SUM(C304:C313)</f>
        <v>143709861</v>
      </c>
      <c r="E314" s="310"/>
    </row>
    <row r="315" spans="1:5" ht="12.6" customHeight="1" x14ac:dyDescent="0.25">
      <c r="A315" s="351" t="s">
        <v>406</v>
      </c>
      <c r="B315" s="351"/>
      <c r="C315" s="351"/>
      <c r="D315" s="351"/>
      <c r="E315" s="351"/>
    </row>
    <row r="316" spans="1:5" ht="12.6" customHeight="1" x14ac:dyDescent="0.25">
      <c r="A316" s="341" t="s">
        <v>407</v>
      </c>
      <c r="B316" s="338" t="s">
        <v>256</v>
      </c>
      <c r="C316" s="352"/>
      <c r="D316" s="310"/>
      <c r="E316" s="310"/>
    </row>
    <row r="317" spans="1:5" ht="12.6" customHeight="1" x14ac:dyDescent="0.25">
      <c r="A317" s="341" t="s">
        <v>408</v>
      </c>
      <c r="B317" s="338" t="s">
        <v>256</v>
      </c>
      <c r="C317" s="352"/>
      <c r="D317" s="310"/>
      <c r="E317" s="310"/>
    </row>
    <row r="318" spans="1:5" ht="12.6" customHeight="1" x14ac:dyDescent="0.25">
      <c r="A318" s="341" t="s">
        <v>409</v>
      </c>
      <c r="B318" s="338" t="s">
        <v>256</v>
      </c>
      <c r="C318" s="352"/>
      <c r="D318" s="310"/>
      <c r="E318" s="310"/>
    </row>
    <row r="319" spans="1:5" ht="12.6" customHeight="1" x14ac:dyDescent="0.25">
      <c r="A319" s="341" t="s">
        <v>410</v>
      </c>
      <c r="B319" s="310"/>
      <c r="C319" s="350"/>
      <c r="D319" s="310">
        <f>SUM(C316:C318)</f>
        <v>0</v>
      </c>
      <c r="E319" s="310"/>
    </row>
    <row r="320" spans="1:5" ht="12.6" customHeight="1" x14ac:dyDescent="0.25">
      <c r="A320" s="351" t="s">
        <v>411</v>
      </c>
      <c r="B320" s="351"/>
      <c r="C320" s="351"/>
      <c r="D320" s="351"/>
      <c r="E320" s="351"/>
    </row>
    <row r="321" spans="1:5" ht="12.6" customHeight="1" x14ac:dyDescent="0.25">
      <c r="A321" s="341" t="s">
        <v>412</v>
      </c>
      <c r="B321" s="338" t="s">
        <v>256</v>
      </c>
      <c r="C321" s="352"/>
      <c r="D321" s="310"/>
      <c r="E321" s="310"/>
    </row>
    <row r="322" spans="1:5" ht="12.6" customHeight="1" x14ac:dyDescent="0.25">
      <c r="A322" s="341" t="s">
        <v>413</v>
      </c>
      <c r="B322" s="338" t="s">
        <v>256</v>
      </c>
      <c r="C322" s="352"/>
      <c r="D322" s="310"/>
      <c r="E322" s="310"/>
    </row>
    <row r="323" spans="1:5" ht="12.6" customHeight="1" x14ac:dyDescent="0.25">
      <c r="A323" s="341" t="s">
        <v>414</v>
      </c>
      <c r="B323" s="338" t="s">
        <v>256</v>
      </c>
      <c r="C323" s="352"/>
      <c r="D323" s="310"/>
      <c r="E323" s="310"/>
    </row>
    <row r="324" spans="1:5" ht="12.6" customHeight="1" x14ac:dyDescent="0.25">
      <c r="A324" s="337" t="s">
        <v>415</v>
      </c>
      <c r="B324" s="338" t="s">
        <v>256</v>
      </c>
      <c r="C324" s="352"/>
      <c r="D324" s="310"/>
      <c r="E324" s="310"/>
    </row>
    <row r="325" spans="1:5" ht="12.6" customHeight="1" x14ac:dyDescent="0.25">
      <c r="A325" s="341" t="s">
        <v>416</v>
      </c>
      <c r="B325" s="338" t="s">
        <v>256</v>
      </c>
      <c r="C325" s="352">
        <v>417788328</v>
      </c>
      <c r="D325" s="310"/>
      <c r="E325" s="310"/>
    </row>
    <row r="326" spans="1:5" ht="12.6" customHeight="1" x14ac:dyDescent="0.25">
      <c r="A326" s="337" t="s">
        <v>417</v>
      </c>
      <c r="B326" s="338" t="s">
        <v>256</v>
      </c>
      <c r="C326" s="352"/>
      <c r="D326" s="310"/>
      <c r="E326" s="310"/>
    </row>
    <row r="327" spans="1:5" ht="12.6" customHeight="1" x14ac:dyDescent="0.25">
      <c r="A327" s="341" t="s">
        <v>418</v>
      </c>
      <c r="B327" s="338" t="s">
        <v>256</v>
      </c>
      <c r="C327" s="352">
        <v>78252381.400000006</v>
      </c>
      <c r="D327" s="310"/>
      <c r="E327" s="310"/>
    </row>
    <row r="328" spans="1:5" ht="19.5" customHeight="1" x14ac:dyDescent="0.25">
      <c r="A328" s="341" t="s">
        <v>203</v>
      </c>
      <c r="B328" s="310"/>
      <c r="C328" s="350"/>
      <c r="D328" s="310">
        <f>SUM(C321:C327)</f>
        <v>496040709.39999998</v>
      </c>
      <c r="E328" s="310"/>
    </row>
    <row r="329" spans="1:5" ht="12.6" customHeight="1" x14ac:dyDescent="0.25">
      <c r="A329" s="341" t="s">
        <v>419</v>
      </c>
      <c r="B329" s="310"/>
      <c r="C329" s="350"/>
      <c r="D329" s="310">
        <f>C313</f>
        <v>0</v>
      </c>
      <c r="E329" s="310"/>
    </row>
    <row r="330" spans="1:5" ht="12.6" customHeight="1" x14ac:dyDescent="0.25">
      <c r="A330" s="341" t="s">
        <v>420</v>
      </c>
      <c r="B330" s="310"/>
      <c r="C330" s="350"/>
      <c r="D330" s="310">
        <f>D328-D329</f>
        <v>496040709.39999998</v>
      </c>
      <c r="E330" s="310"/>
    </row>
    <row r="331" spans="1:5" ht="12.6" customHeight="1" x14ac:dyDescent="0.25">
      <c r="A331" s="341"/>
      <c r="B331" s="310"/>
      <c r="C331" s="350"/>
      <c r="D331" s="310"/>
      <c r="E331" s="310"/>
    </row>
    <row r="332" spans="1:5" ht="12.6" customHeight="1" x14ac:dyDescent="0.25">
      <c r="A332" s="341" t="s">
        <v>421</v>
      </c>
      <c r="B332" s="338" t="s">
        <v>256</v>
      </c>
      <c r="C332" s="353">
        <v>484339835</v>
      </c>
      <c r="D332" s="310"/>
      <c r="E332" s="310"/>
    </row>
    <row r="333" spans="1:5" ht="12.6" customHeight="1" x14ac:dyDescent="0.25">
      <c r="A333" s="341"/>
      <c r="B333" s="338"/>
      <c r="C333" s="366"/>
      <c r="D333" s="310"/>
      <c r="E333" s="310"/>
    </row>
    <row r="334" spans="1:5" ht="12.6" customHeight="1" x14ac:dyDescent="0.25">
      <c r="A334" s="341" t="s">
        <v>878</v>
      </c>
      <c r="B334" s="338" t="s">
        <v>256</v>
      </c>
      <c r="C334" s="353"/>
      <c r="D334" s="310"/>
      <c r="E334" s="310"/>
    </row>
    <row r="335" spans="1:5" ht="12.6" customHeight="1" x14ac:dyDescent="0.25">
      <c r="A335" s="341" t="s">
        <v>879</v>
      </c>
      <c r="B335" s="338" t="s">
        <v>256</v>
      </c>
      <c r="C335" s="353"/>
      <c r="D335" s="310"/>
      <c r="E335" s="310"/>
    </row>
    <row r="336" spans="1:5" ht="12.6" customHeight="1" x14ac:dyDescent="0.25">
      <c r="A336" s="341" t="s">
        <v>423</v>
      </c>
      <c r="B336" s="338" t="s">
        <v>256</v>
      </c>
      <c r="C336" s="353"/>
      <c r="D336" s="310"/>
      <c r="E336" s="310"/>
    </row>
    <row r="337" spans="1:5" ht="12.6" customHeight="1" x14ac:dyDescent="0.25">
      <c r="A337" s="341" t="s">
        <v>422</v>
      </c>
      <c r="B337" s="338" t="s">
        <v>256</v>
      </c>
      <c r="C337" s="352"/>
      <c r="D337" s="310"/>
      <c r="E337" s="310"/>
    </row>
    <row r="338" spans="1:5" ht="12.6" customHeight="1" x14ac:dyDescent="0.25">
      <c r="A338" s="341" t="s">
        <v>989</v>
      </c>
      <c r="B338" s="338" t="s">
        <v>256</v>
      </c>
      <c r="C338" s="352"/>
      <c r="D338" s="310"/>
      <c r="E338" s="310"/>
    </row>
    <row r="339" spans="1:5" ht="12.6" customHeight="1" x14ac:dyDescent="0.25">
      <c r="A339" s="341" t="s">
        <v>424</v>
      </c>
      <c r="B339" s="310"/>
      <c r="C339" s="350"/>
      <c r="D339" s="310">
        <f>D314+D319+D330+C332+C336+C337</f>
        <v>1124090405.4000001</v>
      </c>
      <c r="E339" s="310"/>
    </row>
    <row r="340" spans="1:5" ht="12.6" customHeight="1" x14ac:dyDescent="0.25">
      <c r="A340" s="341"/>
      <c r="B340" s="310"/>
      <c r="C340" s="350"/>
      <c r="D340" s="310"/>
      <c r="E340" s="310"/>
    </row>
    <row r="341" spans="1:5" ht="12.6" customHeight="1" x14ac:dyDescent="0.25">
      <c r="A341" s="341" t="s">
        <v>425</v>
      </c>
      <c r="B341" s="310"/>
      <c r="C341" s="350"/>
      <c r="D341" s="310">
        <f>D292</f>
        <v>1124090405.4000001</v>
      </c>
      <c r="E341" s="310"/>
    </row>
    <row r="342" spans="1:5" ht="12.6" customHeight="1" x14ac:dyDescent="0.25">
      <c r="A342" s="341"/>
      <c r="B342" s="341"/>
      <c r="C342" s="350"/>
      <c r="D342" s="310"/>
      <c r="E342" s="310"/>
    </row>
    <row r="343" spans="1:5" ht="12.6" customHeight="1" x14ac:dyDescent="0.25">
      <c r="A343" s="341"/>
      <c r="B343" s="341"/>
      <c r="C343" s="350"/>
      <c r="D343" s="310"/>
      <c r="E343" s="310"/>
    </row>
    <row r="344" spans="1:5" ht="12.6" customHeight="1" x14ac:dyDescent="0.25">
      <c r="A344" s="341"/>
      <c r="B344" s="341"/>
      <c r="C344" s="350"/>
      <c r="D344" s="310"/>
      <c r="E344" s="310"/>
    </row>
    <row r="345" spans="1:5" ht="12.6" customHeight="1" x14ac:dyDescent="0.25">
      <c r="A345" s="341"/>
      <c r="B345" s="341"/>
      <c r="C345" s="350"/>
      <c r="D345" s="310"/>
      <c r="E345" s="310"/>
    </row>
    <row r="346" spans="1:5" ht="12.6" customHeight="1" x14ac:dyDescent="0.25">
      <c r="A346" s="341"/>
      <c r="B346" s="341"/>
      <c r="C346" s="350"/>
      <c r="D346" s="310"/>
      <c r="E346" s="310"/>
    </row>
    <row r="347" spans="1:5" ht="12.6" customHeight="1" x14ac:dyDescent="0.25">
      <c r="A347" s="341"/>
      <c r="B347" s="341"/>
      <c r="C347" s="350"/>
      <c r="D347" s="310"/>
      <c r="E347" s="310"/>
    </row>
    <row r="348" spans="1:5" ht="12.6" customHeight="1" x14ac:dyDescent="0.25">
      <c r="A348" s="341"/>
      <c r="B348" s="341"/>
      <c r="C348" s="350"/>
      <c r="D348" s="310"/>
      <c r="E348" s="310"/>
    </row>
    <row r="349" spans="1:5" ht="12.6" customHeight="1" x14ac:dyDescent="0.25">
      <c r="A349" s="341"/>
      <c r="B349" s="341"/>
      <c r="C349" s="350"/>
      <c r="D349" s="310"/>
      <c r="E349" s="310"/>
    </row>
    <row r="350" spans="1:5" ht="12.6" customHeight="1" x14ac:dyDescent="0.25">
      <c r="A350" s="341"/>
      <c r="B350" s="341"/>
      <c r="C350" s="350"/>
      <c r="D350" s="310"/>
      <c r="E350" s="310"/>
    </row>
    <row r="351" spans="1:5" ht="12.6" customHeight="1" x14ac:dyDescent="0.25">
      <c r="A351" s="341"/>
      <c r="B351" s="341"/>
      <c r="C351" s="350"/>
      <c r="D351" s="310"/>
      <c r="E351" s="310"/>
    </row>
    <row r="352" spans="1:5" ht="12.6" customHeight="1" x14ac:dyDescent="0.25">
      <c r="A352" s="341"/>
      <c r="B352" s="341"/>
      <c r="C352" s="350"/>
      <c r="D352" s="310"/>
      <c r="E352" s="310"/>
    </row>
    <row r="353" spans="1:5" ht="12.6" customHeight="1" x14ac:dyDescent="0.25">
      <c r="A353" s="341"/>
      <c r="B353" s="341"/>
      <c r="C353" s="350"/>
      <c r="D353" s="310"/>
      <c r="E353" s="310"/>
    </row>
    <row r="354" spans="1:5" ht="12.6" customHeight="1" x14ac:dyDescent="0.25">
      <c r="A354" s="341"/>
      <c r="B354" s="341"/>
      <c r="C354" s="350"/>
      <c r="D354" s="310"/>
      <c r="E354" s="310"/>
    </row>
    <row r="355" spans="1:5" ht="12.6" customHeight="1" x14ac:dyDescent="0.25">
      <c r="A355" s="341"/>
      <c r="B355" s="341"/>
      <c r="C355" s="350"/>
      <c r="D355" s="310"/>
      <c r="E355" s="310"/>
    </row>
    <row r="356" spans="1:5" ht="15.9" customHeight="1" x14ac:dyDescent="0.25">
      <c r="A356" s="341"/>
      <c r="B356" s="341"/>
      <c r="C356" s="350"/>
      <c r="D356" s="310"/>
      <c r="E356" s="310"/>
    </row>
    <row r="357" spans="1:5" ht="15.9" customHeight="1" x14ac:dyDescent="0.3">
      <c r="A357" s="367" t="s">
        <v>426</v>
      </c>
      <c r="B357" s="367"/>
      <c r="C357" s="367"/>
      <c r="D357" s="367"/>
      <c r="E357" s="367"/>
    </row>
    <row r="358" spans="1:5" ht="15.9" customHeight="1" x14ac:dyDescent="0.3">
      <c r="A358" s="368" t="s">
        <v>427</v>
      </c>
      <c r="B358" s="368"/>
      <c r="C358" s="368"/>
      <c r="D358" s="368"/>
      <c r="E358" s="368"/>
    </row>
    <row r="359" spans="1:5" ht="15.9" customHeight="1" x14ac:dyDescent="0.3">
      <c r="A359" s="369" t="s">
        <v>428</v>
      </c>
      <c r="B359" s="370" t="s">
        <v>256</v>
      </c>
      <c r="C359" s="371">
        <f>+E141+E147</f>
        <v>766281992.5</v>
      </c>
      <c r="D359" s="297"/>
      <c r="E359" s="297"/>
    </row>
    <row r="360" spans="1:5" ht="15.9" customHeight="1" x14ac:dyDescent="0.3">
      <c r="A360" s="369" t="s">
        <v>429</v>
      </c>
      <c r="B360" s="370" t="s">
        <v>256</v>
      </c>
      <c r="C360" s="371">
        <f>+E142+E148</f>
        <v>1690104864</v>
      </c>
      <c r="D360" s="297"/>
      <c r="E360" s="297"/>
    </row>
    <row r="361" spans="1:5" ht="15.9" customHeight="1" x14ac:dyDescent="0.3">
      <c r="A361" s="369" t="s">
        <v>430</v>
      </c>
      <c r="B361" s="297"/>
      <c r="C361" s="309"/>
      <c r="D361" s="297">
        <f>SUM(C359:C360)</f>
        <v>2456386856.5</v>
      </c>
      <c r="E361" s="297"/>
    </row>
    <row r="362" spans="1:5" ht="15.9" customHeight="1" x14ac:dyDescent="0.3">
      <c r="A362" s="368" t="s">
        <v>431</v>
      </c>
      <c r="B362" s="368"/>
      <c r="C362" s="368"/>
      <c r="D362" s="368"/>
      <c r="E362" s="368"/>
    </row>
    <row r="363" spans="1:5" ht="15.9" customHeight="1" x14ac:dyDescent="0.3">
      <c r="A363" s="369" t="s">
        <v>991</v>
      </c>
      <c r="B363" s="368"/>
      <c r="C363" s="372">
        <f>+D221</f>
        <v>239609</v>
      </c>
      <c r="D363" s="297"/>
      <c r="E363" s="368"/>
    </row>
    <row r="364" spans="1:5" ht="15.9" customHeight="1" x14ac:dyDescent="0.3">
      <c r="A364" s="369" t="s">
        <v>432</v>
      </c>
      <c r="B364" s="370" t="s">
        <v>256</v>
      </c>
      <c r="C364" s="372">
        <f>+D229</f>
        <v>1271006472</v>
      </c>
      <c r="D364" s="297"/>
      <c r="E364" s="297"/>
    </row>
    <row r="365" spans="1:5" ht="15.9" customHeight="1" x14ac:dyDescent="0.3">
      <c r="A365" s="369" t="s">
        <v>433</v>
      </c>
      <c r="B365" s="370" t="s">
        <v>256</v>
      </c>
      <c r="C365" s="372">
        <f>+D236</f>
        <v>21387921</v>
      </c>
      <c r="D365" s="297"/>
      <c r="E365" s="297"/>
    </row>
    <row r="366" spans="1:5" ht="15.9" customHeight="1" x14ac:dyDescent="0.3">
      <c r="A366" s="369" t="s">
        <v>434</v>
      </c>
      <c r="B366" s="370" t="s">
        <v>256</v>
      </c>
      <c r="C366" s="372">
        <f>+D240</f>
        <v>88783974</v>
      </c>
      <c r="D366" s="297"/>
      <c r="E366" s="297"/>
    </row>
    <row r="367" spans="1:5" ht="15.9" customHeight="1" x14ac:dyDescent="0.3">
      <c r="A367" s="369" t="s">
        <v>359</v>
      </c>
      <c r="B367" s="297"/>
      <c r="C367" s="309"/>
      <c r="D367" s="297">
        <f>SUM(C363:C366)</f>
        <v>1381417976</v>
      </c>
      <c r="E367" s="297"/>
    </row>
    <row r="368" spans="1:5" ht="15.9" customHeight="1" x14ac:dyDescent="0.3">
      <c r="A368" s="369" t="s">
        <v>435</v>
      </c>
      <c r="B368" s="297"/>
      <c r="C368" s="309"/>
      <c r="D368" s="297">
        <f>D361-D367</f>
        <v>1074968880.5</v>
      </c>
      <c r="E368" s="297"/>
    </row>
    <row r="369" spans="1:5" ht="15.9" customHeight="1" x14ac:dyDescent="0.3">
      <c r="A369" s="368" t="s">
        <v>436</v>
      </c>
      <c r="B369" s="368"/>
      <c r="C369" s="368"/>
      <c r="D369" s="368"/>
      <c r="E369" s="368"/>
    </row>
    <row r="370" spans="1:5" ht="15.9" customHeight="1" x14ac:dyDescent="0.3">
      <c r="A370" s="369" t="s">
        <v>437</v>
      </c>
      <c r="B370" s="370" t="s">
        <v>256</v>
      </c>
      <c r="C370" s="372">
        <f>CE70</f>
        <v>62841523</v>
      </c>
      <c r="D370" s="297"/>
      <c r="E370" s="297"/>
    </row>
    <row r="371" spans="1:5" ht="15.9" customHeight="1" x14ac:dyDescent="0.3">
      <c r="A371" s="369" t="s">
        <v>438</v>
      </c>
      <c r="B371" s="370" t="s">
        <v>256</v>
      </c>
      <c r="C371" s="372"/>
      <c r="D371" s="297"/>
      <c r="E371" s="297"/>
    </row>
    <row r="372" spans="1:5" ht="15.9" customHeight="1" x14ac:dyDescent="0.3">
      <c r="A372" s="369" t="s">
        <v>439</v>
      </c>
      <c r="B372" s="297"/>
      <c r="C372" s="309"/>
      <c r="D372" s="297">
        <f>SUM(C370:C371)</f>
        <v>62841523</v>
      </c>
      <c r="E372" s="297"/>
    </row>
    <row r="373" spans="1:5" ht="15.9" customHeight="1" x14ac:dyDescent="0.3">
      <c r="A373" s="369" t="s">
        <v>440</v>
      </c>
      <c r="B373" s="297"/>
      <c r="C373" s="309"/>
      <c r="D373" s="297">
        <f>D368+D372</f>
        <v>1137810403.5</v>
      </c>
      <c r="E373" s="297"/>
    </row>
    <row r="374" spans="1:5" ht="15.9" customHeight="1" x14ac:dyDescent="0.3">
      <c r="A374" s="369"/>
      <c r="B374" s="297"/>
      <c r="C374" s="309"/>
      <c r="D374" s="297"/>
      <c r="E374" s="297"/>
    </row>
    <row r="375" spans="1:5" ht="15.9" customHeight="1" x14ac:dyDescent="0.3">
      <c r="A375" s="369"/>
      <c r="B375" s="297"/>
      <c r="C375" s="309"/>
      <c r="D375" s="297"/>
      <c r="E375" s="297"/>
    </row>
    <row r="376" spans="1:5" ht="15.9" customHeight="1" x14ac:dyDescent="0.3">
      <c r="A376" s="369"/>
      <c r="B376" s="297"/>
      <c r="C376" s="309"/>
      <c r="D376" s="297"/>
      <c r="E376" s="297"/>
    </row>
    <row r="377" spans="1:5" ht="15.9" customHeight="1" x14ac:dyDescent="0.3">
      <c r="A377" s="368" t="s">
        <v>441</v>
      </c>
      <c r="B377" s="368"/>
      <c r="C377" s="368"/>
      <c r="D377" s="368"/>
      <c r="E377" s="368"/>
    </row>
    <row r="378" spans="1:5" ht="15.9" customHeight="1" x14ac:dyDescent="0.3">
      <c r="A378" s="369" t="s">
        <v>442</v>
      </c>
      <c r="B378" s="370" t="s">
        <v>256</v>
      </c>
      <c r="C378" s="372">
        <f>+CE61</f>
        <v>534258826.29999995</v>
      </c>
      <c r="D378" s="297"/>
      <c r="E378" s="297"/>
    </row>
    <row r="379" spans="1:5" ht="15.9" customHeight="1" x14ac:dyDescent="0.3">
      <c r="A379" s="369" t="s">
        <v>3</v>
      </c>
      <c r="B379" s="370" t="s">
        <v>256</v>
      </c>
      <c r="C379" s="372">
        <f>+D173</f>
        <v>115575655</v>
      </c>
      <c r="D379" s="297"/>
      <c r="E379" s="297"/>
    </row>
    <row r="380" spans="1:5" ht="15.9" customHeight="1" x14ac:dyDescent="0.3">
      <c r="A380" s="369" t="s">
        <v>236</v>
      </c>
      <c r="B380" s="370" t="s">
        <v>256</v>
      </c>
      <c r="C380" s="372">
        <f>+CE63</f>
        <v>9608692</v>
      </c>
      <c r="D380" s="297"/>
      <c r="E380" s="297"/>
    </row>
    <row r="381" spans="1:5" ht="15.9" customHeight="1" x14ac:dyDescent="0.3">
      <c r="A381" s="369" t="s">
        <v>443</v>
      </c>
      <c r="B381" s="370" t="s">
        <v>256</v>
      </c>
      <c r="C381" s="372">
        <f t="shared" ref="C381:C384" si="12">+CE64</f>
        <v>261475828</v>
      </c>
      <c r="D381" s="297"/>
      <c r="E381" s="297"/>
    </row>
    <row r="382" spans="1:5" ht="15.9" customHeight="1" x14ac:dyDescent="0.3">
      <c r="A382" s="369" t="s">
        <v>444</v>
      </c>
      <c r="B382" s="370" t="s">
        <v>256</v>
      </c>
      <c r="C382" s="372">
        <f t="shared" si="12"/>
        <v>11308769</v>
      </c>
      <c r="D382" s="297"/>
      <c r="E382" s="297"/>
    </row>
    <row r="383" spans="1:5" ht="15.9" customHeight="1" x14ac:dyDescent="0.3">
      <c r="A383" s="369" t="s">
        <v>445</v>
      </c>
      <c r="B383" s="370" t="s">
        <v>256</v>
      </c>
      <c r="C383" s="372">
        <f t="shared" si="12"/>
        <v>48440301</v>
      </c>
      <c r="D383" s="297"/>
      <c r="E383" s="297"/>
    </row>
    <row r="384" spans="1:5" ht="15.9" customHeight="1" x14ac:dyDescent="0.3">
      <c r="A384" s="369" t="s">
        <v>6</v>
      </c>
      <c r="B384" s="370" t="s">
        <v>256</v>
      </c>
      <c r="C384" s="372">
        <f t="shared" si="12"/>
        <v>40820826</v>
      </c>
      <c r="D384" s="297"/>
      <c r="E384" s="297"/>
    </row>
    <row r="385" spans="1:6" ht="15.9" customHeight="1" x14ac:dyDescent="0.3">
      <c r="A385" s="369" t="s">
        <v>446</v>
      </c>
      <c r="B385" s="370" t="s">
        <v>256</v>
      </c>
      <c r="C385" s="372">
        <f>CE68</f>
        <v>17360634</v>
      </c>
      <c r="D385" s="297"/>
      <c r="E385" s="297"/>
    </row>
    <row r="386" spans="1:6" ht="15.9" customHeight="1" x14ac:dyDescent="0.3">
      <c r="A386" s="369" t="s">
        <v>447</v>
      </c>
      <c r="B386" s="370" t="s">
        <v>256</v>
      </c>
      <c r="C386" s="372">
        <f>+D181</f>
        <v>7232944.9900000002</v>
      </c>
      <c r="D386" s="297"/>
      <c r="E386" s="297"/>
    </row>
    <row r="387" spans="1:6" ht="15.9" customHeight="1" x14ac:dyDescent="0.3">
      <c r="A387" s="369" t="s">
        <v>448</v>
      </c>
      <c r="B387" s="370" t="s">
        <v>256</v>
      </c>
      <c r="C387" s="372">
        <f>+D186</f>
        <v>26165485.949999999</v>
      </c>
      <c r="D387" s="297"/>
      <c r="E387" s="297"/>
    </row>
    <row r="388" spans="1:6" ht="15.9" customHeight="1" x14ac:dyDescent="0.3">
      <c r="A388" s="369" t="s">
        <v>449</v>
      </c>
      <c r="B388" s="370" t="s">
        <v>256</v>
      </c>
      <c r="C388" s="372">
        <f>+D190</f>
        <v>13290109.800000001</v>
      </c>
      <c r="D388" s="297"/>
      <c r="E388" s="297"/>
    </row>
    <row r="389" spans="1:6" ht="15.9" customHeight="1" x14ac:dyDescent="0.3">
      <c r="A389" s="369" t="s">
        <v>451</v>
      </c>
      <c r="B389" s="370" t="s">
        <v>256</v>
      </c>
      <c r="C389" s="373">
        <f>+CE69-C388-C387-C386+858.5-858.5</f>
        <v>52897114.259999998</v>
      </c>
      <c r="D389" s="297"/>
      <c r="E389" s="297"/>
    </row>
    <row r="390" spans="1:6" ht="15.9" customHeight="1" x14ac:dyDescent="0.3">
      <c r="A390" s="369" t="s">
        <v>452</v>
      </c>
      <c r="B390" s="297"/>
      <c r="C390" s="309"/>
      <c r="D390" s="297">
        <f>SUM(C378:C389)</f>
        <v>1138435186.3</v>
      </c>
      <c r="E390" s="297"/>
    </row>
    <row r="391" spans="1:6" ht="15.9" customHeight="1" x14ac:dyDescent="0.3">
      <c r="A391" s="369" t="s">
        <v>453</v>
      </c>
      <c r="B391" s="297"/>
      <c r="C391" s="309"/>
      <c r="D391" s="297">
        <f>D373-D390</f>
        <v>-624782.79999995232</v>
      </c>
      <c r="E391" s="297"/>
    </row>
    <row r="392" spans="1:6" ht="15.9" customHeight="1" x14ac:dyDescent="0.3">
      <c r="A392" s="369" t="s">
        <v>454</v>
      </c>
      <c r="B392" s="370" t="s">
        <v>256</v>
      </c>
      <c r="C392" s="372">
        <f>-13016838.5-17104</f>
        <v>-13033942.5</v>
      </c>
      <c r="D392" s="297"/>
      <c r="E392" s="297"/>
    </row>
    <row r="393" spans="1:6" ht="15.9" customHeight="1" x14ac:dyDescent="0.3">
      <c r="A393" s="369" t="s">
        <v>455</v>
      </c>
      <c r="B393" s="297"/>
      <c r="C393" s="309"/>
      <c r="D393" s="307">
        <f>D391+C392</f>
        <v>-13658725.299999952</v>
      </c>
      <c r="E393" s="297"/>
      <c r="F393" s="374"/>
    </row>
    <row r="394" spans="1:6" ht="15.9" customHeight="1" x14ac:dyDescent="0.3">
      <c r="A394" s="369" t="s">
        <v>456</v>
      </c>
      <c r="B394" s="370" t="s">
        <v>256</v>
      </c>
      <c r="C394" s="372"/>
      <c r="D394" s="297"/>
      <c r="E394" s="297"/>
    </row>
    <row r="395" spans="1:6" ht="15.9" customHeight="1" x14ac:dyDescent="0.3">
      <c r="A395" s="369" t="s">
        <v>457</v>
      </c>
      <c r="B395" s="370" t="s">
        <v>256</v>
      </c>
      <c r="C395" s="372">
        <f>3246756.5</f>
        <v>3246756.5</v>
      </c>
      <c r="D395" s="297"/>
      <c r="E395" s="297"/>
    </row>
    <row r="396" spans="1:6" ht="15.9" customHeight="1" x14ac:dyDescent="0.3">
      <c r="A396" s="369" t="s">
        <v>458</v>
      </c>
      <c r="B396" s="297"/>
      <c r="C396" s="309"/>
      <c r="D396" s="297">
        <f>D393+C394-C395</f>
        <v>-16905481.799999952</v>
      </c>
      <c r="E396" s="297"/>
    </row>
    <row r="397" spans="1:6" ht="13.5" customHeight="1" x14ac:dyDescent="0.25">
      <c r="A397" s="264"/>
      <c r="B397" s="264"/>
    </row>
    <row r="398" spans="1:6" ht="12.6" customHeight="1" x14ac:dyDescent="0.25">
      <c r="A398" s="264"/>
      <c r="B398" s="264"/>
    </row>
    <row r="399" spans="1:6" ht="12.6" customHeight="1" x14ac:dyDescent="0.25">
      <c r="A399" s="264"/>
      <c r="B399" s="264"/>
    </row>
    <row r="400" spans="1:6" ht="12" customHeight="1" x14ac:dyDescent="0.25">
      <c r="A400" s="264"/>
      <c r="B400" s="264"/>
    </row>
    <row r="401" spans="1:5" ht="12" customHeight="1" x14ac:dyDescent="0.25">
      <c r="A401" s="264"/>
      <c r="B401" s="264"/>
    </row>
    <row r="402" spans="1:5" ht="12" customHeight="1" x14ac:dyDescent="0.25">
      <c r="A402" s="264"/>
      <c r="B402" s="264"/>
    </row>
    <row r="403" spans="1:5" ht="12" customHeight="1" x14ac:dyDescent="0.25">
      <c r="A403" s="264"/>
      <c r="B403" s="264"/>
    </row>
    <row r="404" spans="1:5" ht="12" customHeight="1" x14ac:dyDescent="0.25">
      <c r="A404" s="264"/>
      <c r="B404" s="264"/>
    </row>
    <row r="405" spans="1:5" ht="12.6" customHeight="1" x14ac:dyDescent="0.25">
      <c r="A405" s="264"/>
      <c r="B405" s="264"/>
    </row>
    <row r="406" spans="1:5" ht="12.6" customHeight="1" x14ac:dyDescent="0.25">
      <c r="A406" s="264"/>
      <c r="B406" s="264"/>
    </row>
    <row r="407" spans="1:5" ht="12.6" customHeight="1" x14ac:dyDescent="0.25">
      <c r="A407" s="264"/>
      <c r="B407" s="264"/>
    </row>
    <row r="408" spans="1:5" ht="12.6" customHeight="1" x14ac:dyDescent="0.25">
      <c r="A408" s="264"/>
      <c r="B408" s="264"/>
    </row>
    <row r="409" spans="1:5" ht="12.6" customHeight="1" x14ac:dyDescent="0.25">
      <c r="A409" s="264"/>
      <c r="B409" s="264"/>
    </row>
    <row r="410" spans="1:5" ht="12.6" customHeight="1" x14ac:dyDescent="0.25">
      <c r="A410" s="264"/>
      <c r="B410" s="264"/>
    </row>
    <row r="411" spans="1:5" ht="12.6" customHeight="1" x14ac:dyDescent="0.25">
      <c r="A411" s="264"/>
      <c r="B411" s="264"/>
      <c r="C411" s="375" t="s">
        <v>459</v>
      </c>
      <c r="D411" s="264"/>
      <c r="E411" s="376"/>
    </row>
    <row r="412" spans="1:5" ht="12.6" customHeight="1" x14ac:dyDescent="0.25">
      <c r="A412" s="264" t="str">
        <f>C84&amp;"   "&amp;"H-"&amp;FIXED(C83,0,TRUE)&amp;"     FYE "&amp;C82</f>
        <v>Virginia Mason Medical Center   H-0     FYE 12/31/2018</v>
      </c>
      <c r="B412" s="264"/>
      <c r="C412" s="264"/>
      <c r="D412" s="264"/>
      <c r="E412" s="376"/>
    </row>
    <row r="413" spans="1:5" ht="12.6" customHeight="1" x14ac:dyDescent="0.25">
      <c r="A413" s="264" t="s">
        <v>460</v>
      </c>
      <c r="B413" s="375" t="s">
        <v>461</v>
      </c>
      <c r="C413" s="375" t="s">
        <v>979</v>
      </c>
      <c r="D413" s="375" t="s">
        <v>462</v>
      </c>
    </row>
    <row r="414" spans="1:5" ht="12.6" customHeight="1" x14ac:dyDescent="0.25">
      <c r="A414" s="264" t="s">
        <v>463</v>
      </c>
      <c r="B414" s="264">
        <f>C111</f>
        <v>12460</v>
      </c>
      <c r="C414" s="377">
        <f>E138</f>
        <v>12460</v>
      </c>
      <c r="D414" s="264"/>
    </row>
    <row r="415" spans="1:5" ht="12.6" customHeight="1" x14ac:dyDescent="0.25">
      <c r="A415" s="264" t="s">
        <v>464</v>
      </c>
      <c r="B415" s="264">
        <f>D111</f>
        <v>67588</v>
      </c>
      <c r="C415" s="264">
        <f>E139</f>
        <v>67588</v>
      </c>
      <c r="D415" s="377">
        <f>SUM(C59:H59)+N59</f>
        <v>67588</v>
      </c>
    </row>
    <row r="416" spans="1:5" ht="12.6" customHeight="1" x14ac:dyDescent="0.25">
      <c r="A416" s="264"/>
      <c r="B416" s="264"/>
      <c r="C416" s="377"/>
      <c r="D416" s="264"/>
    </row>
    <row r="417" spans="1:7" ht="12.6" customHeight="1" x14ac:dyDescent="0.25">
      <c r="A417" s="264" t="s">
        <v>465</v>
      </c>
      <c r="B417" s="264">
        <f>C112</f>
        <v>70</v>
      </c>
      <c r="C417" s="377">
        <f>E144</f>
        <v>70</v>
      </c>
      <c r="D417" s="264"/>
    </row>
    <row r="418" spans="1:7" ht="12.6" customHeight="1" x14ac:dyDescent="0.25">
      <c r="A418" s="264" t="s">
        <v>466</v>
      </c>
      <c r="B418" s="264">
        <f>D112</f>
        <v>11791</v>
      </c>
      <c r="C418" s="264">
        <f>E145</f>
        <v>11791</v>
      </c>
      <c r="D418" s="264">
        <f>K59+L59</f>
        <v>11791</v>
      </c>
    </row>
    <row r="419" spans="1:7" ht="12.6" customHeight="1" x14ac:dyDescent="0.25">
      <c r="A419" s="264"/>
      <c r="B419" s="264"/>
      <c r="C419" s="377"/>
      <c r="D419" s="264"/>
    </row>
    <row r="420" spans="1:7" ht="12.6" customHeight="1" x14ac:dyDescent="0.25">
      <c r="A420" s="264" t="s">
        <v>467</v>
      </c>
      <c r="B420" s="264">
        <f>C113</f>
        <v>0</v>
      </c>
      <c r="C420" s="264">
        <f>E150</f>
        <v>0</v>
      </c>
      <c r="D420" s="264"/>
    </row>
    <row r="421" spans="1:7" ht="12.6" customHeight="1" x14ac:dyDescent="0.25">
      <c r="A421" s="264" t="s">
        <v>468</v>
      </c>
      <c r="B421" s="264">
        <f>D113</f>
        <v>0</v>
      </c>
      <c r="C421" s="264">
        <f>E151</f>
        <v>0</v>
      </c>
      <c r="D421" s="264">
        <f>I59</f>
        <v>0</v>
      </c>
    </row>
    <row r="422" spans="1:7" ht="12.6" customHeight="1" x14ac:dyDescent="0.25">
      <c r="A422" s="378"/>
      <c r="B422" s="378"/>
      <c r="C422" s="375"/>
      <c r="D422" s="264"/>
    </row>
    <row r="423" spans="1:7" ht="12.6" customHeight="1" x14ac:dyDescent="0.25">
      <c r="A423" s="265" t="s">
        <v>469</v>
      </c>
      <c r="B423" s="265">
        <f>C114</f>
        <v>0</v>
      </c>
    </row>
    <row r="424" spans="1:7" ht="12.6" customHeight="1" x14ac:dyDescent="0.25">
      <c r="A424" s="264" t="s">
        <v>980</v>
      </c>
      <c r="B424" s="264">
        <f>D114</f>
        <v>0</v>
      </c>
      <c r="D424" s="264">
        <f>J59</f>
        <v>0</v>
      </c>
    </row>
    <row r="425" spans="1:7" ht="12.6" customHeight="1" x14ac:dyDescent="0.25">
      <c r="A425" s="378"/>
      <c r="B425" s="378"/>
      <c r="C425" s="378"/>
      <c r="D425" s="378"/>
      <c r="F425" s="378"/>
      <c r="G425" s="378"/>
    </row>
    <row r="426" spans="1:7" ht="12.6" customHeight="1" x14ac:dyDescent="0.25">
      <c r="A426" s="264" t="s">
        <v>470</v>
      </c>
      <c r="B426" s="375" t="s">
        <v>471</v>
      </c>
      <c r="C426" s="375" t="s">
        <v>462</v>
      </c>
      <c r="D426" s="375" t="s">
        <v>472</v>
      </c>
    </row>
    <row r="427" spans="1:7" ht="12.6" customHeight="1" x14ac:dyDescent="0.25">
      <c r="A427" s="264" t="s">
        <v>473</v>
      </c>
      <c r="B427" s="264">
        <f t="shared" ref="B427:B437" si="13">C378</f>
        <v>534258826.29999995</v>
      </c>
      <c r="C427" s="264">
        <f t="shared" ref="C427:C434" si="14">CE61</f>
        <v>534258826.29999995</v>
      </c>
      <c r="D427" s="264"/>
    </row>
    <row r="428" spans="1:7" ht="12.6" customHeight="1" x14ac:dyDescent="0.25">
      <c r="A428" s="264" t="s">
        <v>3</v>
      </c>
      <c r="B428" s="264">
        <f t="shared" si="13"/>
        <v>115575655</v>
      </c>
      <c r="C428" s="264">
        <f t="shared" si="14"/>
        <v>115575655</v>
      </c>
      <c r="D428" s="264">
        <f>D173</f>
        <v>115575655</v>
      </c>
    </row>
    <row r="429" spans="1:7" ht="12.6" customHeight="1" x14ac:dyDescent="0.25">
      <c r="A429" s="264" t="s">
        <v>236</v>
      </c>
      <c r="B429" s="264">
        <f t="shared" si="13"/>
        <v>9608692</v>
      </c>
      <c r="C429" s="264">
        <f t="shared" si="14"/>
        <v>9608692</v>
      </c>
      <c r="D429" s="264"/>
    </row>
    <row r="430" spans="1:7" ht="12.6" customHeight="1" x14ac:dyDescent="0.25">
      <c r="A430" s="264" t="s">
        <v>237</v>
      </c>
      <c r="B430" s="264">
        <f t="shared" si="13"/>
        <v>261475828</v>
      </c>
      <c r="C430" s="264">
        <f t="shared" si="14"/>
        <v>261475828</v>
      </c>
      <c r="D430" s="264"/>
    </row>
    <row r="431" spans="1:7" ht="12.6" customHeight="1" x14ac:dyDescent="0.25">
      <c r="A431" s="264" t="s">
        <v>444</v>
      </c>
      <c r="B431" s="264">
        <f t="shared" si="13"/>
        <v>11308769</v>
      </c>
      <c r="C431" s="264">
        <f t="shared" si="14"/>
        <v>11308769</v>
      </c>
      <c r="D431" s="264"/>
    </row>
    <row r="432" spans="1:7" ht="12.6" customHeight="1" x14ac:dyDescent="0.25">
      <c r="A432" s="264" t="s">
        <v>445</v>
      </c>
      <c r="B432" s="264">
        <f t="shared" si="13"/>
        <v>48440301</v>
      </c>
      <c r="C432" s="264">
        <f t="shared" si="14"/>
        <v>48440301</v>
      </c>
      <c r="D432" s="264"/>
    </row>
    <row r="433" spans="1:7" ht="12.6" customHeight="1" x14ac:dyDescent="0.25">
      <c r="A433" s="264" t="s">
        <v>6</v>
      </c>
      <c r="B433" s="264">
        <f t="shared" si="13"/>
        <v>40820826</v>
      </c>
      <c r="C433" s="264">
        <f t="shared" si="14"/>
        <v>40820826</v>
      </c>
      <c r="D433" s="264">
        <f>C217</f>
        <v>41020499</v>
      </c>
    </row>
    <row r="434" spans="1:7" ht="12.6" customHeight="1" x14ac:dyDescent="0.25">
      <c r="A434" s="264" t="s">
        <v>474</v>
      </c>
      <c r="B434" s="264">
        <f t="shared" si="13"/>
        <v>17360634</v>
      </c>
      <c r="C434" s="264">
        <f t="shared" si="14"/>
        <v>17360634</v>
      </c>
      <c r="D434" s="264">
        <f>D177</f>
        <v>17360634.300000001</v>
      </c>
    </row>
    <row r="435" spans="1:7" ht="12.6" customHeight="1" x14ac:dyDescent="0.25">
      <c r="A435" s="264" t="s">
        <v>447</v>
      </c>
      <c r="B435" s="264">
        <f t="shared" si="13"/>
        <v>7232944.9900000002</v>
      </c>
      <c r="C435" s="264"/>
      <c r="D435" s="264">
        <f>D181</f>
        <v>7232944.9900000002</v>
      </c>
    </row>
    <row r="436" spans="1:7" ht="12.6" customHeight="1" x14ac:dyDescent="0.25">
      <c r="A436" s="264" t="s">
        <v>475</v>
      </c>
      <c r="B436" s="264">
        <f t="shared" si="13"/>
        <v>26165485.949999999</v>
      </c>
      <c r="C436" s="264"/>
      <c r="D436" s="264">
        <f>D186</f>
        <v>26165485.949999999</v>
      </c>
    </row>
    <row r="437" spans="1:7" ht="12.6" customHeight="1" x14ac:dyDescent="0.25">
      <c r="A437" s="377" t="s">
        <v>449</v>
      </c>
      <c r="B437" s="377">
        <f t="shared" si="13"/>
        <v>13290109.800000001</v>
      </c>
      <c r="C437" s="377"/>
      <c r="D437" s="377">
        <f>D190</f>
        <v>13290109.800000001</v>
      </c>
    </row>
    <row r="438" spans="1:7" ht="12.6" customHeight="1" x14ac:dyDescent="0.25">
      <c r="A438" s="377" t="s">
        <v>476</v>
      </c>
      <c r="B438" s="377">
        <f>C386+C387+C388</f>
        <v>46688540.739999995</v>
      </c>
      <c r="C438" s="377">
        <f>CD69</f>
        <v>44771756</v>
      </c>
      <c r="D438" s="377">
        <f>D181+D186+D190</f>
        <v>46688540.739999995</v>
      </c>
    </row>
    <row r="439" spans="1:7" ht="12.6" customHeight="1" x14ac:dyDescent="0.25">
      <c r="A439" s="264" t="s">
        <v>451</v>
      </c>
      <c r="B439" s="377">
        <f>C389</f>
        <v>52897114.259999998</v>
      </c>
      <c r="C439" s="377">
        <f>SUM(C69:CC69)</f>
        <v>54813899</v>
      </c>
      <c r="D439" s="264"/>
    </row>
    <row r="440" spans="1:7" ht="12.6" customHeight="1" x14ac:dyDescent="0.25">
      <c r="A440" s="264" t="s">
        <v>477</v>
      </c>
      <c r="B440" s="377">
        <f>B438+B439</f>
        <v>99585655</v>
      </c>
      <c r="C440" s="377">
        <f>CE69</f>
        <v>99585655</v>
      </c>
      <c r="D440" s="264"/>
    </row>
    <row r="441" spans="1:7" ht="12.6" customHeight="1" x14ac:dyDescent="0.25">
      <c r="A441" s="264" t="s">
        <v>478</v>
      </c>
      <c r="B441" s="264">
        <f>D390</f>
        <v>1138435186.3</v>
      </c>
      <c r="C441" s="264">
        <f>SUM(C427:C437)+C440</f>
        <v>1138435186.3</v>
      </c>
      <c r="D441" s="264"/>
    </row>
    <row r="442" spans="1:7" ht="12.6" customHeight="1" x14ac:dyDescent="0.25">
      <c r="A442" s="378"/>
      <c r="B442" s="378"/>
      <c r="C442" s="378"/>
      <c r="D442" s="378"/>
      <c r="F442" s="378"/>
      <c r="G442" s="378"/>
    </row>
    <row r="443" spans="1:7" ht="12.6" customHeight="1" x14ac:dyDescent="0.25">
      <c r="A443" s="264" t="s">
        <v>479</v>
      </c>
      <c r="B443" s="375" t="s">
        <v>480</v>
      </c>
      <c r="C443" s="375" t="s">
        <v>471</v>
      </c>
      <c r="D443" s="264"/>
    </row>
    <row r="444" spans="1:7" ht="12.6" customHeight="1" x14ac:dyDescent="0.25">
      <c r="A444" s="264" t="s">
        <v>992</v>
      </c>
      <c r="B444" s="264">
        <f>D221</f>
        <v>239609</v>
      </c>
      <c r="C444" s="264">
        <f>C363</f>
        <v>239609</v>
      </c>
      <c r="D444" s="264"/>
    </row>
    <row r="445" spans="1:7" ht="12.6" customHeight="1" x14ac:dyDescent="0.25">
      <c r="A445" s="264" t="s">
        <v>343</v>
      </c>
      <c r="B445" s="264">
        <f>D229</f>
        <v>1271006472</v>
      </c>
      <c r="C445" s="264">
        <f>C364</f>
        <v>1271006472</v>
      </c>
      <c r="D445" s="264"/>
    </row>
    <row r="446" spans="1:7" ht="12.6" customHeight="1" x14ac:dyDescent="0.25">
      <c r="A446" s="264" t="s">
        <v>351</v>
      </c>
      <c r="B446" s="264">
        <f>D236</f>
        <v>21387921</v>
      </c>
      <c r="C446" s="264">
        <f>C365</f>
        <v>21387921</v>
      </c>
      <c r="D446" s="264"/>
    </row>
    <row r="447" spans="1:7" ht="12.6" customHeight="1" x14ac:dyDescent="0.25">
      <c r="A447" s="264" t="s">
        <v>356</v>
      </c>
      <c r="B447" s="264">
        <f>D240</f>
        <v>88783974</v>
      </c>
      <c r="C447" s="264">
        <f>C366</f>
        <v>88783974</v>
      </c>
      <c r="D447" s="264"/>
    </row>
    <row r="448" spans="1:7" ht="12.6" customHeight="1" x14ac:dyDescent="0.25">
      <c r="A448" s="264" t="s">
        <v>358</v>
      </c>
      <c r="B448" s="264">
        <f>D242</f>
        <v>1381417976</v>
      </c>
      <c r="C448" s="264">
        <f>D367</f>
        <v>1381417976</v>
      </c>
      <c r="D448" s="264"/>
    </row>
    <row r="449" spans="1:7" ht="12.6" customHeight="1" x14ac:dyDescent="0.25">
      <c r="A449" s="378"/>
      <c r="B449" s="378"/>
      <c r="C449" s="378"/>
      <c r="D449" s="378"/>
      <c r="F449" s="378"/>
      <c r="G449" s="378"/>
    </row>
    <row r="450" spans="1:7" ht="12.6" customHeight="1" x14ac:dyDescent="0.25">
      <c r="A450" s="265" t="s">
        <v>481</v>
      </c>
      <c r="B450" s="375" t="s">
        <v>482</v>
      </c>
      <c r="C450" s="378"/>
      <c r="D450" s="378"/>
      <c r="F450" s="378"/>
      <c r="G450" s="378"/>
    </row>
    <row r="451" spans="1:7" ht="12.6" customHeight="1" x14ac:dyDescent="0.25">
      <c r="B451" s="375" t="s">
        <v>483</v>
      </c>
    </row>
    <row r="452" spans="1:7" ht="12.6" customHeight="1" x14ac:dyDescent="0.25">
      <c r="B452" s="375" t="s">
        <v>472</v>
      </c>
    </row>
    <row r="453" spans="1:7" ht="12.6" customHeight="1" x14ac:dyDescent="0.25">
      <c r="A453" s="279" t="s">
        <v>484</v>
      </c>
      <c r="B453" s="265">
        <f>C231</f>
        <v>5535</v>
      </c>
    </row>
    <row r="454" spans="1:7" ht="12.6" customHeight="1" x14ac:dyDescent="0.25">
      <c r="A454" s="264" t="s">
        <v>168</v>
      </c>
      <c r="B454" s="264">
        <f>C233</f>
        <v>5416164</v>
      </c>
      <c r="C454" s="264"/>
      <c r="D454" s="264"/>
    </row>
    <row r="455" spans="1:7" ht="12.6" customHeight="1" x14ac:dyDescent="0.25">
      <c r="A455" s="264" t="s">
        <v>131</v>
      </c>
      <c r="B455" s="264">
        <f>C234</f>
        <v>15971757</v>
      </c>
      <c r="C455" s="264"/>
      <c r="D455" s="264"/>
    </row>
    <row r="456" spans="1:7" ht="12.6" customHeight="1" x14ac:dyDescent="0.25">
      <c r="A456" s="378"/>
      <c r="B456" s="378"/>
      <c r="C456" s="378"/>
      <c r="D456" s="378"/>
      <c r="F456" s="378"/>
      <c r="G456" s="378"/>
    </row>
    <row r="457" spans="1:7" ht="12.6" customHeight="1" x14ac:dyDescent="0.25">
      <c r="A457" s="264" t="s">
        <v>485</v>
      </c>
      <c r="B457" s="375" t="s">
        <v>471</v>
      </c>
      <c r="C457" s="375" t="s">
        <v>486</v>
      </c>
      <c r="D457" s="264"/>
    </row>
    <row r="458" spans="1:7" ht="12.6" customHeight="1" x14ac:dyDescent="0.25">
      <c r="A458" s="264" t="s">
        <v>487</v>
      </c>
      <c r="B458" s="377">
        <f>C370</f>
        <v>62841523</v>
      </c>
      <c r="C458" s="377">
        <f>CE70</f>
        <v>62841523</v>
      </c>
      <c r="D458" s="377"/>
    </row>
    <row r="459" spans="1:7" ht="12.6" customHeight="1" x14ac:dyDescent="0.25">
      <c r="A459" s="264" t="s">
        <v>244</v>
      </c>
      <c r="B459" s="377">
        <f>C371</f>
        <v>0</v>
      </c>
      <c r="C459" s="377">
        <f>CE72</f>
        <v>0</v>
      </c>
      <c r="D459" s="377"/>
    </row>
    <row r="460" spans="1:7" ht="12.6" customHeight="1" x14ac:dyDescent="0.25">
      <c r="A460" s="378"/>
      <c r="B460" s="378"/>
      <c r="C460" s="378"/>
      <c r="D460" s="378"/>
      <c r="F460" s="378"/>
      <c r="G460" s="378"/>
    </row>
    <row r="461" spans="1:7" ht="12.6" customHeight="1" x14ac:dyDescent="0.25">
      <c r="A461" s="264" t="s">
        <v>488</v>
      </c>
      <c r="B461" s="375"/>
      <c r="C461" s="375"/>
      <c r="D461" s="375" t="s">
        <v>981</v>
      </c>
    </row>
    <row r="462" spans="1:7" ht="12.6" customHeight="1" x14ac:dyDescent="0.25">
      <c r="B462" s="375" t="s">
        <v>471</v>
      </c>
      <c r="C462" s="375" t="s">
        <v>486</v>
      </c>
      <c r="D462" s="375" t="s">
        <v>490</v>
      </c>
    </row>
    <row r="463" spans="1:7" ht="12.6" customHeight="1" x14ac:dyDescent="0.25">
      <c r="A463" s="264" t="s">
        <v>245</v>
      </c>
      <c r="B463" s="377">
        <f>C359</f>
        <v>766281992.5</v>
      </c>
      <c r="C463" s="377">
        <f>CE73</f>
        <v>766281993</v>
      </c>
      <c r="D463" s="377">
        <f>E141+E147+E153</f>
        <v>766281992.5</v>
      </c>
    </row>
    <row r="464" spans="1:7" ht="12.6" customHeight="1" x14ac:dyDescent="0.25">
      <c r="A464" s="264" t="s">
        <v>246</v>
      </c>
      <c r="B464" s="377">
        <f>C360</f>
        <v>1690104864</v>
      </c>
      <c r="C464" s="377">
        <f>CE74</f>
        <v>1690104864</v>
      </c>
      <c r="D464" s="377">
        <f>E142+E148+E154</f>
        <v>1690104864</v>
      </c>
    </row>
    <row r="465" spans="1:7" ht="12.6" customHeight="1" x14ac:dyDescent="0.25">
      <c r="A465" s="264" t="s">
        <v>247</v>
      </c>
      <c r="B465" s="377">
        <f>D361</f>
        <v>2456386856.5</v>
      </c>
      <c r="C465" s="377">
        <f>CE75</f>
        <v>2456386857</v>
      </c>
      <c r="D465" s="377">
        <f>D463+D464</f>
        <v>2456386856.5</v>
      </c>
    </row>
    <row r="466" spans="1:7" ht="12.6" customHeight="1" x14ac:dyDescent="0.25">
      <c r="A466" s="378"/>
      <c r="B466" s="378"/>
      <c r="C466" s="378"/>
      <c r="D466" s="378"/>
      <c r="F466" s="378"/>
      <c r="G466" s="378"/>
    </row>
    <row r="467" spans="1:7" ht="12.6" customHeight="1" x14ac:dyDescent="0.25">
      <c r="A467" s="264" t="s">
        <v>491</v>
      </c>
      <c r="B467" s="375" t="s">
        <v>492</v>
      </c>
      <c r="C467" s="375" t="s">
        <v>493</v>
      </c>
      <c r="D467" s="264"/>
    </row>
    <row r="468" spans="1:7" ht="12.6" customHeight="1" x14ac:dyDescent="0.25">
      <c r="A468" s="264" t="s">
        <v>332</v>
      </c>
      <c r="B468" s="264">
        <f t="shared" ref="B468:B475" si="15">C267</f>
        <v>40851056</v>
      </c>
      <c r="C468" s="264">
        <f>E195</f>
        <v>40851056</v>
      </c>
      <c r="D468" s="264"/>
    </row>
    <row r="469" spans="1:7" ht="12.6" customHeight="1" x14ac:dyDescent="0.25">
      <c r="A469" s="264" t="s">
        <v>333</v>
      </c>
      <c r="B469" s="264">
        <f t="shared" si="15"/>
        <v>3084542</v>
      </c>
      <c r="C469" s="264">
        <f>E196</f>
        <v>3084541.5</v>
      </c>
      <c r="D469" s="264"/>
    </row>
    <row r="470" spans="1:7" ht="12.6" customHeight="1" x14ac:dyDescent="0.25">
      <c r="A470" s="264" t="s">
        <v>334</v>
      </c>
      <c r="B470" s="264">
        <f t="shared" si="15"/>
        <v>621684640</v>
      </c>
      <c r="C470" s="264">
        <f>E197</f>
        <v>621684640</v>
      </c>
      <c r="D470" s="264"/>
    </row>
    <row r="471" spans="1:7" ht="12.6" customHeight="1" x14ac:dyDescent="0.25">
      <c r="A471" s="264" t="s">
        <v>494</v>
      </c>
      <c r="B471" s="264">
        <f t="shared" si="15"/>
        <v>42388584</v>
      </c>
      <c r="C471" s="264">
        <f>E198</f>
        <v>42388584</v>
      </c>
      <c r="D471" s="264"/>
    </row>
    <row r="472" spans="1:7" ht="12.6" customHeight="1" x14ac:dyDescent="0.25">
      <c r="A472" s="264" t="s">
        <v>377</v>
      </c>
      <c r="B472" s="264">
        <f t="shared" si="15"/>
        <v>3797270</v>
      </c>
      <c r="C472" s="264">
        <f>E199</f>
        <v>3797270</v>
      </c>
      <c r="D472" s="264"/>
    </row>
    <row r="473" spans="1:7" ht="12.6" customHeight="1" x14ac:dyDescent="0.25">
      <c r="A473" s="264" t="s">
        <v>495</v>
      </c>
      <c r="B473" s="264">
        <f t="shared" si="15"/>
        <v>375256258</v>
      </c>
      <c r="C473" s="264">
        <f>SUM(E200:E201)</f>
        <v>375256259</v>
      </c>
      <c r="D473" s="264"/>
    </row>
    <row r="474" spans="1:7" ht="12.6" customHeight="1" x14ac:dyDescent="0.25">
      <c r="A474" s="264" t="s">
        <v>339</v>
      </c>
      <c r="B474" s="264">
        <f t="shared" si="15"/>
        <v>23290294</v>
      </c>
      <c r="C474" s="264">
        <f>E202</f>
        <v>23290294</v>
      </c>
      <c r="D474" s="264"/>
    </row>
    <row r="475" spans="1:7" ht="12.6" customHeight="1" x14ac:dyDescent="0.25">
      <c r="A475" s="264" t="s">
        <v>340</v>
      </c>
      <c r="B475" s="264">
        <f t="shared" si="15"/>
        <v>33758736</v>
      </c>
      <c r="C475" s="264">
        <f>E203</f>
        <v>33758735.5</v>
      </c>
      <c r="D475" s="264"/>
    </row>
    <row r="476" spans="1:7" ht="12.6" customHeight="1" x14ac:dyDescent="0.25">
      <c r="A476" s="264" t="s">
        <v>203</v>
      </c>
      <c r="B476" s="264">
        <f>D275</f>
        <v>1144111380</v>
      </c>
      <c r="C476" s="264">
        <f>E204</f>
        <v>1144111380</v>
      </c>
      <c r="D476" s="264"/>
    </row>
    <row r="477" spans="1:7" ht="12.6" customHeight="1" x14ac:dyDescent="0.25">
      <c r="A477" s="264"/>
      <c r="B477" s="264"/>
      <c r="C477" s="264"/>
      <c r="D477" s="264"/>
    </row>
    <row r="478" spans="1:7" ht="12.6" customHeight="1" x14ac:dyDescent="0.25">
      <c r="A478" s="264" t="s">
        <v>496</v>
      </c>
      <c r="B478" s="264">
        <f>C276</f>
        <v>595533046</v>
      </c>
      <c r="C478" s="264">
        <f>E217</f>
        <v>595533046</v>
      </c>
      <c r="D478" s="264"/>
    </row>
    <row r="480" spans="1:7" ht="12.6" customHeight="1" x14ac:dyDescent="0.25">
      <c r="A480" s="265" t="s">
        <v>497</v>
      </c>
    </row>
    <row r="481" spans="1:12" ht="12.6" customHeight="1" x14ac:dyDescent="0.25">
      <c r="A481" s="265" t="s">
        <v>498</v>
      </c>
      <c r="C481" s="265">
        <f>D341</f>
        <v>1124090405.4000001</v>
      </c>
    </row>
    <row r="482" spans="1:12" ht="12.6" customHeight="1" x14ac:dyDescent="0.25">
      <c r="A482" s="265" t="s">
        <v>499</v>
      </c>
      <c r="C482" s="265">
        <f>D339</f>
        <v>1124090405.4000001</v>
      </c>
    </row>
    <row r="485" spans="1:12" ht="12.6" customHeight="1" x14ac:dyDescent="0.25">
      <c r="A485" s="279" t="s">
        <v>500</v>
      </c>
    </row>
    <row r="486" spans="1:12" ht="12.6" customHeight="1" x14ac:dyDescent="0.25">
      <c r="A486" s="279" t="s">
        <v>501</v>
      </c>
    </row>
    <row r="487" spans="1:12" ht="12.6" customHeight="1" x14ac:dyDescent="0.25">
      <c r="A487" s="279" t="s">
        <v>502</v>
      </c>
    </row>
    <row r="488" spans="1:12" ht="12.6" customHeight="1" x14ac:dyDescent="0.25">
      <c r="A488" s="279"/>
    </row>
    <row r="489" spans="1:12" ht="12.6" customHeight="1" x14ac:dyDescent="0.25">
      <c r="A489" s="281" t="s">
        <v>503</v>
      </c>
    </row>
    <row r="490" spans="1:12" ht="12.6" customHeight="1" x14ac:dyDescent="0.25">
      <c r="A490" s="279" t="s">
        <v>504</v>
      </c>
    </row>
    <row r="491" spans="1:12" ht="12.6" customHeight="1" x14ac:dyDescent="0.25">
      <c r="A491" s="279"/>
    </row>
    <row r="493" spans="1:12" ht="12.6" customHeight="1" x14ac:dyDescent="0.25">
      <c r="A493" s="265" t="str">
        <f>C83</f>
        <v>010</v>
      </c>
      <c r="B493" s="379" t="s">
        <v>1002</v>
      </c>
      <c r="C493" s="379" t="str">
        <f>RIGHT(C82,4)</f>
        <v>2018</v>
      </c>
      <c r="D493" s="379" t="s">
        <v>1002</v>
      </c>
      <c r="E493" s="379" t="str">
        <f>RIGHT(C82,4)</f>
        <v>2018</v>
      </c>
      <c r="F493" s="379" t="s">
        <v>1002</v>
      </c>
      <c r="G493" s="379" t="str">
        <f>RIGHT(C82,4)</f>
        <v>2018</v>
      </c>
      <c r="H493" s="379"/>
      <c r="K493" s="379"/>
      <c r="L493" s="379"/>
    </row>
    <row r="494" spans="1:12" ht="12.6" customHeight="1" x14ac:dyDescent="0.25">
      <c r="A494" s="281"/>
      <c r="B494" s="375" t="s">
        <v>505</v>
      </c>
      <c r="C494" s="375" t="s">
        <v>505</v>
      </c>
      <c r="D494" s="380" t="s">
        <v>506</v>
      </c>
      <c r="E494" s="380" t="s">
        <v>506</v>
      </c>
      <c r="F494" s="379" t="s">
        <v>507</v>
      </c>
      <c r="G494" s="379" t="s">
        <v>507</v>
      </c>
      <c r="H494" s="379" t="s">
        <v>508</v>
      </c>
      <c r="K494" s="379"/>
      <c r="L494" s="379"/>
    </row>
    <row r="495" spans="1:12" ht="12.6" customHeight="1" x14ac:dyDescent="0.25">
      <c r="B495" s="375" t="s">
        <v>303</v>
      </c>
      <c r="C495" s="375" t="s">
        <v>303</v>
      </c>
      <c r="D495" s="375" t="s">
        <v>509</v>
      </c>
      <c r="E495" s="375" t="s">
        <v>509</v>
      </c>
      <c r="F495" s="379" t="s">
        <v>510</v>
      </c>
      <c r="G495" s="379" t="s">
        <v>510</v>
      </c>
      <c r="H495" s="379" t="s">
        <v>511</v>
      </c>
      <c r="K495" s="379"/>
      <c r="L495" s="379"/>
    </row>
    <row r="496" spans="1:12" ht="12.6" customHeight="1" x14ac:dyDescent="0.25">
      <c r="A496" s="265" t="s">
        <v>512</v>
      </c>
      <c r="B496" s="289">
        <v>12814426</v>
      </c>
      <c r="C496" s="289">
        <f>C71</f>
        <v>14672977</v>
      </c>
      <c r="D496" s="289">
        <v>5578</v>
      </c>
      <c r="E496" s="265">
        <f>C59</f>
        <v>6846</v>
      </c>
      <c r="F496" s="381">
        <f t="shared" ref="F496:G511" si="16">IF(B496=0,"",IF(D496=0,"",B496/D496))</f>
        <v>2297.3155252778774</v>
      </c>
      <c r="G496" s="382">
        <f t="shared" si="16"/>
        <v>2143.2919953257378</v>
      </c>
      <c r="H496" s="383" t="str">
        <f>IF(B496=0,"",IF(C496=0,"",IF(D496=0,"",IF(E496=0,"",IF(G496/F496-1&lt;-0.25,G496/F496-1,IF(G496/F496-1&gt;0.25,G496/F496-1,""))))))</f>
        <v/>
      </c>
      <c r="I496" s="384"/>
      <c r="K496" s="379"/>
      <c r="L496" s="379"/>
    </row>
    <row r="497" spans="1:12" ht="12.6" customHeight="1" x14ac:dyDescent="0.25">
      <c r="A497" s="265" t="s">
        <v>513</v>
      </c>
      <c r="B497" s="289">
        <v>0</v>
      </c>
      <c r="C497" s="289">
        <f>D71</f>
        <v>0</v>
      </c>
      <c r="D497" s="289">
        <v>0</v>
      </c>
      <c r="E497" s="265">
        <f>D59</f>
        <v>0</v>
      </c>
      <c r="F497" s="381" t="str">
        <f t="shared" si="16"/>
        <v/>
      </c>
      <c r="G497" s="381" t="str">
        <f t="shared" si="16"/>
        <v/>
      </c>
      <c r="H497" s="383" t="str">
        <f t="shared" ref="H497:H550" si="17">IF(B497=0,"",IF(C497=0,"",IF(D497=0,"",IF(E497=0,"",IF(G497/F497-1&lt;-0.25,G497/F497-1,IF(G497/F497-1&gt;0.25,G497/F497-1,""))))))</f>
        <v/>
      </c>
      <c r="I497" s="384"/>
      <c r="K497" s="379"/>
      <c r="L497" s="379"/>
    </row>
    <row r="498" spans="1:12" ht="12.6" customHeight="1" x14ac:dyDescent="0.25">
      <c r="A498" s="265" t="s">
        <v>514</v>
      </c>
      <c r="B498" s="289">
        <v>55825414</v>
      </c>
      <c r="C498" s="289">
        <f>E71</f>
        <v>60211741</v>
      </c>
      <c r="D498" s="289">
        <v>54971</v>
      </c>
      <c r="E498" s="265">
        <f>E59</f>
        <v>60742</v>
      </c>
      <c r="F498" s="381">
        <f t="shared" si="16"/>
        <v>1015.5429953975732</v>
      </c>
      <c r="G498" s="381">
        <f t="shared" si="16"/>
        <v>991.27030720094831</v>
      </c>
      <c r="H498" s="383" t="str">
        <f t="shared" si="17"/>
        <v/>
      </c>
      <c r="I498" s="384"/>
      <c r="K498" s="379"/>
      <c r="L498" s="379"/>
    </row>
    <row r="499" spans="1:12" ht="12.6" customHeight="1" x14ac:dyDescent="0.25">
      <c r="A499" s="265" t="s">
        <v>515</v>
      </c>
      <c r="B499" s="289">
        <v>0</v>
      </c>
      <c r="C499" s="289">
        <f>F71</f>
        <v>0</v>
      </c>
      <c r="D499" s="289">
        <v>0</v>
      </c>
      <c r="E499" s="265">
        <f>F59</f>
        <v>0</v>
      </c>
      <c r="F499" s="381" t="str">
        <f t="shared" si="16"/>
        <v/>
      </c>
      <c r="G499" s="381" t="str">
        <f t="shared" si="16"/>
        <v/>
      </c>
      <c r="H499" s="383" t="str">
        <f t="shared" si="17"/>
        <v/>
      </c>
      <c r="I499" s="384"/>
      <c r="K499" s="379"/>
      <c r="L499" s="379"/>
    </row>
    <row r="500" spans="1:12" ht="12.6" customHeight="1" x14ac:dyDescent="0.25">
      <c r="A500" s="265" t="s">
        <v>516</v>
      </c>
      <c r="B500" s="289">
        <v>0</v>
      </c>
      <c r="C500" s="289">
        <f>G71</f>
        <v>0</v>
      </c>
      <c r="D500" s="289">
        <v>0</v>
      </c>
      <c r="E500" s="265">
        <f>G59</f>
        <v>0</v>
      </c>
      <c r="F500" s="381" t="str">
        <f t="shared" si="16"/>
        <v/>
      </c>
      <c r="G500" s="381" t="str">
        <f t="shared" si="16"/>
        <v/>
      </c>
      <c r="H500" s="383" t="str">
        <f t="shared" si="17"/>
        <v/>
      </c>
      <c r="I500" s="384"/>
      <c r="K500" s="379"/>
      <c r="L500" s="379"/>
    </row>
    <row r="501" spans="1:12" ht="12.6" customHeight="1" x14ac:dyDescent="0.25">
      <c r="A501" s="265" t="s">
        <v>517</v>
      </c>
      <c r="B501" s="289">
        <v>0</v>
      </c>
      <c r="C501" s="289">
        <f>H71</f>
        <v>0</v>
      </c>
      <c r="D501" s="289">
        <v>0</v>
      </c>
      <c r="E501" s="265">
        <f>H59</f>
        <v>0</v>
      </c>
      <c r="F501" s="381" t="str">
        <f t="shared" si="16"/>
        <v/>
      </c>
      <c r="G501" s="381" t="str">
        <f t="shared" si="16"/>
        <v/>
      </c>
      <c r="H501" s="383" t="str">
        <f t="shared" si="17"/>
        <v/>
      </c>
      <c r="I501" s="384"/>
      <c r="K501" s="379"/>
      <c r="L501" s="379"/>
    </row>
    <row r="502" spans="1:12" ht="12.6" customHeight="1" x14ac:dyDescent="0.25">
      <c r="A502" s="265" t="s">
        <v>518</v>
      </c>
      <c r="B502" s="289">
        <v>0</v>
      </c>
      <c r="C502" s="289">
        <f>I71</f>
        <v>0</v>
      </c>
      <c r="D502" s="289">
        <v>0</v>
      </c>
      <c r="E502" s="265">
        <f>I59</f>
        <v>0</v>
      </c>
      <c r="F502" s="381" t="str">
        <f t="shared" si="16"/>
        <v/>
      </c>
      <c r="G502" s="381" t="str">
        <f t="shared" si="16"/>
        <v/>
      </c>
      <c r="H502" s="383" t="str">
        <f t="shared" si="17"/>
        <v/>
      </c>
      <c r="I502" s="384"/>
      <c r="K502" s="379"/>
      <c r="L502" s="379"/>
    </row>
    <row r="503" spans="1:12" ht="12.6" customHeight="1" x14ac:dyDescent="0.25">
      <c r="A503" s="265" t="s">
        <v>519</v>
      </c>
      <c r="B503" s="289">
        <v>0</v>
      </c>
      <c r="C503" s="289">
        <f>J71</f>
        <v>0</v>
      </c>
      <c r="D503" s="289">
        <v>0</v>
      </c>
      <c r="E503" s="265">
        <f>J59</f>
        <v>0</v>
      </c>
      <c r="F503" s="381" t="str">
        <f t="shared" si="16"/>
        <v/>
      </c>
      <c r="G503" s="381" t="str">
        <f t="shared" si="16"/>
        <v/>
      </c>
      <c r="H503" s="383" t="str">
        <f t="shared" si="17"/>
        <v/>
      </c>
      <c r="I503" s="384"/>
      <c r="K503" s="379"/>
      <c r="L503" s="379"/>
    </row>
    <row r="504" spans="1:12" ht="12.6" customHeight="1" x14ac:dyDescent="0.25">
      <c r="A504" s="265" t="s">
        <v>520</v>
      </c>
      <c r="B504" s="289">
        <v>10469102</v>
      </c>
      <c r="C504" s="289">
        <f>K71</f>
        <v>9500969</v>
      </c>
      <c r="D504" s="289">
        <v>12428</v>
      </c>
      <c r="E504" s="265">
        <f>K59</f>
        <v>11791</v>
      </c>
      <c r="F504" s="381">
        <f t="shared" si="16"/>
        <v>842.38027035725781</v>
      </c>
      <c r="G504" s="381">
        <f t="shared" si="16"/>
        <v>805.78144347383602</v>
      </c>
      <c r="H504" s="383" t="str">
        <f t="shared" si="17"/>
        <v/>
      </c>
      <c r="I504" s="384"/>
      <c r="K504" s="379"/>
      <c r="L504" s="379"/>
    </row>
    <row r="505" spans="1:12" ht="12.6" customHeight="1" x14ac:dyDescent="0.25">
      <c r="A505" s="265" t="s">
        <v>521</v>
      </c>
      <c r="B505" s="289">
        <v>0</v>
      </c>
      <c r="C505" s="289">
        <f>L71</f>
        <v>0</v>
      </c>
      <c r="D505" s="289">
        <v>0</v>
      </c>
      <c r="E505" s="265">
        <f>L59</f>
        <v>0</v>
      </c>
      <c r="F505" s="381" t="str">
        <f t="shared" si="16"/>
        <v/>
      </c>
      <c r="G505" s="381" t="str">
        <f t="shared" si="16"/>
        <v/>
      </c>
      <c r="H505" s="383" t="str">
        <f t="shared" si="17"/>
        <v/>
      </c>
      <c r="I505" s="384"/>
      <c r="K505" s="379"/>
      <c r="L505" s="379"/>
    </row>
    <row r="506" spans="1:12" ht="12.6" customHeight="1" x14ac:dyDescent="0.25">
      <c r="A506" s="265" t="s">
        <v>522</v>
      </c>
      <c r="B506" s="289">
        <v>0</v>
      </c>
      <c r="C506" s="289">
        <f>M71</f>
        <v>0</v>
      </c>
      <c r="D506" s="289">
        <v>0</v>
      </c>
      <c r="E506" s="265">
        <f>M59</f>
        <v>0</v>
      </c>
      <c r="F506" s="381" t="str">
        <f t="shared" si="16"/>
        <v/>
      </c>
      <c r="G506" s="381" t="str">
        <f t="shared" si="16"/>
        <v/>
      </c>
      <c r="H506" s="383" t="str">
        <f t="shared" si="17"/>
        <v/>
      </c>
      <c r="I506" s="384"/>
      <c r="K506" s="379"/>
      <c r="L506" s="379"/>
    </row>
    <row r="507" spans="1:12" ht="12.6" customHeight="1" x14ac:dyDescent="0.25">
      <c r="A507" s="265" t="s">
        <v>523</v>
      </c>
      <c r="B507" s="289">
        <v>-70</v>
      </c>
      <c r="C507" s="289">
        <f>N71</f>
        <v>61</v>
      </c>
      <c r="D507" s="289">
        <v>0</v>
      </c>
      <c r="E507" s="265">
        <f>N59</f>
        <v>0</v>
      </c>
      <c r="F507" s="381" t="str">
        <f t="shared" si="16"/>
        <v/>
      </c>
      <c r="G507" s="381" t="str">
        <f t="shared" si="16"/>
        <v/>
      </c>
      <c r="H507" s="383" t="str">
        <f t="shared" si="17"/>
        <v/>
      </c>
      <c r="I507" s="384"/>
      <c r="K507" s="379"/>
      <c r="L507" s="379"/>
    </row>
    <row r="508" spans="1:12" ht="12.6" customHeight="1" x14ac:dyDescent="0.25">
      <c r="A508" s="265" t="s">
        <v>524</v>
      </c>
      <c r="B508" s="289">
        <v>0</v>
      </c>
      <c r="C508" s="289">
        <f>O71</f>
        <v>0</v>
      </c>
      <c r="D508" s="289">
        <v>0</v>
      </c>
      <c r="E508" s="265">
        <f>O59</f>
        <v>0</v>
      </c>
      <c r="F508" s="381" t="str">
        <f t="shared" si="16"/>
        <v/>
      </c>
      <c r="G508" s="381" t="str">
        <f t="shared" si="16"/>
        <v/>
      </c>
      <c r="H508" s="383" t="str">
        <f t="shared" si="17"/>
        <v/>
      </c>
      <c r="I508" s="384"/>
      <c r="K508" s="379"/>
      <c r="L508" s="379"/>
    </row>
    <row r="509" spans="1:12" ht="12.6" customHeight="1" x14ac:dyDescent="0.25">
      <c r="A509" s="265" t="s">
        <v>525</v>
      </c>
      <c r="B509" s="289">
        <v>64159258</v>
      </c>
      <c r="C509" s="289">
        <f>P71</f>
        <v>71267089</v>
      </c>
      <c r="D509" s="289">
        <v>2083762</v>
      </c>
      <c r="E509" s="265">
        <f>P59</f>
        <v>2178762</v>
      </c>
      <c r="F509" s="381">
        <f t="shared" si="16"/>
        <v>30.790108467281772</v>
      </c>
      <c r="G509" s="381">
        <f t="shared" si="16"/>
        <v>32.709900851951701</v>
      </c>
      <c r="H509" s="383" t="str">
        <f t="shared" si="17"/>
        <v/>
      </c>
      <c r="I509" s="384"/>
      <c r="K509" s="379"/>
      <c r="L509" s="379"/>
    </row>
    <row r="510" spans="1:12" ht="12.6" customHeight="1" x14ac:dyDescent="0.25">
      <c r="A510" s="265" t="s">
        <v>526</v>
      </c>
      <c r="B510" s="289">
        <v>9845756</v>
      </c>
      <c r="C510" s="289">
        <f>Q71</f>
        <v>10491159</v>
      </c>
      <c r="D510" s="289">
        <v>1997231</v>
      </c>
      <c r="E510" s="265">
        <f>Q59</f>
        <v>2116159</v>
      </c>
      <c r="F510" s="381">
        <f t="shared" si="16"/>
        <v>4.9297031740444641</v>
      </c>
      <c r="G510" s="381">
        <f t="shared" si="16"/>
        <v>4.9576421242449173</v>
      </c>
      <c r="H510" s="383" t="str">
        <f t="shared" si="17"/>
        <v/>
      </c>
      <c r="I510" s="384"/>
      <c r="K510" s="379"/>
      <c r="L510" s="379"/>
    </row>
    <row r="511" spans="1:12" ht="12.6" customHeight="1" x14ac:dyDescent="0.25">
      <c r="A511" s="265" t="s">
        <v>527</v>
      </c>
      <c r="B511" s="289">
        <v>25318080</v>
      </c>
      <c r="C511" s="289">
        <f>R71</f>
        <v>26601620</v>
      </c>
      <c r="D511" s="289">
        <v>2067211</v>
      </c>
      <c r="E511" s="265">
        <f>R59</f>
        <v>2271521</v>
      </c>
      <c r="F511" s="381">
        <f t="shared" si="16"/>
        <v>12.24745804854947</v>
      </c>
      <c r="G511" s="381">
        <f t="shared" si="16"/>
        <v>11.71092849240663</v>
      </c>
      <c r="H511" s="383" t="str">
        <f t="shared" si="17"/>
        <v/>
      </c>
      <c r="I511" s="384"/>
      <c r="K511" s="379"/>
      <c r="L511" s="379"/>
    </row>
    <row r="512" spans="1:12" ht="12.6" customHeight="1" x14ac:dyDescent="0.25">
      <c r="A512" s="265" t="s">
        <v>528</v>
      </c>
      <c r="B512" s="289">
        <v>9591988</v>
      </c>
      <c r="C512" s="289">
        <f>S71</f>
        <v>10088775</v>
      </c>
      <c r="D512" s="375" t="s">
        <v>529</v>
      </c>
      <c r="E512" s="375" t="s">
        <v>529</v>
      </c>
      <c r="F512" s="381" t="str">
        <f t="shared" ref="F512:G527" si="18">IF(B512=0,"",IF(D512=0,"",B512/D512))</f>
        <v/>
      </c>
      <c r="G512" s="381" t="str">
        <f t="shared" si="18"/>
        <v/>
      </c>
      <c r="H512" s="383" t="str">
        <f t="shared" si="17"/>
        <v/>
      </c>
      <c r="I512" s="384"/>
      <c r="K512" s="379"/>
      <c r="L512" s="379"/>
    </row>
    <row r="513" spans="1:12" ht="12.6" customHeight="1" x14ac:dyDescent="0.25">
      <c r="A513" s="265" t="s">
        <v>982</v>
      </c>
      <c r="B513" s="289">
        <v>2886143</v>
      </c>
      <c r="C513" s="289">
        <f>T71</f>
        <v>3193432</v>
      </c>
      <c r="D513" s="375" t="s">
        <v>529</v>
      </c>
      <c r="E513" s="375" t="s">
        <v>529</v>
      </c>
      <c r="F513" s="381" t="str">
        <f t="shared" si="18"/>
        <v/>
      </c>
      <c r="G513" s="381" t="str">
        <f t="shared" si="18"/>
        <v/>
      </c>
      <c r="H513" s="383" t="str">
        <f t="shared" si="17"/>
        <v/>
      </c>
      <c r="I513" s="384"/>
      <c r="K513" s="379"/>
      <c r="L513" s="379"/>
    </row>
    <row r="514" spans="1:12" ht="12.6" customHeight="1" x14ac:dyDescent="0.25">
      <c r="A514" s="265" t="s">
        <v>530</v>
      </c>
      <c r="B514" s="289">
        <v>37103624</v>
      </c>
      <c r="C514" s="289">
        <f>U71</f>
        <v>37911190</v>
      </c>
      <c r="D514" s="289">
        <v>2293224</v>
      </c>
      <c r="E514" s="265">
        <f>U59</f>
        <v>2455386</v>
      </c>
      <c r="F514" s="381">
        <f t="shared" si="18"/>
        <v>16.179677170655811</v>
      </c>
      <c r="G514" s="381">
        <f t="shared" si="18"/>
        <v>15.440012283201094</v>
      </c>
      <c r="H514" s="383" t="str">
        <f t="shared" si="17"/>
        <v/>
      </c>
      <c r="I514" s="384"/>
      <c r="K514" s="379"/>
      <c r="L514" s="379"/>
    </row>
    <row r="515" spans="1:12" ht="12.6" customHeight="1" x14ac:dyDescent="0.25">
      <c r="A515" s="265" t="s">
        <v>531</v>
      </c>
      <c r="B515" s="289">
        <v>0</v>
      </c>
      <c r="C515" s="289">
        <f>V71</f>
        <v>0</v>
      </c>
      <c r="D515" s="289">
        <v>0</v>
      </c>
      <c r="E515" s="265">
        <f>V59</f>
        <v>0</v>
      </c>
      <c r="F515" s="381" t="str">
        <f t="shared" si="18"/>
        <v/>
      </c>
      <c r="G515" s="381" t="str">
        <f t="shared" si="18"/>
        <v/>
      </c>
      <c r="H515" s="383" t="str">
        <f t="shared" si="17"/>
        <v/>
      </c>
      <c r="I515" s="384"/>
      <c r="K515" s="379"/>
      <c r="L515" s="379"/>
    </row>
    <row r="516" spans="1:12" ht="12.6" customHeight="1" x14ac:dyDescent="0.25">
      <c r="A516" s="265" t="s">
        <v>532</v>
      </c>
      <c r="B516" s="289">
        <v>4174699.11</v>
      </c>
      <c r="C516" s="289">
        <f>W71</f>
        <v>4451211</v>
      </c>
      <c r="D516" s="289">
        <v>32410</v>
      </c>
      <c r="E516" s="265">
        <f>W59</f>
        <v>106517</v>
      </c>
      <c r="F516" s="381">
        <f t="shared" si="18"/>
        <v>128.80898210428879</v>
      </c>
      <c r="G516" s="381">
        <f t="shared" si="18"/>
        <v>41.788737947933193</v>
      </c>
      <c r="H516" s="383">
        <f t="shared" si="17"/>
        <v>-0.67557590111146593</v>
      </c>
      <c r="I516" s="384" t="s">
        <v>1014</v>
      </c>
      <c r="K516" s="379"/>
      <c r="L516" s="379"/>
    </row>
    <row r="517" spans="1:12" ht="12.6" customHeight="1" x14ac:dyDescent="0.25">
      <c r="A517" s="265" t="s">
        <v>533</v>
      </c>
      <c r="B517" s="289">
        <v>6769859.9299999997</v>
      </c>
      <c r="C517" s="289">
        <f>X71</f>
        <v>6820260</v>
      </c>
      <c r="D517" s="289">
        <v>63870</v>
      </c>
      <c r="E517" s="265">
        <f>X59</f>
        <v>165612</v>
      </c>
      <c r="F517" s="381">
        <f t="shared" si="18"/>
        <v>105.99436245498669</v>
      </c>
      <c r="G517" s="381">
        <f t="shared" si="18"/>
        <v>41.182160712991809</v>
      </c>
      <c r="H517" s="383">
        <f t="shared" si="17"/>
        <v>-0.61146838606175025</v>
      </c>
      <c r="I517" s="384" t="s">
        <v>1014</v>
      </c>
      <c r="K517" s="379"/>
      <c r="L517" s="379"/>
    </row>
    <row r="518" spans="1:12" ht="12.6" customHeight="1" x14ac:dyDescent="0.25">
      <c r="A518" s="265" t="s">
        <v>534</v>
      </c>
      <c r="B518" s="289">
        <v>27225623.82</v>
      </c>
      <c r="C518" s="289">
        <f>Y71</f>
        <v>29984464</v>
      </c>
      <c r="D518" s="289">
        <v>224160</v>
      </c>
      <c r="E518" s="265">
        <f>Y59</f>
        <v>158636</v>
      </c>
      <c r="F518" s="381">
        <f t="shared" si="18"/>
        <v>121.45620904710921</v>
      </c>
      <c r="G518" s="381">
        <f t="shared" si="18"/>
        <v>189.01424645099473</v>
      </c>
      <c r="H518" s="383">
        <f t="shared" si="17"/>
        <v>0.55623370706129793</v>
      </c>
      <c r="I518" s="384" t="s">
        <v>1014</v>
      </c>
      <c r="K518" s="379"/>
      <c r="L518" s="379"/>
    </row>
    <row r="519" spans="1:12" ht="12.6" customHeight="1" x14ac:dyDescent="0.25">
      <c r="A519" s="265" t="s">
        <v>535</v>
      </c>
      <c r="B519" s="289">
        <v>8316869.9399999995</v>
      </c>
      <c r="C519" s="289">
        <f>Z71</f>
        <v>10039877</v>
      </c>
      <c r="D519" s="289">
        <v>195489</v>
      </c>
      <c r="E519" s="265">
        <f>Z59</f>
        <v>213597</v>
      </c>
      <c r="F519" s="381">
        <f t="shared" si="18"/>
        <v>42.543927995948621</v>
      </c>
      <c r="G519" s="381">
        <f t="shared" si="18"/>
        <v>47.003829641802085</v>
      </c>
      <c r="H519" s="383" t="str">
        <f t="shared" si="17"/>
        <v/>
      </c>
      <c r="I519" s="384"/>
      <c r="K519" s="379"/>
      <c r="L519" s="379"/>
    </row>
    <row r="520" spans="1:12" ht="12.6" customHeight="1" x14ac:dyDescent="0.25">
      <c r="A520" s="265" t="s">
        <v>536</v>
      </c>
      <c r="B520" s="289">
        <v>2937050.0700000003</v>
      </c>
      <c r="C520" s="289">
        <f>AA71</f>
        <v>7591256</v>
      </c>
      <c r="D520" s="289">
        <v>7383</v>
      </c>
      <c r="E520" s="265">
        <f>AA59</f>
        <v>22866</v>
      </c>
      <c r="F520" s="381">
        <f t="shared" si="18"/>
        <v>397.81255180820807</v>
      </c>
      <c r="G520" s="381">
        <f t="shared" si="18"/>
        <v>331.98880433831891</v>
      </c>
      <c r="H520" s="383" t="str">
        <f t="shared" si="17"/>
        <v/>
      </c>
      <c r="I520" s="384"/>
      <c r="K520" s="379"/>
      <c r="L520" s="379"/>
    </row>
    <row r="521" spans="1:12" ht="12.6" customHeight="1" x14ac:dyDescent="0.25">
      <c r="A521" s="265" t="s">
        <v>537</v>
      </c>
      <c r="B521" s="289">
        <v>21490993</v>
      </c>
      <c r="C521" s="289">
        <f>AB71</f>
        <v>34864301</v>
      </c>
      <c r="D521" s="375" t="s">
        <v>529</v>
      </c>
      <c r="E521" s="375" t="s">
        <v>529</v>
      </c>
      <c r="F521" s="381" t="str">
        <f t="shared" si="18"/>
        <v/>
      </c>
      <c r="G521" s="381" t="str">
        <f t="shared" si="18"/>
        <v/>
      </c>
      <c r="H521" s="383" t="str">
        <f t="shared" si="17"/>
        <v/>
      </c>
      <c r="I521" s="384"/>
      <c r="K521" s="379"/>
      <c r="L521" s="379"/>
    </row>
    <row r="522" spans="1:12" ht="12.6" customHeight="1" x14ac:dyDescent="0.25">
      <c r="A522" s="265" t="s">
        <v>538</v>
      </c>
      <c r="B522" s="289">
        <v>2393074</v>
      </c>
      <c r="C522" s="289">
        <f>AC71</f>
        <v>2491479</v>
      </c>
      <c r="D522" s="289">
        <v>9547</v>
      </c>
      <c r="E522" s="265">
        <f>AC59</f>
        <v>55903</v>
      </c>
      <c r="F522" s="381">
        <f t="shared" si="18"/>
        <v>250.66240703886038</v>
      </c>
      <c r="G522" s="381">
        <f t="shared" si="18"/>
        <v>44.567894388494359</v>
      </c>
      <c r="H522" s="383">
        <f t="shared" si="17"/>
        <v>-0.82219952758378734</v>
      </c>
      <c r="I522" s="384" t="s">
        <v>1015</v>
      </c>
      <c r="K522" s="379"/>
      <c r="L522" s="379"/>
    </row>
    <row r="523" spans="1:12" ht="12.6" customHeight="1" x14ac:dyDescent="0.25">
      <c r="A523" s="265" t="s">
        <v>539</v>
      </c>
      <c r="B523" s="289">
        <v>1615789</v>
      </c>
      <c r="C523" s="289">
        <f>AD71</f>
        <v>2014184</v>
      </c>
      <c r="D523" s="289">
        <v>15245</v>
      </c>
      <c r="E523" s="265">
        <f>AD59</f>
        <v>16427</v>
      </c>
      <c r="F523" s="381">
        <f t="shared" si="18"/>
        <v>105.98812725483765</v>
      </c>
      <c r="G523" s="381">
        <f t="shared" si="18"/>
        <v>122.61423266573324</v>
      </c>
      <c r="H523" s="383" t="str">
        <f t="shared" si="17"/>
        <v/>
      </c>
      <c r="I523" s="384"/>
      <c r="K523" s="379"/>
      <c r="L523" s="379"/>
    </row>
    <row r="524" spans="1:12" ht="12.6" customHeight="1" x14ac:dyDescent="0.25">
      <c r="A524" s="265" t="s">
        <v>540</v>
      </c>
      <c r="B524" s="289">
        <v>9537365</v>
      </c>
      <c r="C524" s="289">
        <f>AE71</f>
        <v>10797008</v>
      </c>
      <c r="D524" s="289">
        <v>218703</v>
      </c>
      <c r="E524" s="265">
        <f>AE59</f>
        <v>242867</v>
      </c>
      <c r="F524" s="381">
        <f t="shared" si="18"/>
        <v>43.608752509110531</v>
      </c>
      <c r="G524" s="381">
        <f t="shared" si="18"/>
        <v>44.456463825880007</v>
      </c>
      <c r="H524" s="383" t="str">
        <f t="shared" si="17"/>
        <v/>
      </c>
      <c r="I524" s="384"/>
      <c r="K524" s="379"/>
      <c r="L524" s="379"/>
    </row>
    <row r="525" spans="1:12" ht="12.6" customHeight="1" x14ac:dyDescent="0.25">
      <c r="A525" s="265" t="s">
        <v>541</v>
      </c>
      <c r="B525" s="289">
        <v>861412</v>
      </c>
      <c r="C525" s="289">
        <f>AF71</f>
        <v>833298</v>
      </c>
      <c r="D525" s="289">
        <v>5175</v>
      </c>
      <c r="E525" s="265">
        <f>AF59</f>
        <v>4692</v>
      </c>
      <c r="F525" s="381">
        <f t="shared" si="18"/>
        <v>166.45642512077293</v>
      </c>
      <c r="G525" s="381">
        <f t="shared" si="18"/>
        <v>177.59974424552431</v>
      </c>
      <c r="H525" s="383" t="str">
        <f t="shared" si="17"/>
        <v/>
      </c>
      <c r="I525" s="384"/>
      <c r="K525" s="379"/>
      <c r="L525" s="379"/>
    </row>
    <row r="526" spans="1:12" ht="12.6" customHeight="1" x14ac:dyDescent="0.25">
      <c r="A526" s="265" t="s">
        <v>542</v>
      </c>
      <c r="B526" s="289">
        <v>13638737</v>
      </c>
      <c r="C526" s="289">
        <f>AG71</f>
        <v>13967552</v>
      </c>
      <c r="D526" s="289">
        <v>23176</v>
      </c>
      <c r="E526" s="265">
        <f>AG59</f>
        <v>24935</v>
      </c>
      <c r="F526" s="381">
        <f t="shared" si="18"/>
        <v>588.48537279944776</v>
      </c>
      <c r="G526" s="381">
        <f t="shared" si="18"/>
        <v>560.15849207940641</v>
      </c>
      <c r="H526" s="383" t="str">
        <f t="shared" si="17"/>
        <v/>
      </c>
      <c r="I526" s="384"/>
      <c r="K526" s="379"/>
      <c r="L526" s="379"/>
    </row>
    <row r="527" spans="1:12" ht="12.6" customHeight="1" x14ac:dyDescent="0.25">
      <c r="A527" s="265" t="s">
        <v>543</v>
      </c>
      <c r="B527" s="289">
        <v>0</v>
      </c>
      <c r="C527" s="289">
        <f>AH71</f>
        <v>0</v>
      </c>
      <c r="D527" s="289">
        <v>0</v>
      </c>
      <c r="E527" s="265">
        <f>AH59</f>
        <v>0</v>
      </c>
      <c r="F527" s="381" t="str">
        <f t="shared" si="18"/>
        <v/>
      </c>
      <c r="G527" s="381" t="str">
        <f t="shared" si="18"/>
        <v/>
      </c>
      <c r="H527" s="383" t="str">
        <f t="shared" si="17"/>
        <v/>
      </c>
      <c r="I527" s="384"/>
      <c r="K527" s="379"/>
      <c r="L527" s="379"/>
    </row>
    <row r="528" spans="1:12" ht="12.6" customHeight="1" x14ac:dyDescent="0.25">
      <c r="A528" s="265" t="s">
        <v>544</v>
      </c>
      <c r="B528" s="289">
        <v>0</v>
      </c>
      <c r="C528" s="289">
        <f>AI71</f>
        <v>0</v>
      </c>
      <c r="D528" s="289">
        <v>0</v>
      </c>
      <c r="E528" s="265">
        <f>AI59</f>
        <v>0</v>
      </c>
      <c r="F528" s="381" t="str">
        <f t="shared" ref="F528:G540" si="19">IF(B528=0,"",IF(D528=0,"",B528/D528))</f>
        <v/>
      </c>
      <c r="G528" s="381" t="str">
        <f t="shared" si="19"/>
        <v/>
      </c>
      <c r="H528" s="383" t="str">
        <f t="shared" si="17"/>
        <v/>
      </c>
      <c r="I528" s="384"/>
      <c r="K528" s="379"/>
      <c r="L528" s="379"/>
    </row>
    <row r="529" spans="1:12" ht="12.6" customHeight="1" x14ac:dyDescent="0.25">
      <c r="A529" s="265" t="s">
        <v>545</v>
      </c>
      <c r="B529" s="289">
        <v>252473306</v>
      </c>
      <c r="C529" s="289">
        <f>AJ71</f>
        <v>271273314</v>
      </c>
      <c r="D529" s="289">
        <v>361152</v>
      </c>
      <c r="E529" s="265">
        <f>AJ59</f>
        <v>354050</v>
      </c>
      <c r="F529" s="381">
        <f t="shared" si="19"/>
        <v>699.07769027999291</v>
      </c>
      <c r="G529" s="381">
        <f t="shared" si="19"/>
        <v>766.20057618980366</v>
      </c>
      <c r="H529" s="383" t="str">
        <f t="shared" si="17"/>
        <v/>
      </c>
      <c r="I529" s="384"/>
      <c r="K529" s="379"/>
      <c r="L529" s="379"/>
    </row>
    <row r="530" spans="1:12" ht="12.6" customHeight="1" x14ac:dyDescent="0.25">
      <c r="A530" s="265" t="s">
        <v>546</v>
      </c>
      <c r="B530" s="289">
        <v>0</v>
      </c>
      <c r="C530" s="289">
        <f>AK71</f>
        <v>0</v>
      </c>
      <c r="D530" s="289">
        <v>0</v>
      </c>
      <c r="E530" s="265">
        <f>AK59</f>
        <v>0</v>
      </c>
      <c r="F530" s="381" t="str">
        <f t="shared" si="19"/>
        <v/>
      </c>
      <c r="G530" s="381" t="str">
        <f t="shared" si="19"/>
        <v/>
      </c>
      <c r="H530" s="383" t="str">
        <f t="shared" si="17"/>
        <v/>
      </c>
      <c r="I530" s="384"/>
      <c r="K530" s="379"/>
      <c r="L530" s="379"/>
    </row>
    <row r="531" spans="1:12" ht="12.6" customHeight="1" x14ac:dyDescent="0.25">
      <c r="A531" s="265" t="s">
        <v>547</v>
      </c>
      <c r="B531" s="289">
        <v>0</v>
      </c>
      <c r="C531" s="289">
        <f>AL71</f>
        <v>0</v>
      </c>
      <c r="D531" s="289">
        <v>0</v>
      </c>
      <c r="E531" s="265">
        <f>AL59</f>
        <v>0</v>
      </c>
      <c r="F531" s="381" t="str">
        <f t="shared" si="19"/>
        <v/>
      </c>
      <c r="G531" s="381" t="str">
        <f t="shared" si="19"/>
        <v/>
      </c>
      <c r="H531" s="383" t="str">
        <f t="shared" si="17"/>
        <v/>
      </c>
      <c r="I531" s="384"/>
      <c r="K531" s="379"/>
      <c r="L531" s="379"/>
    </row>
    <row r="532" spans="1:12" ht="12.6" customHeight="1" x14ac:dyDescent="0.25">
      <c r="A532" s="265" t="s">
        <v>548</v>
      </c>
      <c r="B532" s="289">
        <v>0</v>
      </c>
      <c r="C532" s="289">
        <f>AM71</f>
        <v>0</v>
      </c>
      <c r="D532" s="289">
        <v>0</v>
      </c>
      <c r="E532" s="265">
        <f>AM59</f>
        <v>0</v>
      </c>
      <c r="F532" s="381" t="str">
        <f t="shared" si="19"/>
        <v/>
      </c>
      <c r="G532" s="381" t="str">
        <f t="shared" si="19"/>
        <v/>
      </c>
      <c r="H532" s="383" t="str">
        <f t="shared" si="17"/>
        <v/>
      </c>
      <c r="I532" s="384"/>
      <c r="K532" s="379"/>
      <c r="L532" s="379"/>
    </row>
    <row r="533" spans="1:12" ht="12.6" customHeight="1" x14ac:dyDescent="0.25">
      <c r="A533" s="265" t="s">
        <v>983</v>
      </c>
      <c r="B533" s="289">
        <v>0</v>
      </c>
      <c r="C533" s="289">
        <f>AN71</f>
        <v>0</v>
      </c>
      <c r="D533" s="289">
        <v>0</v>
      </c>
      <c r="E533" s="265">
        <f>AN59</f>
        <v>0</v>
      </c>
      <c r="F533" s="381" t="str">
        <f t="shared" si="19"/>
        <v/>
      </c>
      <c r="G533" s="381" t="str">
        <f t="shared" si="19"/>
        <v/>
      </c>
      <c r="H533" s="383" t="str">
        <f t="shared" si="17"/>
        <v/>
      </c>
      <c r="I533" s="384"/>
      <c r="K533" s="379"/>
      <c r="L533" s="379"/>
    </row>
    <row r="534" spans="1:12" ht="12.6" customHeight="1" x14ac:dyDescent="0.25">
      <c r="A534" s="265" t="s">
        <v>549</v>
      </c>
      <c r="B534" s="289">
        <v>0</v>
      </c>
      <c r="C534" s="289">
        <f>AO71</f>
        <v>0</v>
      </c>
      <c r="D534" s="289">
        <v>0</v>
      </c>
      <c r="E534" s="265">
        <f>AO59</f>
        <v>0</v>
      </c>
      <c r="F534" s="381" t="str">
        <f t="shared" si="19"/>
        <v/>
      </c>
      <c r="G534" s="381" t="str">
        <f t="shared" si="19"/>
        <v/>
      </c>
      <c r="H534" s="383" t="str">
        <f t="shared" si="17"/>
        <v/>
      </c>
      <c r="I534" s="384"/>
      <c r="K534" s="379"/>
      <c r="L534" s="379"/>
    </row>
    <row r="535" spans="1:12" ht="12.6" customHeight="1" x14ac:dyDescent="0.25">
      <c r="A535" s="265" t="s">
        <v>550</v>
      </c>
      <c r="B535" s="289">
        <v>147302350.13</v>
      </c>
      <c r="C535" s="289">
        <f>AP71</f>
        <v>171316149</v>
      </c>
      <c r="D535" s="289">
        <v>494266</v>
      </c>
      <c r="E535" s="265">
        <f>AP59</f>
        <v>529734</v>
      </c>
      <c r="F535" s="381">
        <f t="shared" si="19"/>
        <v>298.02242138848311</v>
      </c>
      <c r="G535" s="381">
        <f t="shared" si="19"/>
        <v>323.400327334096</v>
      </c>
      <c r="H535" s="383" t="str">
        <f t="shared" si="17"/>
        <v/>
      </c>
      <c r="I535" s="384"/>
      <c r="K535" s="379"/>
      <c r="L535" s="379"/>
    </row>
    <row r="536" spans="1:12" ht="12.6" customHeight="1" x14ac:dyDescent="0.25">
      <c r="A536" s="265" t="s">
        <v>551</v>
      </c>
      <c r="B536" s="289">
        <v>0</v>
      </c>
      <c r="C536" s="289">
        <f>AQ71</f>
        <v>0</v>
      </c>
      <c r="D536" s="289">
        <v>0</v>
      </c>
      <c r="E536" s="265">
        <f>AQ59</f>
        <v>0</v>
      </c>
      <c r="F536" s="381" t="str">
        <f t="shared" si="19"/>
        <v/>
      </c>
      <c r="G536" s="381" t="str">
        <f t="shared" si="19"/>
        <v/>
      </c>
      <c r="H536" s="383" t="str">
        <f t="shared" si="17"/>
        <v/>
      </c>
      <c r="I536" s="384"/>
      <c r="K536" s="379"/>
      <c r="L536" s="379"/>
    </row>
    <row r="537" spans="1:12" ht="12.6" customHeight="1" x14ac:dyDescent="0.25">
      <c r="A537" s="265" t="s">
        <v>552</v>
      </c>
      <c r="B537" s="289">
        <v>0</v>
      </c>
      <c r="C537" s="289">
        <f>AR71</f>
        <v>0</v>
      </c>
      <c r="D537" s="289">
        <v>0</v>
      </c>
      <c r="E537" s="265">
        <f>AR59</f>
        <v>0</v>
      </c>
      <c r="F537" s="381" t="str">
        <f t="shared" si="19"/>
        <v/>
      </c>
      <c r="G537" s="381" t="str">
        <f t="shared" si="19"/>
        <v/>
      </c>
      <c r="H537" s="383" t="str">
        <f t="shared" si="17"/>
        <v/>
      </c>
      <c r="I537" s="384"/>
      <c r="K537" s="379"/>
      <c r="L537" s="379"/>
    </row>
    <row r="538" spans="1:12" ht="12.6" customHeight="1" x14ac:dyDescent="0.25">
      <c r="A538" s="265" t="s">
        <v>553</v>
      </c>
      <c r="B538" s="289">
        <v>0</v>
      </c>
      <c r="C538" s="289">
        <f>AS71</f>
        <v>0</v>
      </c>
      <c r="D538" s="289">
        <v>0</v>
      </c>
      <c r="E538" s="265">
        <f>AS59</f>
        <v>0</v>
      </c>
      <c r="F538" s="381" t="str">
        <f t="shared" si="19"/>
        <v/>
      </c>
      <c r="G538" s="381" t="str">
        <f t="shared" si="19"/>
        <v/>
      </c>
      <c r="H538" s="383" t="str">
        <f t="shared" si="17"/>
        <v/>
      </c>
      <c r="I538" s="384"/>
      <c r="K538" s="379"/>
      <c r="L538" s="379"/>
    </row>
    <row r="539" spans="1:12" ht="12.6" customHeight="1" x14ac:dyDescent="0.25">
      <c r="A539" s="265" t="s">
        <v>554</v>
      </c>
      <c r="B539" s="289">
        <v>6942345</v>
      </c>
      <c r="C539" s="289">
        <f>AT71</f>
        <v>7349228</v>
      </c>
      <c r="D539" s="289">
        <v>112</v>
      </c>
      <c r="E539" s="265">
        <f>AT59</f>
        <v>108</v>
      </c>
      <c r="F539" s="381">
        <f t="shared" si="19"/>
        <v>61985.223214285717</v>
      </c>
      <c r="G539" s="381">
        <f t="shared" si="19"/>
        <v>68048.407407407401</v>
      </c>
      <c r="H539" s="383" t="str">
        <f t="shared" si="17"/>
        <v/>
      </c>
      <c r="I539" s="384"/>
      <c r="K539" s="379"/>
      <c r="L539" s="379"/>
    </row>
    <row r="540" spans="1:12" ht="12.6" customHeight="1" x14ac:dyDescent="0.25">
      <c r="A540" s="265" t="s">
        <v>555</v>
      </c>
      <c r="B540" s="289">
        <v>0</v>
      </c>
      <c r="C540" s="289">
        <f>AU71</f>
        <v>0</v>
      </c>
      <c r="D540" s="289">
        <v>0</v>
      </c>
      <c r="E540" s="265">
        <f>AU59</f>
        <v>0</v>
      </c>
      <c r="F540" s="381" t="str">
        <f t="shared" si="19"/>
        <v/>
      </c>
      <c r="G540" s="381" t="str">
        <f t="shared" si="19"/>
        <v/>
      </c>
      <c r="H540" s="383" t="str">
        <f t="shared" si="17"/>
        <v/>
      </c>
      <c r="I540" s="384"/>
      <c r="K540" s="379"/>
      <c r="L540" s="379"/>
    </row>
    <row r="541" spans="1:12" ht="12.6" customHeight="1" x14ac:dyDescent="0.25">
      <c r="A541" s="265" t="s">
        <v>556</v>
      </c>
      <c r="B541" s="289">
        <v>22725542</v>
      </c>
      <c r="C541" s="289">
        <f>AV71</f>
        <v>22743748</v>
      </c>
      <c r="D541" s="375" t="s">
        <v>529</v>
      </c>
      <c r="E541" s="375" t="s">
        <v>529</v>
      </c>
      <c r="F541" s="381"/>
      <c r="G541" s="381"/>
      <c r="H541" s="383"/>
      <c r="I541" s="384"/>
      <c r="K541" s="379"/>
      <c r="L541" s="379"/>
    </row>
    <row r="542" spans="1:12" ht="12.6" customHeight="1" x14ac:dyDescent="0.25">
      <c r="A542" s="265" t="s">
        <v>984</v>
      </c>
      <c r="B542" s="289">
        <v>16313028</v>
      </c>
      <c r="C542" s="289">
        <f>AW71</f>
        <v>17048393</v>
      </c>
      <c r="D542" s="375" t="s">
        <v>529</v>
      </c>
      <c r="E542" s="375" t="s">
        <v>529</v>
      </c>
      <c r="F542" s="381"/>
      <c r="G542" s="381"/>
      <c r="H542" s="383"/>
      <c r="I542" s="384"/>
      <c r="K542" s="379"/>
      <c r="L542" s="379"/>
    </row>
    <row r="543" spans="1:12" ht="12.6" customHeight="1" x14ac:dyDescent="0.25">
      <c r="A543" s="265" t="s">
        <v>557</v>
      </c>
      <c r="B543" s="289">
        <v>2869675</v>
      </c>
      <c r="C543" s="289">
        <f>AX71</f>
        <v>2416287</v>
      </c>
      <c r="D543" s="375" t="s">
        <v>529</v>
      </c>
      <c r="E543" s="375" t="s">
        <v>529</v>
      </c>
      <c r="F543" s="381"/>
      <c r="G543" s="381"/>
      <c r="H543" s="383"/>
      <c r="I543" s="384"/>
      <c r="K543" s="379"/>
      <c r="L543" s="379"/>
    </row>
    <row r="544" spans="1:12" ht="12.6" customHeight="1" x14ac:dyDescent="0.25">
      <c r="A544" s="265" t="s">
        <v>558</v>
      </c>
      <c r="B544" s="289">
        <v>4286510</v>
      </c>
      <c r="C544" s="289">
        <f>AY71</f>
        <v>4537137</v>
      </c>
      <c r="D544" s="289">
        <v>339870</v>
      </c>
      <c r="E544" s="265">
        <f>AY59</f>
        <v>376818</v>
      </c>
      <c r="F544" s="381">
        <f t="shared" ref="F544:G550" si="20">IF(B544=0,"",IF(D544=0,"",B544/D544))</f>
        <v>12.612204666490129</v>
      </c>
      <c r="G544" s="381">
        <f t="shared" si="20"/>
        <v>12.040658885722019</v>
      </c>
      <c r="H544" s="383" t="str">
        <f t="shared" si="17"/>
        <v/>
      </c>
      <c r="I544" s="384"/>
      <c r="K544" s="379"/>
      <c r="L544" s="379"/>
    </row>
    <row r="545" spans="1:13" ht="12.6" customHeight="1" x14ac:dyDescent="0.25">
      <c r="A545" s="265" t="s">
        <v>559</v>
      </c>
      <c r="B545" s="289">
        <v>474860</v>
      </c>
      <c r="C545" s="289">
        <f>AZ71</f>
        <v>867253</v>
      </c>
      <c r="D545" s="289">
        <v>851201</v>
      </c>
      <c r="E545" s="265">
        <f>AZ59</f>
        <v>848273</v>
      </c>
      <c r="F545" s="381">
        <f t="shared" si="20"/>
        <v>0.55787058520842903</v>
      </c>
      <c r="G545" s="381">
        <f t="shared" si="20"/>
        <v>1.0223748722404227</v>
      </c>
      <c r="H545" s="383">
        <f t="shared" si="17"/>
        <v>0.83263806938028062</v>
      </c>
      <c r="I545" s="384" t="s">
        <v>1016</v>
      </c>
      <c r="K545" s="379"/>
      <c r="L545" s="379"/>
    </row>
    <row r="546" spans="1:13" ht="12.6" customHeight="1" x14ac:dyDescent="0.25">
      <c r="A546" s="265" t="s">
        <v>560</v>
      </c>
      <c r="B546" s="289">
        <v>1960881</v>
      </c>
      <c r="C546" s="289">
        <f>BA71</f>
        <v>1980335</v>
      </c>
      <c r="D546" s="289">
        <v>0</v>
      </c>
      <c r="E546" s="265">
        <f>BA59</f>
        <v>0</v>
      </c>
      <c r="F546" s="381" t="str">
        <f t="shared" si="20"/>
        <v/>
      </c>
      <c r="G546" s="381" t="str">
        <f t="shared" si="20"/>
        <v/>
      </c>
      <c r="H546" s="383" t="str">
        <f t="shared" si="17"/>
        <v/>
      </c>
      <c r="I546" s="384"/>
      <c r="K546" s="379"/>
      <c r="L546" s="379"/>
    </row>
    <row r="547" spans="1:13" ht="12.6" customHeight="1" x14ac:dyDescent="0.25">
      <c r="A547" s="265" t="s">
        <v>561</v>
      </c>
      <c r="B547" s="289">
        <v>1976530</v>
      </c>
      <c r="C547" s="289">
        <f>BB71</f>
        <v>1035652</v>
      </c>
      <c r="D547" s="375" t="s">
        <v>529</v>
      </c>
      <c r="E547" s="375" t="s">
        <v>529</v>
      </c>
      <c r="F547" s="381"/>
      <c r="G547" s="381"/>
      <c r="H547" s="383"/>
      <c r="I547" s="384"/>
      <c r="K547" s="379"/>
      <c r="L547" s="379"/>
    </row>
    <row r="548" spans="1:13" ht="12.6" customHeight="1" x14ac:dyDescent="0.25">
      <c r="A548" s="265" t="s">
        <v>562</v>
      </c>
      <c r="B548" s="289">
        <v>3214242</v>
      </c>
      <c r="C548" s="289">
        <f>BC71</f>
        <v>3223112</v>
      </c>
      <c r="D548" s="375" t="s">
        <v>529</v>
      </c>
      <c r="E548" s="375" t="s">
        <v>529</v>
      </c>
      <c r="F548" s="381"/>
      <c r="G548" s="381"/>
      <c r="H548" s="383"/>
      <c r="I548" s="384"/>
      <c r="K548" s="379"/>
      <c r="L548" s="379"/>
    </row>
    <row r="549" spans="1:13" ht="12.6" customHeight="1" x14ac:dyDescent="0.25">
      <c r="A549" s="265" t="s">
        <v>563</v>
      </c>
      <c r="B549" s="289">
        <v>-769272</v>
      </c>
      <c r="C549" s="289">
        <f>BD71</f>
        <v>-466310</v>
      </c>
      <c r="D549" s="375" t="s">
        <v>529</v>
      </c>
      <c r="E549" s="375" t="s">
        <v>529</v>
      </c>
      <c r="F549" s="381"/>
      <c r="G549" s="381"/>
      <c r="H549" s="383"/>
      <c r="I549" s="384"/>
      <c r="K549" s="379"/>
      <c r="L549" s="379"/>
    </row>
    <row r="550" spans="1:13" ht="12.6" customHeight="1" x14ac:dyDescent="0.25">
      <c r="A550" s="265" t="s">
        <v>564</v>
      </c>
      <c r="B550" s="289">
        <v>22569278</v>
      </c>
      <c r="C550" s="289">
        <f>BE71</f>
        <v>23431227</v>
      </c>
      <c r="D550" s="289">
        <v>1502640</v>
      </c>
      <c r="E550" s="265">
        <f>BE59</f>
        <v>1537452</v>
      </c>
      <c r="F550" s="381">
        <f t="shared" si="20"/>
        <v>15.019750572326039</v>
      </c>
      <c r="G550" s="381">
        <f t="shared" si="20"/>
        <v>15.240298233700955</v>
      </c>
      <c r="H550" s="383" t="str">
        <f t="shared" si="17"/>
        <v/>
      </c>
      <c r="I550" s="384"/>
      <c r="K550" s="379"/>
      <c r="L550" s="379"/>
    </row>
    <row r="551" spans="1:13" ht="12.6" customHeight="1" x14ac:dyDescent="0.25">
      <c r="A551" s="265" t="s">
        <v>565</v>
      </c>
      <c r="B551" s="289">
        <v>8711262</v>
      </c>
      <c r="C551" s="289">
        <f>BF71</f>
        <v>8984948</v>
      </c>
      <c r="D551" s="375" t="s">
        <v>529</v>
      </c>
      <c r="E551" s="375" t="s">
        <v>529</v>
      </c>
      <c r="F551" s="381"/>
      <c r="G551" s="381"/>
      <c r="H551" s="383"/>
      <c r="I551" s="384"/>
      <c r="J551" s="279"/>
      <c r="M551" s="383"/>
    </row>
    <row r="552" spans="1:13" ht="12.6" customHeight="1" x14ac:dyDescent="0.25">
      <c r="A552" s="265" t="s">
        <v>566</v>
      </c>
      <c r="B552" s="289">
        <v>4437441</v>
      </c>
      <c r="C552" s="289">
        <f>BG71</f>
        <v>5663940</v>
      </c>
      <c r="D552" s="375" t="s">
        <v>529</v>
      </c>
      <c r="E552" s="375" t="s">
        <v>529</v>
      </c>
      <c r="F552" s="381"/>
      <c r="G552" s="381"/>
      <c r="H552" s="383"/>
      <c r="J552" s="279"/>
      <c r="M552" s="383"/>
    </row>
    <row r="553" spans="1:13" ht="12.6" customHeight="1" x14ac:dyDescent="0.25">
      <c r="A553" s="265" t="s">
        <v>567</v>
      </c>
      <c r="B553" s="289">
        <v>44176442</v>
      </c>
      <c r="C553" s="289">
        <f>BH71</f>
        <v>43685668</v>
      </c>
      <c r="D553" s="375" t="s">
        <v>529</v>
      </c>
      <c r="E553" s="375" t="s">
        <v>529</v>
      </c>
      <c r="F553" s="381"/>
      <c r="G553" s="381"/>
      <c r="H553" s="383"/>
      <c r="J553" s="279"/>
      <c r="M553" s="383"/>
    </row>
    <row r="554" spans="1:13" ht="12.6" customHeight="1" x14ac:dyDescent="0.25">
      <c r="A554" s="265" t="s">
        <v>568</v>
      </c>
      <c r="B554" s="289">
        <v>3975573</v>
      </c>
      <c r="C554" s="289">
        <f>BI71</f>
        <v>4043279</v>
      </c>
      <c r="D554" s="375" t="s">
        <v>529</v>
      </c>
      <c r="E554" s="375" t="s">
        <v>529</v>
      </c>
      <c r="F554" s="381"/>
      <c r="G554" s="381"/>
      <c r="H554" s="383"/>
      <c r="J554" s="279"/>
      <c r="M554" s="383"/>
    </row>
    <row r="555" spans="1:13" ht="12.6" customHeight="1" x14ac:dyDescent="0.25">
      <c r="A555" s="265" t="s">
        <v>569</v>
      </c>
      <c r="B555" s="289">
        <v>2436226</v>
      </c>
      <c r="C555" s="289">
        <f>BJ71</f>
        <v>2802217</v>
      </c>
      <c r="D555" s="375" t="s">
        <v>529</v>
      </c>
      <c r="E555" s="375" t="s">
        <v>529</v>
      </c>
      <c r="F555" s="381"/>
      <c r="G555" s="381"/>
      <c r="H555" s="383"/>
      <c r="J555" s="279"/>
      <c r="M555" s="383"/>
    </row>
    <row r="556" spans="1:13" ht="12.6" customHeight="1" x14ac:dyDescent="0.25">
      <c r="A556" s="265" t="s">
        <v>570</v>
      </c>
      <c r="B556" s="289">
        <v>20045321</v>
      </c>
      <c r="C556" s="289">
        <f>BK71</f>
        <v>21935574</v>
      </c>
      <c r="D556" s="375" t="s">
        <v>529</v>
      </c>
      <c r="E556" s="375" t="s">
        <v>529</v>
      </c>
      <c r="F556" s="381"/>
      <c r="G556" s="381"/>
      <c r="H556" s="383"/>
      <c r="J556" s="279"/>
      <c r="M556" s="383"/>
    </row>
    <row r="557" spans="1:13" ht="12.6" customHeight="1" x14ac:dyDescent="0.25">
      <c r="A557" s="265" t="s">
        <v>571</v>
      </c>
      <c r="B557" s="289">
        <v>6323148</v>
      </c>
      <c r="C557" s="289">
        <f>BL71</f>
        <v>6622215</v>
      </c>
      <c r="D557" s="375" t="s">
        <v>529</v>
      </c>
      <c r="E557" s="375" t="s">
        <v>529</v>
      </c>
      <c r="F557" s="381"/>
      <c r="G557" s="381"/>
      <c r="H557" s="383"/>
      <c r="J557" s="279"/>
      <c r="M557" s="383"/>
    </row>
    <row r="558" spans="1:13" ht="12.6" customHeight="1" x14ac:dyDescent="0.25">
      <c r="A558" s="265" t="s">
        <v>572</v>
      </c>
      <c r="B558" s="289">
        <v>3571676</v>
      </c>
      <c r="C558" s="289">
        <f>BM71</f>
        <v>3675316</v>
      </c>
      <c r="D558" s="375" t="s">
        <v>529</v>
      </c>
      <c r="E558" s="375" t="s">
        <v>529</v>
      </c>
      <c r="F558" s="381"/>
      <c r="G558" s="381"/>
      <c r="H558" s="383"/>
      <c r="J558" s="279"/>
      <c r="M558" s="383"/>
    </row>
    <row r="559" spans="1:13" ht="12.6" customHeight="1" x14ac:dyDescent="0.25">
      <c r="A559" s="265" t="s">
        <v>573</v>
      </c>
      <c r="B559" s="289">
        <v>-6686010</v>
      </c>
      <c r="C559" s="289">
        <f>BN71</f>
        <v>-2309529</v>
      </c>
      <c r="D559" s="375" t="s">
        <v>529</v>
      </c>
      <c r="E559" s="375" t="s">
        <v>529</v>
      </c>
      <c r="F559" s="381"/>
      <c r="G559" s="381"/>
      <c r="H559" s="383"/>
      <c r="J559" s="279"/>
      <c r="M559" s="383"/>
    </row>
    <row r="560" spans="1:13" ht="12.6" customHeight="1" x14ac:dyDescent="0.25">
      <c r="A560" s="265" t="s">
        <v>574</v>
      </c>
      <c r="B560" s="289">
        <v>3717070</v>
      </c>
      <c r="C560" s="289">
        <f>BO71</f>
        <v>3168636</v>
      </c>
      <c r="D560" s="375" t="s">
        <v>529</v>
      </c>
      <c r="E560" s="375" t="s">
        <v>529</v>
      </c>
      <c r="F560" s="381"/>
      <c r="G560" s="381"/>
      <c r="H560" s="383"/>
      <c r="J560" s="279"/>
      <c r="M560" s="383"/>
    </row>
    <row r="561" spans="1:13" ht="12.6" customHeight="1" x14ac:dyDescent="0.25">
      <c r="A561" s="265" t="s">
        <v>575</v>
      </c>
      <c r="B561" s="289">
        <v>2950324</v>
      </c>
      <c r="C561" s="289">
        <f>BP71</f>
        <v>3029829</v>
      </c>
      <c r="D561" s="375" t="s">
        <v>529</v>
      </c>
      <c r="E561" s="375" t="s">
        <v>529</v>
      </c>
      <c r="F561" s="381"/>
      <c r="G561" s="381"/>
      <c r="H561" s="383"/>
      <c r="J561" s="279"/>
      <c r="M561" s="383"/>
    </row>
    <row r="562" spans="1:13" ht="12.6" customHeight="1" x14ac:dyDescent="0.25">
      <c r="A562" s="265" t="s">
        <v>576</v>
      </c>
      <c r="B562" s="289">
        <v>0</v>
      </c>
      <c r="C562" s="289">
        <f>BQ71</f>
        <v>0</v>
      </c>
      <c r="D562" s="375" t="s">
        <v>529</v>
      </c>
      <c r="E562" s="375" t="s">
        <v>529</v>
      </c>
      <c r="F562" s="381"/>
      <c r="G562" s="381"/>
      <c r="H562" s="383"/>
      <c r="J562" s="279"/>
      <c r="M562" s="383"/>
    </row>
    <row r="563" spans="1:13" ht="12.6" customHeight="1" x14ac:dyDescent="0.25">
      <c r="A563" s="265" t="s">
        <v>577</v>
      </c>
      <c r="B563" s="289">
        <v>3668925</v>
      </c>
      <c r="C563" s="289">
        <f>BR71</f>
        <v>4321445</v>
      </c>
      <c r="D563" s="375" t="s">
        <v>529</v>
      </c>
      <c r="E563" s="375" t="s">
        <v>529</v>
      </c>
      <c r="F563" s="381"/>
      <c r="G563" s="381"/>
      <c r="H563" s="383"/>
      <c r="J563" s="279"/>
      <c r="M563" s="383"/>
    </row>
    <row r="564" spans="1:13" ht="12.6" customHeight="1" x14ac:dyDescent="0.25">
      <c r="A564" s="265" t="s">
        <v>985</v>
      </c>
      <c r="B564" s="289">
        <v>0</v>
      </c>
      <c r="C564" s="289">
        <f>BS71</f>
        <v>455</v>
      </c>
      <c r="D564" s="375" t="s">
        <v>529</v>
      </c>
      <c r="E564" s="375" t="s">
        <v>529</v>
      </c>
      <c r="F564" s="381"/>
      <c r="G564" s="381"/>
      <c r="H564" s="383"/>
      <c r="J564" s="279"/>
      <c r="M564" s="383"/>
    </row>
    <row r="565" spans="1:13" ht="12.6" customHeight="1" x14ac:dyDescent="0.25">
      <c r="A565" s="265" t="s">
        <v>578</v>
      </c>
      <c r="B565" s="289">
        <v>163895</v>
      </c>
      <c r="C565" s="289">
        <f>BT71</f>
        <v>164624</v>
      </c>
      <c r="D565" s="375" t="s">
        <v>529</v>
      </c>
      <c r="E565" s="375" t="s">
        <v>529</v>
      </c>
      <c r="F565" s="381"/>
      <c r="G565" s="381"/>
      <c r="H565" s="383"/>
      <c r="J565" s="279"/>
      <c r="M565" s="383"/>
    </row>
    <row r="566" spans="1:13" ht="12.6" customHeight="1" x14ac:dyDescent="0.25">
      <c r="A566" s="265" t="s">
        <v>579</v>
      </c>
      <c r="B566" s="289">
        <v>816054</v>
      </c>
      <c r="C566" s="289">
        <f>BU71</f>
        <v>1210887</v>
      </c>
      <c r="D566" s="375" t="s">
        <v>529</v>
      </c>
      <c r="E566" s="375" t="s">
        <v>529</v>
      </c>
      <c r="F566" s="381"/>
      <c r="G566" s="381"/>
      <c r="H566" s="383"/>
      <c r="J566" s="279"/>
      <c r="M566" s="383"/>
    </row>
    <row r="567" spans="1:13" ht="12.6" customHeight="1" x14ac:dyDescent="0.25">
      <c r="A567" s="265" t="s">
        <v>580</v>
      </c>
      <c r="B567" s="289">
        <v>4387600</v>
      </c>
      <c r="C567" s="289">
        <f>BV71</f>
        <v>4562945</v>
      </c>
      <c r="D567" s="375" t="s">
        <v>529</v>
      </c>
      <c r="E567" s="375" t="s">
        <v>529</v>
      </c>
      <c r="F567" s="381"/>
      <c r="G567" s="381"/>
      <c r="H567" s="383"/>
      <c r="J567" s="279"/>
      <c r="M567" s="383"/>
    </row>
    <row r="568" spans="1:13" ht="12.6" customHeight="1" x14ac:dyDescent="0.25">
      <c r="A568" s="265" t="s">
        <v>581</v>
      </c>
      <c r="B568" s="289">
        <v>-5449833</v>
      </c>
      <c r="C568" s="289">
        <f>BW71</f>
        <v>-6878438</v>
      </c>
      <c r="D568" s="375" t="s">
        <v>529</v>
      </c>
      <c r="E568" s="375" t="s">
        <v>529</v>
      </c>
      <c r="F568" s="381"/>
      <c r="G568" s="381"/>
      <c r="H568" s="383"/>
      <c r="J568" s="279"/>
      <c r="M568" s="383"/>
    </row>
    <row r="569" spans="1:13" ht="12.6" customHeight="1" x14ac:dyDescent="0.25">
      <c r="A569" s="265" t="s">
        <v>582</v>
      </c>
      <c r="B569" s="289">
        <v>11275103</v>
      </c>
      <c r="C569" s="289">
        <f>BX71</f>
        <v>13667055</v>
      </c>
      <c r="D569" s="375" t="s">
        <v>529</v>
      </c>
      <c r="E569" s="375" t="s">
        <v>529</v>
      </c>
      <c r="F569" s="381"/>
      <c r="G569" s="381"/>
      <c r="H569" s="383"/>
      <c r="J569" s="279"/>
      <c r="M569" s="383"/>
    </row>
    <row r="570" spans="1:13" ht="12.6" customHeight="1" x14ac:dyDescent="0.25">
      <c r="A570" s="265" t="s">
        <v>583</v>
      </c>
      <c r="B570" s="289">
        <v>4622731</v>
      </c>
      <c r="C570" s="289">
        <f>BY71</f>
        <v>6782120.4000000004</v>
      </c>
      <c r="D570" s="375" t="s">
        <v>529</v>
      </c>
      <c r="E570" s="375" t="s">
        <v>529</v>
      </c>
      <c r="F570" s="381"/>
      <c r="G570" s="381"/>
      <c r="H570" s="383"/>
      <c r="J570" s="279"/>
      <c r="M570" s="383"/>
    </row>
    <row r="571" spans="1:13" ht="12.6" customHeight="1" x14ac:dyDescent="0.25">
      <c r="A571" s="265" t="s">
        <v>584</v>
      </c>
      <c r="B571" s="289">
        <v>0</v>
      </c>
      <c r="C571" s="289">
        <f>BZ71</f>
        <v>0</v>
      </c>
      <c r="D571" s="375" t="s">
        <v>529</v>
      </c>
      <c r="E571" s="375" t="s">
        <v>529</v>
      </c>
      <c r="F571" s="381"/>
      <c r="G571" s="381"/>
      <c r="H571" s="383"/>
      <c r="J571" s="279"/>
      <c r="M571" s="383"/>
    </row>
    <row r="572" spans="1:13" ht="12.6" customHeight="1" x14ac:dyDescent="0.25">
      <c r="A572" s="265" t="s">
        <v>585</v>
      </c>
      <c r="B572" s="289">
        <v>4937575</v>
      </c>
      <c r="C572" s="289">
        <f>CA71</f>
        <v>5730041.4000000004</v>
      </c>
      <c r="D572" s="375" t="s">
        <v>529</v>
      </c>
      <c r="E572" s="375" t="s">
        <v>529</v>
      </c>
      <c r="F572" s="381"/>
      <c r="G572" s="381"/>
      <c r="H572" s="383"/>
      <c r="J572" s="279"/>
      <c r="M572" s="383"/>
    </row>
    <row r="573" spans="1:13" ht="12.6" customHeight="1" x14ac:dyDescent="0.25">
      <c r="A573" s="265" t="s">
        <v>586</v>
      </c>
      <c r="B573" s="289">
        <v>0</v>
      </c>
      <c r="C573" s="289">
        <f>CB71</f>
        <v>0</v>
      </c>
      <c r="D573" s="375" t="s">
        <v>529</v>
      </c>
      <c r="E573" s="375" t="s">
        <v>529</v>
      </c>
      <c r="F573" s="381"/>
      <c r="G573" s="381"/>
      <c r="H573" s="383"/>
      <c r="J573" s="279"/>
      <c r="M573" s="383"/>
    </row>
    <row r="574" spans="1:13" ht="12.6" customHeight="1" x14ac:dyDescent="0.25">
      <c r="A574" s="265" t="s">
        <v>587</v>
      </c>
      <c r="B574" s="289">
        <v>5965034</v>
      </c>
      <c r="C574" s="289">
        <f>CC71</f>
        <v>6571535.5</v>
      </c>
      <c r="D574" s="375" t="s">
        <v>529</v>
      </c>
      <c r="E574" s="375" t="s">
        <v>529</v>
      </c>
      <c r="F574" s="381"/>
      <c r="G574" s="381"/>
      <c r="H574" s="383"/>
      <c r="J574" s="279"/>
      <c r="M574" s="383"/>
    </row>
    <row r="575" spans="1:13" ht="12.6" customHeight="1" x14ac:dyDescent="0.25">
      <c r="A575" s="265" t="s">
        <v>588</v>
      </c>
      <c r="B575" s="289">
        <v>43987159.75</v>
      </c>
      <c r="C575" s="289">
        <f>CD71</f>
        <v>43609472</v>
      </c>
      <c r="D575" s="375" t="s">
        <v>529</v>
      </c>
      <c r="E575" s="375" t="s">
        <v>529</v>
      </c>
      <c r="F575" s="381"/>
      <c r="G575" s="381"/>
      <c r="H575" s="383"/>
    </row>
    <row r="576" spans="1:13" ht="12.6" customHeight="1" x14ac:dyDescent="0.25">
      <c r="M576" s="383"/>
    </row>
    <row r="577" spans="13:13" ht="12.6" customHeight="1" x14ac:dyDescent="0.25">
      <c r="M577" s="383"/>
    </row>
    <row r="578" spans="13:13" ht="12.6" customHeight="1" x14ac:dyDescent="0.25">
      <c r="M578" s="383"/>
    </row>
    <row r="612" spans="1:14" ht="12.6" customHeight="1" x14ac:dyDescent="0.25">
      <c r="A612" s="385"/>
      <c r="C612" s="375" t="s">
        <v>589</v>
      </c>
      <c r="D612" s="265">
        <f>CE76-(BE76+CD76)</f>
        <v>1156629</v>
      </c>
      <c r="E612" s="265">
        <f>SUM(C624:D647)+SUM(C668:D713)</f>
        <v>1054850385.563679</v>
      </c>
      <c r="F612" s="265">
        <f>CE64-(AX64+BD64+BE64+BG64+BJ64+BN64+BP64+BQ64+CB64+CC64+CD64)</f>
        <v>260464986</v>
      </c>
      <c r="G612" s="265">
        <f>CE77-(AX77+AY77+BD77+BE77+BG77+BJ77+BN77+BP77+BQ77+CB77+CC77+CD77)</f>
        <v>376818</v>
      </c>
      <c r="H612" s="374">
        <f>CE60-(AX60+AY60+AZ60+BD60+BE60+BG60+BJ60+BN60+BO60+BP60+BQ60+BR60+CB60+CC60+CD60)</f>
        <v>4354.09</v>
      </c>
      <c r="I612" s="265">
        <f>CE78-(AX78+AY78+AZ78+BD78+BE78+BF78+BG78+BJ78+BN78+BO78+BP78+BQ78+BR78+CB78+CC78+CD78)</f>
        <v>103752</v>
      </c>
      <c r="J612" s="265">
        <f>CE79-(AX79+AY79+AZ79+BA79+BD79+BE79+BF79+BG79+BJ79+BN79+BO79+BP79+BQ79+BR79+CB79+CC79+CD79)</f>
        <v>2454592</v>
      </c>
      <c r="K612" s="265">
        <f>CE75-(AW75+AX75+AY75+AZ75+BA75+BB75+BC75+BD75+BE75+BF75+BG75+BH75+BI75+BJ75+BK75+BL75+BM75+BN75+BO75+BP75+BQ75+BR75+BS75+BT75+BU75+BV75+BW75+BX75+CB75+CC75+CD75)</f>
        <v>2456386857</v>
      </c>
      <c r="L612" s="374">
        <f>CE80-(AW80+AX80+AY80+AZ80+BA80+BB80+BC80+BD80+BE80+BF80+BG80+BH80+BI80+BJ80+BK80+BL80+BM80+BN80+BO80+BP80+BQ80+BR80+BS80+BT80+BU80+BV80+BW80+BX80+BY80+BZ80+CA80+CB80+CC80+CD80)</f>
        <v>1492.41</v>
      </c>
    </row>
    <row r="613" spans="1:14" ht="12.6" customHeight="1" x14ac:dyDescent="0.25">
      <c r="A613" s="385"/>
      <c r="C613" s="375" t="s">
        <v>590</v>
      </c>
      <c r="D613" s="375" t="s">
        <v>591</v>
      </c>
      <c r="E613" s="281" t="s">
        <v>592</v>
      </c>
      <c r="F613" s="375" t="s">
        <v>593</v>
      </c>
      <c r="G613" s="375" t="s">
        <v>594</v>
      </c>
      <c r="H613" s="375" t="s">
        <v>595</v>
      </c>
      <c r="I613" s="375" t="s">
        <v>596</v>
      </c>
      <c r="J613" s="375" t="s">
        <v>597</v>
      </c>
      <c r="K613" s="375" t="s">
        <v>598</v>
      </c>
      <c r="L613" s="281" t="s">
        <v>599</v>
      </c>
    </row>
    <row r="614" spans="1:14" ht="12.6" customHeight="1" x14ac:dyDescent="0.25">
      <c r="A614" s="385">
        <v>8430</v>
      </c>
      <c r="B614" s="281" t="s">
        <v>140</v>
      </c>
      <c r="C614" s="265">
        <f>BE71</f>
        <v>23431227</v>
      </c>
      <c r="N614" s="279" t="s">
        <v>600</v>
      </c>
    </row>
    <row r="615" spans="1:14" ht="12.6" customHeight="1" x14ac:dyDescent="0.25">
      <c r="A615" s="385"/>
      <c r="B615" s="281" t="s">
        <v>601</v>
      </c>
      <c r="C615" s="284">
        <f>CD69-CD70</f>
        <v>43609472</v>
      </c>
      <c r="D615" s="386">
        <f>SUM(C614:C615)</f>
        <v>67040699</v>
      </c>
      <c r="N615" s="279" t="s">
        <v>602</v>
      </c>
    </row>
    <row r="616" spans="1:14" ht="12.6" customHeight="1" x14ac:dyDescent="0.25">
      <c r="A616" s="385">
        <v>8310</v>
      </c>
      <c r="B616" s="387" t="s">
        <v>603</v>
      </c>
      <c r="C616" s="265">
        <f>AX71</f>
        <v>2416287</v>
      </c>
      <c r="D616" s="265">
        <f>(D615/D612)*AX76</f>
        <v>125140.27327777533</v>
      </c>
      <c r="N616" s="279" t="s">
        <v>604</v>
      </c>
    </row>
    <row r="617" spans="1:14" ht="12.6" customHeight="1" x14ac:dyDescent="0.25">
      <c r="A617" s="385">
        <v>8510</v>
      </c>
      <c r="B617" s="387" t="s">
        <v>145</v>
      </c>
      <c r="C617" s="265">
        <f>BJ71</f>
        <v>2802217</v>
      </c>
      <c r="D617" s="265">
        <f>(D615/D612)*BJ76</f>
        <v>198694.23658926069</v>
      </c>
      <c r="N617" s="279" t="s">
        <v>605</v>
      </c>
    </row>
    <row r="618" spans="1:14" ht="12.6" customHeight="1" x14ac:dyDescent="0.25">
      <c r="A618" s="385">
        <v>8470</v>
      </c>
      <c r="B618" s="387" t="s">
        <v>606</v>
      </c>
      <c r="C618" s="265">
        <f>BG71</f>
        <v>5663940</v>
      </c>
      <c r="D618" s="265">
        <f>(D615/D612)*BG76</f>
        <v>689749.53775151761</v>
      </c>
      <c r="N618" s="279" t="s">
        <v>607</v>
      </c>
    </row>
    <row r="619" spans="1:14" ht="12.6" customHeight="1" x14ac:dyDescent="0.25">
      <c r="A619" s="385">
        <v>8610</v>
      </c>
      <c r="B619" s="387" t="s">
        <v>608</v>
      </c>
      <c r="C619" s="265">
        <f>BN71</f>
        <v>-2309529</v>
      </c>
      <c r="D619" s="265">
        <f>(D615/D612)*BN76</f>
        <v>638337.1142233162</v>
      </c>
      <c r="N619" s="279" t="s">
        <v>609</v>
      </c>
    </row>
    <row r="620" spans="1:14" ht="12.6" customHeight="1" x14ac:dyDescent="0.25">
      <c r="A620" s="385">
        <v>8790</v>
      </c>
      <c r="B620" s="387" t="s">
        <v>610</v>
      </c>
      <c r="C620" s="265">
        <f>CC71</f>
        <v>6571535.5</v>
      </c>
      <c r="D620" s="265">
        <f>(D615/D612)*CC76</f>
        <v>610109.54910693062</v>
      </c>
      <c r="N620" s="279" t="s">
        <v>611</v>
      </c>
    </row>
    <row r="621" spans="1:14" ht="12.6" customHeight="1" x14ac:dyDescent="0.25">
      <c r="A621" s="385">
        <v>8630</v>
      </c>
      <c r="B621" s="387" t="s">
        <v>612</v>
      </c>
      <c r="C621" s="265">
        <f>BP71</f>
        <v>3029829</v>
      </c>
      <c r="D621" s="265">
        <f>(D615/D612)*BP76</f>
        <v>306967.52537244011</v>
      </c>
      <c r="N621" s="279" t="s">
        <v>613</v>
      </c>
    </row>
    <row r="622" spans="1:14" ht="12.6" customHeight="1" x14ac:dyDescent="0.25">
      <c r="A622" s="385">
        <v>8770</v>
      </c>
      <c r="B622" s="281" t="s">
        <v>614</v>
      </c>
      <c r="C622" s="265">
        <f>CB71</f>
        <v>0</v>
      </c>
      <c r="D622" s="265">
        <f>(D615/D612)*CB76</f>
        <v>0</v>
      </c>
      <c r="N622" s="279" t="s">
        <v>615</v>
      </c>
    </row>
    <row r="623" spans="1:14" ht="12.6" customHeight="1" x14ac:dyDescent="0.25">
      <c r="A623" s="385">
        <v>8640</v>
      </c>
      <c r="B623" s="387" t="s">
        <v>616</v>
      </c>
      <c r="C623" s="265">
        <f>BQ71</f>
        <v>0</v>
      </c>
      <c r="D623" s="265">
        <f>(D615/D612)*BQ76</f>
        <v>0</v>
      </c>
      <c r="E623" s="265">
        <f>SUM(C616:D623)</f>
        <v>20743277.736321241</v>
      </c>
      <c r="N623" s="279" t="s">
        <v>617</v>
      </c>
    </row>
    <row r="624" spans="1:14" ht="12.6" customHeight="1" x14ac:dyDescent="0.25">
      <c r="A624" s="385">
        <v>8420</v>
      </c>
      <c r="B624" s="387" t="s">
        <v>139</v>
      </c>
      <c r="C624" s="265">
        <f>BD71</f>
        <v>-466310</v>
      </c>
      <c r="D624" s="265">
        <f>(D615/D612)*BD76</f>
        <v>462074.22814748721</v>
      </c>
      <c r="E624" s="265">
        <f>(E623/E612)*SUM(C624:D624)</f>
        <v>-83.29502758574904</v>
      </c>
      <c r="F624" s="265">
        <f>SUM(C624:E624)</f>
        <v>-4319.066880098535</v>
      </c>
      <c r="N624" s="279" t="s">
        <v>618</v>
      </c>
    </row>
    <row r="625" spans="1:14" ht="12.6" customHeight="1" x14ac:dyDescent="0.25">
      <c r="A625" s="385">
        <v>8320</v>
      </c>
      <c r="B625" s="387" t="s">
        <v>135</v>
      </c>
      <c r="C625" s="265">
        <f>AY71</f>
        <v>4537137</v>
      </c>
      <c r="D625" s="265">
        <f>(D615/D612)*AY76</f>
        <v>321400.09973379539</v>
      </c>
      <c r="E625" s="265">
        <f>(E623/E612)*SUM(C625:D625)</f>
        <v>95541.496529997545</v>
      </c>
      <c r="F625" s="265">
        <f>(F624/F612)*AY64</f>
        <v>-16.908526328753894</v>
      </c>
      <c r="G625" s="265">
        <f>SUM(C625:F625)</f>
        <v>4954061.687737464</v>
      </c>
      <c r="N625" s="279" t="s">
        <v>619</v>
      </c>
    </row>
    <row r="626" spans="1:14" ht="12.6" customHeight="1" x14ac:dyDescent="0.25">
      <c r="A626" s="385">
        <v>8650</v>
      </c>
      <c r="B626" s="387" t="s">
        <v>152</v>
      </c>
      <c r="C626" s="265">
        <f>BR71</f>
        <v>4321445</v>
      </c>
      <c r="D626" s="265">
        <f>(D615/D612)*BR76</f>
        <v>0</v>
      </c>
      <c r="E626" s="265">
        <f>(E623/E612)*SUM(C626:D626)</f>
        <v>84979.761190811376</v>
      </c>
      <c r="F626" s="265">
        <f>(F624/F612)*BR64</f>
        <v>-0.45227787029573158</v>
      </c>
      <c r="G626" s="265">
        <f>(G625/G612)*BR77</f>
        <v>0</v>
      </c>
      <c r="N626" s="279" t="s">
        <v>620</v>
      </c>
    </row>
    <row r="627" spans="1:14" ht="12.6" customHeight="1" x14ac:dyDescent="0.25">
      <c r="A627" s="385">
        <v>8620</v>
      </c>
      <c r="B627" s="281" t="s">
        <v>621</v>
      </c>
      <c r="C627" s="265">
        <f>BO71</f>
        <v>3168636</v>
      </c>
      <c r="D627" s="265">
        <f>(D615/D612)*BO76</f>
        <v>184435.54866599402</v>
      </c>
      <c r="E627" s="265">
        <f>(E623/E612)*SUM(C627:D627)</f>
        <v>65937.023255263048</v>
      </c>
      <c r="F627" s="265">
        <f>(F624/F612)*BO64</f>
        <v>-12.28051736493877</v>
      </c>
      <c r="G627" s="265">
        <f>(G625/G612)*BO77</f>
        <v>0</v>
      </c>
      <c r="N627" s="279" t="s">
        <v>622</v>
      </c>
    </row>
    <row r="628" spans="1:14" ht="12.6" customHeight="1" x14ac:dyDescent="0.25">
      <c r="A628" s="385">
        <v>8330</v>
      </c>
      <c r="B628" s="387" t="s">
        <v>136</v>
      </c>
      <c r="C628" s="265">
        <f>AZ71</f>
        <v>867253</v>
      </c>
      <c r="D628" s="265">
        <f>(D615/D612)*AZ76</f>
        <v>993992.84226056933</v>
      </c>
      <c r="E628" s="265">
        <f>(E623/E612)*SUM(C628:D628)</f>
        <v>36600.772934213848</v>
      </c>
      <c r="F628" s="265">
        <f>(F624/F612)*AZ64</f>
        <v>-44.904186566188329</v>
      </c>
      <c r="G628" s="265">
        <f>(G625/G612)*AZ77</f>
        <v>0</v>
      </c>
      <c r="H628" s="265">
        <f>SUM(C626:G628)</f>
        <v>9723222.3113250509</v>
      </c>
      <c r="N628" s="279" t="s">
        <v>623</v>
      </c>
    </row>
    <row r="629" spans="1:14" ht="12.6" customHeight="1" x14ac:dyDescent="0.25">
      <c r="A629" s="385">
        <v>8460</v>
      </c>
      <c r="B629" s="387" t="s">
        <v>141</v>
      </c>
      <c r="C629" s="265">
        <f>BF71</f>
        <v>8984948</v>
      </c>
      <c r="D629" s="265">
        <f>(D615/D612)*BF76</f>
        <v>488620.89102901623</v>
      </c>
      <c r="E629" s="265">
        <f>(E623/E612)*SUM(C629:D629)</f>
        <v>186294.54314108953</v>
      </c>
      <c r="F629" s="265">
        <f>(F624/F612)*BF64</f>
        <v>-0.67709852530836323</v>
      </c>
      <c r="G629" s="265">
        <f>(G625/G612)*BF77</f>
        <v>0</v>
      </c>
      <c r="H629" s="265">
        <f>(H628/H612)*BF60</f>
        <v>0</v>
      </c>
      <c r="I629" s="265">
        <f>SUM(C629:H629)</f>
        <v>9659862.7570715807</v>
      </c>
      <c r="N629" s="279" t="s">
        <v>624</v>
      </c>
    </row>
    <row r="630" spans="1:14" ht="12.6" customHeight="1" x14ac:dyDescent="0.25">
      <c r="A630" s="385">
        <v>8350</v>
      </c>
      <c r="B630" s="387" t="s">
        <v>625</v>
      </c>
      <c r="C630" s="265">
        <f>BA71</f>
        <v>1980335</v>
      </c>
      <c r="D630" s="265">
        <f>(D615/D612)*BA76</f>
        <v>186174.41304688019</v>
      </c>
      <c r="E630" s="265">
        <f>(E623/E612)*SUM(C630:D630)</f>
        <v>42603.678292415803</v>
      </c>
      <c r="F630" s="265">
        <f>(F624/F612)*BA64</f>
        <v>0</v>
      </c>
      <c r="G630" s="265">
        <f>(G625/G612)*BA77</f>
        <v>0</v>
      </c>
      <c r="H630" s="265">
        <f>(H628/H612)*BA60</f>
        <v>0</v>
      </c>
      <c r="I630" s="265">
        <f>(I629/I612)*BA78</f>
        <v>29048.858626400775</v>
      </c>
      <c r="J630" s="265">
        <f>SUM(C630:I630)</f>
        <v>2238161.9499656963</v>
      </c>
      <c r="N630" s="279" t="s">
        <v>626</v>
      </c>
    </row>
    <row r="631" spans="1:14" ht="12.6" customHeight="1" x14ac:dyDescent="0.25">
      <c r="A631" s="385">
        <v>8200</v>
      </c>
      <c r="B631" s="387" t="s">
        <v>627</v>
      </c>
      <c r="C631" s="265">
        <f>AW71</f>
        <v>17048393</v>
      </c>
      <c r="D631" s="265">
        <f>(D615/D612)*AW76</f>
        <v>1034740.2309193354</v>
      </c>
      <c r="E631" s="265">
        <f>(E623/E612)*SUM(C631:D631)</f>
        <v>355598.72763511987</v>
      </c>
      <c r="F631" s="265">
        <f>(F624/F612)*AW64</f>
        <v>-4.183557863630468</v>
      </c>
      <c r="G631" s="265">
        <f>(G625/G612)*AW77</f>
        <v>0</v>
      </c>
      <c r="H631" s="265">
        <f>(H628/H612)*AW60</f>
        <v>333293.73760424426</v>
      </c>
      <c r="I631" s="265">
        <f>(I629/I612)*AW78</f>
        <v>161537.72345129919</v>
      </c>
      <c r="J631" s="265">
        <f>(J630/J612)*AW79</f>
        <v>2611.4709999469378</v>
      </c>
      <c r="N631" s="279" t="s">
        <v>628</v>
      </c>
    </row>
    <row r="632" spans="1:14" ht="12.6" customHeight="1" x14ac:dyDescent="0.25">
      <c r="A632" s="385">
        <v>8360</v>
      </c>
      <c r="B632" s="387" t="s">
        <v>629</v>
      </c>
      <c r="C632" s="265">
        <f>BB71</f>
        <v>1035652</v>
      </c>
      <c r="D632" s="265">
        <f>(D615/D612)*BB76</f>
        <v>21272.107592840919</v>
      </c>
      <c r="E632" s="265">
        <f>(E623/E612)*SUM(C632:D632)</f>
        <v>20784.05678194471</v>
      </c>
      <c r="F632" s="265">
        <f>(F624/F612)*BB64</f>
        <v>-5.3477401712327566E-2</v>
      </c>
      <c r="G632" s="265">
        <f>(G625/G612)*BB77</f>
        <v>0</v>
      </c>
      <c r="H632" s="265">
        <f>(H628/H612)*BB60</f>
        <v>20053.452353005785</v>
      </c>
      <c r="I632" s="265">
        <f>(I629/I612)*BB78</f>
        <v>3351.7913799693201</v>
      </c>
      <c r="J632" s="265">
        <f>(J630/J612)*BB79</f>
        <v>0</v>
      </c>
      <c r="N632" s="279" t="s">
        <v>630</v>
      </c>
    </row>
    <row r="633" spans="1:14" ht="12.6" customHeight="1" x14ac:dyDescent="0.25">
      <c r="A633" s="385">
        <v>8370</v>
      </c>
      <c r="B633" s="387" t="s">
        <v>631</v>
      </c>
      <c r="C633" s="265">
        <f>BC71</f>
        <v>3223112</v>
      </c>
      <c r="D633" s="265">
        <f>(D615/D612)*BC76</f>
        <v>39472.221446116258</v>
      </c>
      <c r="E633" s="265">
        <f>(E623/E612)*SUM(C633:D633)</f>
        <v>64157.620426362075</v>
      </c>
      <c r="F633" s="265">
        <f>(F624/F612)*BC64</f>
        <v>-2.7104502866016169</v>
      </c>
      <c r="G633" s="265">
        <f>(G625/G612)*BC77</f>
        <v>0</v>
      </c>
      <c r="H633" s="265">
        <f>(H628/H612)*BC60</f>
        <v>0</v>
      </c>
      <c r="I633" s="265">
        <f>(I629/I612)*BC78</f>
        <v>6144.9508632770876</v>
      </c>
      <c r="J633" s="265">
        <f>(J630/J612)*BC79</f>
        <v>0</v>
      </c>
      <c r="N633" s="279" t="s">
        <v>632</v>
      </c>
    </row>
    <row r="634" spans="1:14" ht="12.6" customHeight="1" x14ac:dyDescent="0.25">
      <c r="A634" s="385">
        <v>8490</v>
      </c>
      <c r="B634" s="387" t="s">
        <v>633</v>
      </c>
      <c r="C634" s="265">
        <f>BI71</f>
        <v>4043279</v>
      </c>
      <c r="D634" s="265">
        <f>(D615/D612)*BI76</f>
        <v>435411.64097389916</v>
      </c>
      <c r="E634" s="265">
        <f>(E623/E612)*SUM(C634:D634)</f>
        <v>88071.943786738906</v>
      </c>
      <c r="F634" s="265">
        <f>(F624/F612)*BI64</f>
        <v>-1.041739785356141</v>
      </c>
      <c r="G634" s="265">
        <f>(G625/G612)*BI77</f>
        <v>0</v>
      </c>
      <c r="H634" s="265">
        <f>(H628/H612)*BI60</f>
        <v>38923.349054887622</v>
      </c>
      <c r="I634" s="265">
        <f>(I629/I612)*BI78</f>
        <v>67966.880760488988</v>
      </c>
      <c r="J634" s="265">
        <f>(J630/J612)*BI79</f>
        <v>0</v>
      </c>
      <c r="N634" s="279" t="s">
        <v>634</v>
      </c>
    </row>
    <row r="635" spans="1:14" ht="12.6" customHeight="1" x14ac:dyDescent="0.25">
      <c r="A635" s="385">
        <v>8530</v>
      </c>
      <c r="B635" s="387" t="s">
        <v>635</v>
      </c>
      <c r="C635" s="265">
        <f>BK71</f>
        <v>21935574</v>
      </c>
      <c r="D635" s="265">
        <f>(D615/D612)*BK76</f>
        <v>1391149.4668549725</v>
      </c>
      <c r="E635" s="265">
        <f>(E623/E612)*SUM(C635:D635)</f>
        <v>458712.16446754063</v>
      </c>
      <c r="F635" s="265">
        <f>(F624/F612)*BK64</f>
        <v>-5.8050590121085026</v>
      </c>
      <c r="G635" s="265">
        <f>(G625/G612)*BK77</f>
        <v>0</v>
      </c>
      <c r="H635" s="265">
        <f>(H628/H612)*BK60</f>
        <v>454239.72640589165</v>
      </c>
      <c r="I635" s="265">
        <f>(I629/I612)*BK78</f>
        <v>217214.70248523401</v>
      </c>
      <c r="J635" s="265">
        <f>(J630/J612)*BK79</f>
        <v>0</v>
      </c>
      <c r="N635" s="279" t="s">
        <v>636</v>
      </c>
    </row>
    <row r="636" spans="1:14" ht="12.6" customHeight="1" x14ac:dyDescent="0.25">
      <c r="A636" s="385">
        <v>8480</v>
      </c>
      <c r="B636" s="387" t="s">
        <v>637</v>
      </c>
      <c r="C636" s="265">
        <f>BH71</f>
        <v>43685668</v>
      </c>
      <c r="D636" s="265">
        <f>(D615/D612)*BH76</f>
        <v>2673272.1370283817</v>
      </c>
      <c r="E636" s="265">
        <f>(E623/E612)*SUM(C636:D636)</f>
        <v>911632.95191858103</v>
      </c>
      <c r="F636" s="265">
        <f>(F624/F612)*BH64</f>
        <v>-0.10667290704353589</v>
      </c>
      <c r="G636" s="265">
        <f>(G625/G612)*BH77</f>
        <v>0</v>
      </c>
      <c r="H636" s="265">
        <f>(H628/H612)*BH60</f>
        <v>333182.08141074196</v>
      </c>
      <c r="I636" s="265">
        <f>(I629/I612)*BH78</f>
        <v>417391.13212229061</v>
      </c>
      <c r="J636" s="265">
        <f>(J630/J612)*BH79</f>
        <v>0</v>
      </c>
      <c r="N636" s="279" t="s">
        <v>638</v>
      </c>
    </row>
    <row r="637" spans="1:14" ht="12.6" customHeight="1" x14ac:dyDescent="0.25">
      <c r="A637" s="385">
        <v>8560</v>
      </c>
      <c r="B637" s="387" t="s">
        <v>147</v>
      </c>
      <c r="C637" s="265">
        <f>BL71</f>
        <v>6622215</v>
      </c>
      <c r="D637" s="265">
        <f>(D615/D612)*BL76</f>
        <v>433962.58732316067</v>
      </c>
      <c r="E637" s="265">
        <f>(E623/E612)*SUM(C637:D637)</f>
        <v>138757.35692359332</v>
      </c>
      <c r="F637" s="265">
        <f>(F624/F612)*BL64</f>
        <v>-0.80673769634308479</v>
      </c>
      <c r="G637" s="265">
        <f>(G625/G612)*BL77</f>
        <v>0</v>
      </c>
      <c r="H637" s="265">
        <f>(H628/H612)*BL60</f>
        <v>184344.37547223023</v>
      </c>
      <c r="I637" s="265">
        <f>(I629/I612)*BL78</f>
        <v>67780.670128268481</v>
      </c>
      <c r="J637" s="265">
        <f>(J630/J612)*BL79</f>
        <v>0</v>
      </c>
      <c r="N637" s="279" t="s">
        <v>639</v>
      </c>
    </row>
    <row r="638" spans="1:14" ht="12.6" customHeight="1" x14ac:dyDescent="0.25">
      <c r="A638" s="385">
        <v>8590</v>
      </c>
      <c r="B638" s="387" t="s">
        <v>640</v>
      </c>
      <c r="C638" s="265">
        <f>BM71</f>
        <v>3675316</v>
      </c>
      <c r="D638" s="265">
        <f>(D615/D612)*BM76</f>
        <v>236137.78292434308</v>
      </c>
      <c r="E638" s="265">
        <f>(E623/E612)*SUM(C638:D638)</f>
        <v>76917.421922946247</v>
      </c>
      <c r="F638" s="265">
        <f>(F624/F612)*BM64</f>
        <v>-0.11010541003716436</v>
      </c>
      <c r="G638" s="265">
        <f>(G625/G612)*BM77</f>
        <v>0</v>
      </c>
      <c r="H638" s="265">
        <f>(H628/H612)*BM60</f>
        <v>40687.51691222332</v>
      </c>
      <c r="I638" s="265">
        <f>(I629/I612)*BM78</f>
        <v>36869.705179662524</v>
      </c>
      <c r="J638" s="265">
        <f>(J630/J612)*BM79</f>
        <v>0</v>
      </c>
      <c r="N638" s="279" t="s">
        <v>641</v>
      </c>
    </row>
    <row r="639" spans="1:14" ht="12.6" customHeight="1" x14ac:dyDescent="0.25">
      <c r="A639" s="385">
        <v>8660</v>
      </c>
      <c r="B639" s="387" t="s">
        <v>642</v>
      </c>
      <c r="C639" s="265">
        <f>BS71</f>
        <v>455</v>
      </c>
      <c r="D639" s="265">
        <f>(D615/D612)*BS76</f>
        <v>0</v>
      </c>
      <c r="E639" s="265">
        <f>(E623/E612)*SUM(C639:D639)</f>
        <v>8.9474218327016022</v>
      </c>
      <c r="F639" s="265">
        <f>(F624/F612)*BS64</f>
        <v>-6.1022275442283863E-3</v>
      </c>
      <c r="G639" s="265">
        <f>(G625/G612)*BS77</f>
        <v>0</v>
      </c>
      <c r="H639" s="265">
        <f>(H628/H612)*BS60</f>
        <v>0</v>
      </c>
      <c r="I639" s="265">
        <f>(I629/I612)*BS78</f>
        <v>0</v>
      </c>
      <c r="J639" s="265">
        <f>(J630/J612)*BS79</f>
        <v>0</v>
      </c>
      <c r="N639" s="279" t="s">
        <v>643</v>
      </c>
    </row>
    <row r="640" spans="1:14" ht="12.6" customHeight="1" x14ac:dyDescent="0.25">
      <c r="A640" s="385">
        <v>8670</v>
      </c>
      <c r="B640" s="387" t="s">
        <v>644</v>
      </c>
      <c r="C640" s="265">
        <f>BT71</f>
        <v>164624</v>
      </c>
      <c r="D640" s="265">
        <f>(D615/D612)*BT76</f>
        <v>49325.786271137935</v>
      </c>
      <c r="E640" s="265">
        <f>(E623/E612)*SUM(C640:D640)</f>
        <v>4207.2505248004863</v>
      </c>
      <c r="F640" s="265">
        <f>(F624/F612)*BT64</f>
        <v>-8.0423379319314332E-3</v>
      </c>
      <c r="G640" s="265">
        <f>(G625/G612)*BT77</f>
        <v>0</v>
      </c>
      <c r="H640" s="265">
        <f>(H628/H612)*BT60</f>
        <v>2568.0924505519656</v>
      </c>
      <c r="I640" s="265">
        <f>(I629/I612)*BT78</f>
        <v>7727.7412371514883</v>
      </c>
      <c r="J640" s="265">
        <f>(J630/J612)*BT79</f>
        <v>0</v>
      </c>
      <c r="N640" s="279" t="s">
        <v>645</v>
      </c>
    </row>
    <row r="641" spans="1:14" ht="12.6" customHeight="1" x14ac:dyDescent="0.25">
      <c r="A641" s="385">
        <v>8680</v>
      </c>
      <c r="B641" s="387" t="s">
        <v>646</v>
      </c>
      <c r="C641" s="265">
        <f>BU71</f>
        <v>1210887</v>
      </c>
      <c r="D641" s="265">
        <f>(D615/D612)*BU76</f>
        <v>323023.03982262249</v>
      </c>
      <c r="E641" s="265">
        <f>(E623/E612)*SUM(C641:D641)</f>
        <v>30163.824570789267</v>
      </c>
      <c r="F641" s="265">
        <f>(F624/F612)*BU64</f>
        <v>-0.16167586564192055</v>
      </c>
      <c r="G641" s="265">
        <f>(G625/G612)*BU77</f>
        <v>0</v>
      </c>
      <c r="H641" s="265">
        <f>(H628/H612)*BU60</f>
        <v>10875.313247120064</v>
      </c>
      <c r="I641" s="265">
        <f>(I629/I612)*BU78</f>
        <v>50463.081331760324</v>
      </c>
      <c r="J641" s="265">
        <f>(J630/J612)*BU79</f>
        <v>0</v>
      </c>
      <c r="N641" s="279" t="s">
        <v>647</v>
      </c>
    </row>
    <row r="642" spans="1:14" ht="12.6" customHeight="1" x14ac:dyDescent="0.25">
      <c r="A642" s="385">
        <v>8690</v>
      </c>
      <c r="B642" s="387" t="s">
        <v>648</v>
      </c>
      <c r="C642" s="265">
        <f>BV71</f>
        <v>4562945</v>
      </c>
      <c r="D642" s="265">
        <f>(D615/D612)*BV76</f>
        <v>817034.41043238586</v>
      </c>
      <c r="E642" s="265">
        <f>(E623/E612)*SUM(C642:D642)</f>
        <v>105795.48403601721</v>
      </c>
      <c r="F642" s="265">
        <f>(F624/F612)*BV64</f>
        <v>-1.1301723383272551</v>
      </c>
      <c r="G642" s="265">
        <f>(G625/G612)*BV77</f>
        <v>0</v>
      </c>
      <c r="H642" s="265">
        <f>(H628/H612)*BV60</f>
        <v>91580.40991055315</v>
      </c>
      <c r="I642" s="265">
        <f>(I629/I612)*BV78</f>
        <v>127554.28307105468</v>
      </c>
      <c r="J642" s="265">
        <f>(J630/J612)*BV79</f>
        <v>0</v>
      </c>
      <c r="N642" s="279" t="s">
        <v>649</v>
      </c>
    </row>
    <row r="643" spans="1:14" ht="12.6" customHeight="1" x14ac:dyDescent="0.25">
      <c r="A643" s="385">
        <v>8700</v>
      </c>
      <c r="B643" s="387" t="s">
        <v>650</v>
      </c>
      <c r="C643" s="265">
        <f>BW71</f>
        <v>-6878438</v>
      </c>
      <c r="D643" s="265">
        <f>(D615/D612)*BW76</f>
        <v>0</v>
      </c>
      <c r="E643" s="265">
        <f>(E623/E612)*SUM(C643:D643)</f>
        <v>-135262.16777161395</v>
      </c>
      <c r="F643" s="265">
        <f>(F624/F612)*BW64</f>
        <v>-0.33422961516703081</v>
      </c>
      <c r="G643" s="265">
        <f>(G625/G612)*BW77</f>
        <v>0</v>
      </c>
      <c r="H643" s="265">
        <f>(H628/H612)*BW60</f>
        <v>20299.095978710757</v>
      </c>
      <c r="I643" s="265">
        <f>(I629/I612)*BW78</f>
        <v>0</v>
      </c>
      <c r="J643" s="265">
        <f>(J630/J612)*BW79</f>
        <v>0</v>
      </c>
      <c r="N643" s="279" t="s">
        <v>651</v>
      </c>
    </row>
    <row r="644" spans="1:14" ht="12.6" customHeight="1" x14ac:dyDescent="0.25">
      <c r="A644" s="385">
        <v>8710</v>
      </c>
      <c r="B644" s="387" t="s">
        <v>652</v>
      </c>
      <c r="C644" s="265">
        <f>BX71</f>
        <v>13667055</v>
      </c>
      <c r="D644" s="265">
        <f>(D615/D612)*BX76</f>
        <v>1288672.3926747472</v>
      </c>
      <c r="E644" s="265">
        <f>(E623/E612)*SUM(C644:D644)</f>
        <v>294099.34460912406</v>
      </c>
      <c r="F644" s="265">
        <f>(F624/F612)*BX64</f>
        <v>-2.4667591561940618</v>
      </c>
      <c r="G644" s="265">
        <f>(G625/G612)*BX77</f>
        <v>0</v>
      </c>
      <c r="H644" s="265">
        <f>(H628/H612)*BX60</f>
        <v>177042.06041718248</v>
      </c>
      <c r="I644" s="265">
        <f>(I629/I612)*BX78</f>
        <v>201200.58811426949</v>
      </c>
      <c r="J644" s="265">
        <f>(J630/J612)*BX79</f>
        <v>0</v>
      </c>
      <c r="K644" s="265">
        <f>SUM(C631:J644)</f>
        <v>128228740.73907782</v>
      </c>
      <c r="N644" s="279" t="s">
        <v>653</v>
      </c>
    </row>
    <row r="645" spans="1:14" ht="12.6" customHeight="1" x14ac:dyDescent="0.25">
      <c r="A645" s="385">
        <v>8720</v>
      </c>
      <c r="B645" s="387" t="s">
        <v>654</v>
      </c>
      <c r="C645" s="265">
        <f>BY71</f>
        <v>6782120.4000000004</v>
      </c>
      <c r="D645" s="265">
        <f>(D615/D612)*BY76</f>
        <v>337397.6520379482</v>
      </c>
      <c r="E645" s="265">
        <f>(E623/E612)*SUM(C645:D645)</f>
        <v>140002.92583981875</v>
      </c>
      <c r="F645" s="265">
        <f>(F624/F612)*BY64</f>
        <v>-2.9483874144063265</v>
      </c>
      <c r="G645" s="265">
        <f>(G625/G612)*BY77</f>
        <v>0</v>
      </c>
      <c r="H645" s="265">
        <f>(H628/H612)*BY60</f>
        <v>117841.94662228457</v>
      </c>
      <c r="I645" s="265">
        <f>(I629/I612)*BY78</f>
        <v>52697.608918406535</v>
      </c>
      <c r="J645" s="265">
        <f>(J630/J612)*BY79</f>
        <v>0</v>
      </c>
      <c r="K645" s="265">
        <v>0</v>
      </c>
      <c r="N645" s="279" t="s">
        <v>655</v>
      </c>
    </row>
    <row r="646" spans="1:14" ht="12.6" customHeight="1" x14ac:dyDescent="0.25">
      <c r="A646" s="385">
        <v>8730</v>
      </c>
      <c r="B646" s="387" t="s">
        <v>656</v>
      </c>
      <c r="C646" s="265">
        <f>BZ71</f>
        <v>0</v>
      </c>
      <c r="D646" s="265">
        <f>(D615/D612)*BZ76</f>
        <v>0</v>
      </c>
      <c r="E646" s="265">
        <f>(E623/E612)*SUM(C646:D646)</f>
        <v>0</v>
      </c>
      <c r="F646" s="265">
        <f>(F624/F612)*BZ64</f>
        <v>0</v>
      </c>
      <c r="G646" s="265">
        <f>(G625/G612)*BZ77</f>
        <v>0</v>
      </c>
      <c r="H646" s="265">
        <f>(H628/H612)*BZ60</f>
        <v>0</v>
      </c>
      <c r="I646" s="265">
        <f>(I629/I612)*BZ78</f>
        <v>0</v>
      </c>
      <c r="J646" s="265">
        <f>(J630/J612)*BZ79</f>
        <v>0</v>
      </c>
      <c r="K646" s="265">
        <v>0</v>
      </c>
      <c r="N646" s="279" t="s">
        <v>657</v>
      </c>
    </row>
    <row r="647" spans="1:14" ht="12.6" customHeight="1" x14ac:dyDescent="0.25">
      <c r="A647" s="385">
        <v>8740</v>
      </c>
      <c r="B647" s="387" t="s">
        <v>658</v>
      </c>
      <c r="C647" s="265">
        <f>CA71</f>
        <v>5730041.4000000004</v>
      </c>
      <c r="D647" s="265">
        <f>(D615/D612)*CA76</f>
        <v>221067.62495666285</v>
      </c>
      <c r="E647" s="265">
        <f>(E623/E612)*SUM(C647:D647)</f>
        <v>117026.55564546109</v>
      </c>
      <c r="F647" s="265">
        <f>(F624/F612)*CA64</f>
        <v>-0.74636212436336857</v>
      </c>
      <c r="G647" s="265">
        <f>(G625/G612)*CA77</f>
        <v>0</v>
      </c>
      <c r="H647" s="265">
        <f>(H628/H612)*CA60</f>
        <v>113487.35507569644</v>
      </c>
      <c r="I647" s="265">
        <f>(I629/I612)*CA78</f>
        <v>34448.966960795791</v>
      </c>
      <c r="J647" s="265">
        <f>(J630/J612)*CA79</f>
        <v>0</v>
      </c>
      <c r="K647" s="265">
        <v>0</v>
      </c>
      <c r="L647" s="265">
        <f>SUM(C645:K647)</f>
        <v>13646128.741307536</v>
      </c>
      <c r="N647" s="279" t="s">
        <v>659</v>
      </c>
    </row>
    <row r="648" spans="1:14" ht="12.6" customHeight="1" x14ac:dyDescent="0.25">
      <c r="A648" s="385"/>
      <c r="B648" s="385"/>
      <c r="C648" s="265">
        <f>SUM(C614:C647)</f>
        <v>235117321.30000001</v>
      </c>
      <c r="L648" s="386"/>
    </row>
    <row r="666" spans="1:14" ht="12.6" customHeight="1" x14ac:dyDescent="0.25">
      <c r="C666" s="375" t="s">
        <v>660</v>
      </c>
      <c r="M666" s="375" t="s">
        <v>661</v>
      </c>
    </row>
    <row r="667" spans="1:14" ht="12.6" customHeight="1" x14ac:dyDescent="0.25">
      <c r="C667" s="375" t="s">
        <v>590</v>
      </c>
      <c r="D667" s="375" t="s">
        <v>591</v>
      </c>
      <c r="E667" s="281" t="s">
        <v>592</v>
      </c>
      <c r="F667" s="375" t="s">
        <v>593</v>
      </c>
      <c r="G667" s="375" t="s">
        <v>594</v>
      </c>
      <c r="H667" s="375" t="s">
        <v>595</v>
      </c>
      <c r="I667" s="375" t="s">
        <v>596</v>
      </c>
      <c r="J667" s="375" t="s">
        <v>597</v>
      </c>
      <c r="K667" s="375" t="s">
        <v>598</v>
      </c>
      <c r="L667" s="281" t="s">
        <v>599</v>
      </c>
      <c r="M667" s="375" t="s">
        <v>662</v>
      </c>
    </row>
    <row r="668" spans="1:14" ht="12.6" customHeight="1" x14ac:dyDescent="0.25">
      <c r="A668" s="385">
        <v>6010</v>
      </c>
      <c r="B668" s="281" t="s">
        <v>283</v>
      </c>
      <c r="C668" s="265">
        <f>C71</f>
        <v>14672977</v>
      </c>
      <c r="D668" s="265">
        <f>(D615/D612)*C76</f>
        <v>1378745.5676046512</v>
      </c>
      <c r="E668" s="265">
        <f>(E623/E612)*SUM(C668:D668)</f>
        <v>315651.72077770304</v>
      </c>
      <c r="F668" s="265">
        <f>(F624/F612)*C64</f>
        <v>-23.50602923246873</v>
      </c>
      <c r="G668" s="265">
        <f>(G625/G612)*C77</f>
        <v>227444.72715703107</v>
      </c>
      <c r="H668" s="265">
        <f>(H628/H612)*C60</f>
        <v>214312.89780823665</v>
      </c>
      <c r="I668" s="265">
        <f>(I629/I612)*C78</f>
        <v>215259.49084691858</v>
      </c>
      <c r="J668" s="265">
        <f>(J630/J612)*C79</f>
        <v>30786.908813620255</v>
      </c>
      <c r="K668" s="265">
        <f>(K644/K612)*C75</f>
        <v>2274995.499772225</v>
      </c>
      <c r="L668" s="265">
        <f>(L647/L612)*C80</f>
        <v>772550.04814566625</v>
      </c>
      <c r="M668" s="265">
        <f t="shared" ref="M668:M713" si="21">ROUND(SUM(D668:L668),0)</f>
        <v>5429723</v>
      </c>
      <c r="N668" s="281" t="s">
        <v>663</v>
      </c>
    </row>
    <row r="669" spans="1:14" ht="12.6" customHeight="1" x14ac:dyDescent="0.25">
      <c r="A669" s="385">
        <v>6030</v>
      </c>
      <c r="B669" s="281" t="s">
        <v>284</v>
      </c>
      <c r="C669" s="265">
        <f>D71</f>
        <v>0</v>
      </c>
      <c r="D669" s="265">
        <f>(D615/D612)*D76</f>
        <v>0</v>
      </c>
      <c r="E669" s="265">
        <f>(E623/E612)*SUM(C669:D669)</f>
        <v>0</v>
      </c>
      <c r="F669" s="265">
        <f>(F624/F612)*D64</f>
        <v>0</v>
      </c>
      <c r="G669" s="265">
        <f>(G625/G612)*D77</f>
        <v>0</v>
      </c>
      <c r="H669" s="265">
        <f>(H628/H612)*D60</f>
        <v>0</v>
      </c>
      <c r="I669" s="265">
        <f>(I629/I612)*D78</f>
        <v>0</v>
      </c>
      <c r="J669" s="265">
        <f>(J630/J612)*D79</f>
        <v>0</v>
      </c>
      <c r="K669" s="265">
        <f>(K644/K612)*D75</f>
        <v>0</v>
      </c>
      <c r="L669" s="265">
        <f>(L647/L612)*D80</f>
        <v>0</v>
      </c>
      <c r="M669" s="265">
        <f t="shared" si="21"/>
        <v>0</v>
      </c>
      <c r="N669" s="281" t="s">
        <v>664</v>
      </c>
    </row>
    <row r="670" spans="1:14" ht="12.6" customHeight="1" x14ac:dyDescent="0.25">
      <c r="A670" s="385">
        <v>6070</v>
      </c>
      <c r="B670" s="281" t="s">
        <v>665</v>
      </c>
      <c r="C670" s="265">
        <f>E71</f>
        <v>60211741</v>
      </c>
      <c r="D670" s="265">
        <f>(D615/D612)*E76</f>
        <v>7012376.3509457223</v>
      </c>
      <c r="E670" s="265">
        <f>(E623/E612)*SUM(C670:D670)</f>
        <v>1321939.6379559261</v>
      </c>
      <c r="F670" s="265">
        <f>(F624/F612)*E64</f>
        <v>-66.866368812107339</v>
      </c>
      <c r="G670" s="265">
        <f>(G625/G612)*E77</f>
        <v>4289554.9658053843</v>
      </c>
      <c r="H670" s="265">
        <f>(H628/H612)*E60</f>
        <v>1124154.5561807475</v>
      </c>
      <c r="I670" s="265">
        <f>(I629/I612)*E78</f>
        <v>1094918.5174566447</v>
      </c>
      <c r="J670" s="265">
        <f>(J630/J612)*E79</f>
        <v>277575.47744093818</v>
      </c>
      <c r="K670" s="265">
        <f>(K644/K612)*E75</f>
        <v>11698031.922187069</v>
      </c>
      <c r="L670" s="265">
        <f>(L647/L612)*E80</f>
        <v>4002100.0186161282</v>
      </c>
      <c r="M670" s="265">
        <f t="shared" si="21"/>
        <v>30820585</v>
      </c>
      <c r="N670" s="281" t="s">
        <v>666</v>
      </c>
    </row>
    <row r="671" spans="1:14" ht="12.6" customHeight="1" x14ac:dyDescent="0.25">
      <c r="A671" s="385">
        <v>6100</v>
      </c>
      <c r="B671" s="281" t="s">
        <v>667</v>
      </c>
      <c r="C671" s="265">
        <f>F71</f>
        <v>0</v>
      </c>
      <c r="D671" s="265">
        <f>(D615/D612)*F76</f>
        <v>0</v>
      </c>
      <c r="E671" s="265">
        <f>(E623/E612)*SUM(C671:D671)</f>
        <v>0</v>
      </c>
      <c r="F671" s="265">
        <f>(F624/F612)*F64</f>
        <v>0</v>
      </c>
      <c r="G671" s="265">
        <f>(G625/G612)*F77</f>
        <v>0</v>
      </c>
      <c r="H671" s="265">
        <f>(H628/H612)*F60</f>
        <v>0</v>
      </c>
      <c r="I671" s="265">
        <f>(I629/I612)*F78</f>
        <v>0</v>
      </c>
      <c r="J671" s="265">
        <f>(J630/J612)*F79</f>
        <v>0</v>
      </c>
      <c r="K671" s="265">
        <f>(K644/K612)*F75</f>
        <v>0</v>
      </c>
      <c r="L671" s="265">
        <f>(L647/L612)*F80</f>
        <v>0</v>
      </c>
      <c r="M671" s="265">
        <f t="shared" si="21"/>
        <v>0</v>
      </c>
      <c r="N671" s="281" t="s">
        <v>668</v>
      </c>
    </row>
    <row r="672" spans="1:14" ht="12.6" customHeight="1" x14ac:dyDescent="0.25">
      <c r="A672" s="385">
        <v>6120</v>
      </c>
      <c r="B672" s="281" t="s">
        <v>669</v>
      </c>
      <c r="C672" s="265">
        <f>G71</f>
        <v>0</v>
      </c>
      <c r="D672" s="265">
        <f>(D615/D612)*G76</f>
        <v>0</v>
      </c>
      <c r="E672" s="265">
        <f>(E623/E612)*SUM(C672:D672)</f>
        <v>0</v>
      </c>
      <c r="F672" s="265">
        <f>(F624/F612)*G64</f>
        <v>0</v>
      </c>
      <c r="G672" s="265">
        <f>(G625/G612)*G77</f>
        <v>0</v>
      </c>
      <c r="H672" s="265">
        <f>(H628/H612)*G60</f>
        <v>0</v>
      </c>
      <c r="I672" s="265">
        <f>(I629/I612)*G78</f>
        <v>0</v>
      </c>
      <c r="J672" s="265">
        <f>(J630/J612)*G79</f>
        <v>0</v>
      </c>
      <c r="K672" s="265">
        <f>(K644/K612)*G75</f>
        <v>0</v>
      </c>
      <c r="L672" s="265">
        <f>(L647/L612)*G80</f>
        <v>0</v>
      </c>
      <c r="M672" s="265">
        <f t="shared" si="21"/>
        <v>0</v>
      </c>
      <c r="N672" s="281" t="s">
        <v>670</v>
      </c>
    </row>
    <row r="673" spans="1:14" ht="12.6" customHeight="1" x14ac:dyDescent="0.25">
      <c r="A673" s="385">
        <v>6140</v>
      </c>
      <c r="B673" s="281" t="s">
        <v>671</v>
      </c>
      <c r="C673" s="265">
        <f>H71</f>
        <v>0</v>
      </c>
      <c r="D673" s="265">
        <f>(D615/D612)*H76</f>
        <v>0</v>
      </c>
      <c r="E673" s="265">
        <f>(E623/E612)*SUM(C673:D673)</f>
        <v>0</v>
      </c>
      <c r="F673" s="265">
        <f>(F624/F612)*H64</f>
        <v>0</v>
      </c>
      <c r="G673" s="265">
        <f>(G625/G612)*H77</f>
        <v>0</v>
      </c>
      <c r="H673" s="265">
        <f>(H628/H612)*H60</f>
        <v>0</v>
      </c>
      <c r="I673" s="265">
        <f>(I629/I612)*H78</f>
        <v>0</v>
      </c>
      <c r="J673" s="265">
        <f>(J630/J612)*H79</f>
        <v>0</v>
      </c>
      <c r="K673" s="265">
        <f>(K644/K612)*H75</f>
        <v>0</v>
      </c>
      <c r="L673" s="265">
        <f>(L647/L612)*H80</f>
        <v>0</v>
      </c>
      <c r="M673" s="265">
        <f t="shared" si="21"/>
        <v>0</v>
      </c>
      <c r="N673" s="281" t="s">
        <v>672</v>
      </c>
    </row>
    <row r="674" spans="1:14" ht="12.6" customHeight="1" x14ac:dyDescent="0.25">
      <c r="A674" s="385">
        <v>6150</v>
      </c>
      <c r="B674" s="281" t="s">
        <v>673</v>
      </c>
      <c r="C674" s="265">
        <f>I71</f>
        <v>0</v>
      </c>
      <c r="D674" s="265">
        <f>(D615/D612)*I76</f>
        <v>0</v>
      </c>
      <c r="E674" s="265">
        <f>(E623/E612)*SUM(C674:D674)</f>
        <v>0</v>
      </c>
      <c r="F674" s="265">
        <f>(F624/F612)*I64</f>
        <v>0</v>
      </c>
      <c r="G674" s="265">
        <f>(G625/G612)*I77</f>
        <v>0</v>
      </c>
      <c r="H674" s="265">
        <f>(H628/H612)*I60</f>
        <v>0</v>
      </c>
      <c r="I674" s="265">
        <f>(I629/I612)*I78</f>
        <v>0</v>
      </c>
      <c r="J674" s="265">
        <f>(J630/J612)*I79</f>
        <v>0</v>
      </c>
      <c r="K674" s="265">
        <f>(K644/K612)*I75</f>
        <v>0</v>
      </c>
      <c r="L674" s="265">
        <f>(L647/L612)*I80</f>
        <v>0</v>
      </c>
      <c r="M674" s="265">
        <f t="shared" si="21"/>
        <v>0</v>
      </c>
      <c r="N674" s="281" t="s">
        <v>674</v>
      </c>
    </row>
    <row r="675" spans="1:14" ht="12.6" customHeight="1" x14ac:dyDescent="0.25">
      <c r="A675" s="385">
        <v>6170</v>
      </c>
      <c r="B675" s="281" t="s">
        <v>99</v>
      </c>
      <c r="C675" s="265">
        <f>J71</f>
        <v>0</v>
      </c>
      <c r="D675" s="265">
        <f>(D615/D612)*J76</f>
        <v>0</v>
      </c>
      <c r="E675" s="265">
        <f>(E623/E612)*SUM(C675:D675)</f>
        <v>0</v>
      </c>
      <c r="F675" s="265">
        <f>(F624/F612)*J64</f>
        <v>0</v>
      </c>
      <c r="G675" s="265">
        <f>(G625/G612)*J77</f>
        <v>0</v>
      </c>
      <c r="H675" s="265">
        <f>(H628/H612)*J60</f>
        <v>0</v>
      </c>
      <c r="I675" s="265">
        <f>(I629/I612)*J78</f>
        <v>0</v>
      </c>
      <c r="J675" s="265">
        <f>(J630/J612)*J79</f>
        <v>0</v>
      </c>
      <c r="K675" s="265">
        <f>(K644/K612)*J75</f>
        <v>0</v>
      </c>
      <c r="L675" s="265">
        <f>(L647/L612)*J80</f>
        <v>0</v>
      </c>
      <c r="M675" s="265">
        <f t="shared" si="21"/>
        <v>0</v>
      </c>
      <c r="N675" s="281" t="s">
        <v>675</v>
      </c>
    </row>
    <row r="676" spans="1:14" ht="12.6" customHeight="1" x14ac:dyDescent="0.25">
      <c r="A676" s="385">
        <v>6200</v>
      </c>
      <c r="B676" s="281" t="s">
        <v>288</v>
      </c>
      <c r="C676" s="265">
        <f>K71</f>
        <v>9500969</v>
      </c>
      <c r="D676" s="265">
        <f>(D615/D612)*K76</f>
        <v>0</v>
      </c>
      <c r="E676" s="265">
        <f>(E623/E612)*SUM(C676:D676)</f>
        <v>186833.35706026619</v>
      </c>
      <c r="F676" s="265">
        <f>(F624/F612)*K64</f>
        <v>-18.096819068011911</v>
      </c>
      <c r="G676" s="265">
        <f>(G625/G612)*K77</f>
        <v>0</v>
      </c>
      <c r="H676" s="265">
        <f>(H628/H612)*K60</f>
        <v>254531.45870775051</v>
      </c>
      <c r="I676" s="265">
        <f>(I629/I612)*K78</f>
        <v>0</v>
      </c>
      <c r="J676" s="265">
        <f>(J630/J612)*K79</f>
        <v>0</v>
      </c>
      <c r="K676" s="265">
        <f>(K644/K612)*K75</f>
        <v>509565.17913747247</v>
      </c>
      <c r="L676" s="265">
        <f>(L647/L612)*K80</f>
        <v>607323.63827476802</v>
      </c>
      <c r="M676" s="265">
        <f t="shared" si="21"/>
        <v>1558236</v>
      </c>
      <c r="N676" s="281" t="s">
        <v>676</v>
      </c>
    </row>
    <row r="677" spans="1:14" ht="12.6" customHeight="1" x14ac:dyDescent="0.25">
      <c r="A677" s="385">
        <v>6210</v>
      </c>
      <c r="B677" s="281" t="s">
        <v>289</v>
      </c>
      <c r="C677" s="265">
        <f>L71</f>
        <v>0</v>
      </c>
      <c r="D677" s="265">
        <f>(D615/D612)*L76</f>
        <v>0</v>
      </c>
      <c r="E677" s="265">
        <f>(E623/E612)*SUM(C677:D677)</f>
        <v>0</v>
      </c>
      <c r="F677" s="265">
        <f>(F624/F612)*L64</f>
        <v>0</v>
      </c>
      <c r="G677" s="265">
        <f>(G625/G612)*L77</f>
        <v>0</v>
      </c>
      <c r="H677" s="265">
        <f>(H628/H612)*L60</f>
        <v>0</v>
      </c>
      <c r="I677" s="265">
        <f>(I629/I612)*L78</f>
        <v>0</v>
      </c>
      <c r="J677" s="265">
        <f>(J630/J612)*L79</f>
        <v>0</v>
      </c>
      <c r="K677" s="265">
        <f>(K644/K612)*L75</f>
        <v>0</v>
      </c>
      <c r="L677" s="265">
        <f>(L647/L612)*L80</f>
        <v>0</v>
      </c>
      <c r="M677" s="265">
        <f t="shared" si="21"/>
        <v>0</v>
      </c>
      <c r="N677" s="281" t="s">
        <v>677</v>
      </c>
    </row>
    <row r="678" spans="1:14" ht="12.6" customHeight="1" x14ac:dyDescent="0.25">
      <c r="A678" s="385">
        <v>6330</v>
      </c>
      <c r="B678" s="281" t="s">
        <v>678</v>
      </c>
      <c r="C678" s="265">
        <f>M71</f>
        <v>0</v>
      </c>
      <c r="D678" s="265">
        <f>(D615/D612)*M76</f>
        <v>0</v>
      </c>
      <c r="E678" s="265">
        <f>(E623/E612)*SUM(C678:D678)</f>
        <v>0</v>
      </c>
      <c r="F678" s="265">
        <f>(F624/F612)*M64</f>
        <v>0</v>
      </c>
      <c r="G678" s="265">
        <f>(G625/G612)*M77</f>
        <v>0</v>
      </c>
      <c r="H678" s="265">
        <f>(H628/H612)*M60</f>
        <v>0</v>
      </c>
      <c r="I678" s="265">
        <f>(I629/I612)*M78</f>
        <v>0</v>
      </c>
      <c r="J678" s="265">
        <f>(J630/J612)*M79</f>
        <v>0</v>
      </c>
      <c r="K678" s="265">
        <f>(K644/K612)*M75</f>
        <v>0</v>
      </c>
      <c r="L678" s="265">
        <f>(L647/L612)*M80</f>
        <v>0</v>
      </c>
      <c r="M678" s="265">
        <f t="shared" si="21"/>
        <v>0</v>
      </c>
      <c r="N678" s="281" t="s">
        <v>679</v>
      </c>
    </row>
    <row r="679" spans="1:14" ht="12.6" customHeight="1" x14ac:dyDescent="0.25">
      <c r="A679" s="385">
        <v>6400</v>
      </c>
      <c r="B679" s="281" t="s">
        <v>680</v>
      </c>
      <c r="C679" s="265">
        <f>N71</f>
        <v>61</v>
      </c>
      <c r="D679" s="265">
        <f>(D615/D612)*N76</f>
        <v>0</v>
      </c>
      <c r="E679" s="265">
        <f>(E623/E612)*SUM(C679:D679)</f>
        <v>1.199544465483072</v>
      </c>
      <c r="F679" s="265">
        <f>(F624/F612)*N64</f>
        <v>-0.22132182345873985</v>
      </c>
      <c r="G679" s="265">
        <f>(G625/G612)*N77</f>
        <v>8808.5530170642087</v>
      </c>
      <c r="H679" s="265">
        <f>(H628/H612)*N60</f>
        <v>0</v>
      </c>
      <c r="I679" s="265">
        <f>(I629/I612)*N78</f>
        <v>0</v>
      </c>
      <c r="J679" s="265">
        <f>(J630/J612)*N79</f>
        <v>0</v>
      </c>
      <c r="K679" s="265">
        <f>(K644/K612)*N75</f>
        <v>0</v>
      </c>
      <c r="L679" s="265">
        <f>(L647/L612)*N80</f>
        <v>0</v>
      </c>
      <c r="M679" s="265">
        <f t="shared" si="21"/>
        <v>8810</v>
      </c>
      <c r="N679" s="281" t="s">
        <v>681</v>
      </c>
    </row>
    <row r="680" spans="1:14" ht="12.6" customHeight="1" x14ac:dyDescent="0.25">
      <c r="A680" s="385">
        <v>7010</v>
      </c>
      <c r="B680" s="281" t="s">
        <v>682</v>
      </c>
      <c r="C680" s="265">
        <f>O71</f>
        <v>0</v>
      </c>
      <c r="D680" s="265">
        <f>(D615/D612)*O76</f>
        <v>0</v>
      </c>
      <c r="E680" s="265">
        <f>(E623/E612)*SUM(C680:D680)</f>
        <v>0</v>
      </c>
      <c r="F680" s="265">
        <f>(F624/F612)*O64</f>
        <v>0</v>
      </c>
      <c r="G680" s="265">
        <f>(G625/G612)*O77</f>
        <v>0</v>
      </c>
      <c r="H680" s="265">
        <f>(H628/H612)*O60</f>
        <v>0</v>
      </c>
      <c r="I680" s="265">
        <f>(I629/I612)*O78</f>
        <v>0</v>
      </c>
      <c r="J680" s="265">
        <f>(J630/J612)*O79</f>
        <v>0</v>
      </c>
      <c r="K680" s="265">
        <f>(K644/K612)*O75</f>
        <v>0</v>
      </c>
      <c r="L680" s="265">
        <f>(L647/L612)*O80</f>
        <v>0</v>
      </c>
      <c r="M680" s="265">
        <f t="shared" si="21"/>
        <v>0</v>
      </c>
      <c r="N680" s="281" t="s">
        <v>683</v>
      </c>
    </row>
    <row r="681" spans="1:14" ht="12.6" customHeight="1" x14ac:dyDescent="0.25">
      <c r="A681" s="385">
        <v>7020</v>
      </c>
      <c r="B681" s="281" t="s">
        <v>684</v>
      </c>
      <c r="C681" s="265">
        <f>P71</f>
        <v>71267089</v>
      </c>
      <c r="D681" s="265">
        <f>(D615/D612)*P76</f>
        <v>2762475.8797678426</v>
      </c>
      <c r="E681" s="265">
        <f>(E623/E612)*SUM(C681:D681)</f>
        <v>1455766.4726827133</v>
      </c>
      <c r="F681" s="265">
        <f>(F624/F612)*P64</f>
        <v>-808.80943575863046</v>
      </c>
      <c r="G681" s="265">
        <f>(G625/G612)*P77</f>
        <v>0</v>
      </c>
      <c r="H681" s="265">
        <f>(H628/H612)*P60</f>
        <v>272240.13099720882</v>
      </c>
      <c r="I681" s="265">
        <f>(I629/I612)*P78</f>
        <v>431356.92953882948</v>
      </c>
      <c r="J681" s="265">
        <f>(J630/J612)*P79</f>
        <v>742791.16428274254</v>
      </c>
      <c r="K681" s="265">
        <f>(K644/K612)*P75</f>
        <v>22703732.006144192</v>
      </c>
      <c r="L681" s="265">
        <f>(L647/L612)*P80</f>
        <v>516069.64986792993</v>
      </c>
      <c r="M681" s="265">
        <f t="shared" si="21"/>
        <v>28883623</v>
      </c>
      <c r="N681" s="281" t="s">
        <v>685</v>
      </c>
    </row>
    <row r="682" spans="1:14" ht="12.6" customHeight="1" x14ac:dyDescent="0.25">
      <c r="A682" s="385">
        <v>7030</v>
      </c>
      <c r="B682" s="281" t="s">
        <v>686</v>
      </c>
      <c r="C682" s="265">
        <f>Q71</f>
        <v>10491159</v>
      </c>
      <c r="D682" s="265">
        <f>(D615/D612)*Q76</f>
        <v>1649081.0166864223</v>
      </c>
      <c r="E682" s="265">
        <f>(E623/E612)*SUM(C682:D682)</f>
        <v>238733.73314184125</v>
      </c>
      <c r="F682" s="265">
        <f>(F624/F612)*Q64</f>
        <v>-14.793391452655928</v>
      </c>
      <c r="G682" s="265">
        <f>(G625/G612)*Q77</f>
        <v>3260.4793257192891</v>
      </c>
      <c r="H682" s="265">
        <f>(H628/H612)*Q60</f>
        <v>154107.87827181842</v>
      </c>
      <c r="I682" s="265">
        <f>(I629/I612)*Q78</f>
        <v>257529.30436097612</v>
      </c>
      <c r="J682" s="265">
        <f>(J630/J612)*Q79</f>
        <v>3889.8517059265491</v>
      </c>
      <c r="K682" s="265">
        <f>(K644/K612)*Q75</f>
        <v>1352807.4025364448</v>
      </c>
      <c r="L682" s="265">
        <f>(L647/L612)*Q80</f>
        <v>583824.36470707529</v>
      </c>
      <c r="M682" s="265">
        <f t="shared" si="21"/>
        <v>4243219</v>
      </c>
      <c r="N682" s="281" t="s">
        <v>687</v>
      </c>
    </row>
    <row r="683" spans="1:14" ht="12.6" customHeight="1" x14ac:dyDescent="0.25">
      <c r="A683" s="385">
        <v>7040</v>
      </c>
      <c r="B683" s="281" t="s">
        <v>107</v>
      </c>
      <c r="C683" s="265">
        <f>R71</f>
        <v>26601620</v>
      </c>
      <c r="D683" s="265">
        <f>(D615/D612)*R76</f>
        <v>929365.04943763302</v>
      </c>
      <c r="E683" s="265">
        <f>(E623/E612)*SUM(C683:D683)</f>
        <v>541387.55320246087</v>
      </c>
      <c r="F683" s="265">
        <f>(F624/F612)*R64</f>
        <v>-75.724597781698208</v>
      </c>
      <c r="G683" s="265">
        <f>(G625/G612)*R77</f>
        <v>0</v>
      </c>
      <c r="H683" s="265">
        <f>(H628/H612)*R60</f>
        <v>161052.89350765894</v>
      </c>
      <c r="I683" s="265">
        <f>(I629/I612)*R78</f>
        <v>145151.18781589362</v>
      </c>
      <c r="J683" s="265">
        <f>(J630/J612)*R79</f>
        <v>45868.518568900407</v>
      </c>
      <c r="K683" s="265">
        <f>(K644/K612)*R75</f>
        <v>3942976.1020081663</v>
      </c>
      <c r="L683" s="265">
        <f>(L647/L612)*R80</f>
        <v>42883.888339486031</v>
      </c>
      <c r="M683" s="265">
        <f t="shared" si="21"/>
        <v>5808609</v>
      </c>
      <c r="N683" s="281" t="s">
        <v>688</v>
      </c>
    </row>
    <row r="684" spans="1:14" ht="12.6" customHeight="1" x14ac:dyDescent="0.25">
      <c r="A684" s="385">
        <v>7050</v>
      </c>
      <c r="B684" s="281" t="s">
        <v>689</v>
      </c>
      <c r="C684" s="265">
        <f>S71</f>
        <v>10088775</v>
      </c>
      <c r="D684" s="265">
        <f>(D615/D612)*S76</f>
        <v>1048709.1081124544</v>
      </c>
      <c r="E684" s="265">
        <f>(E623/E612)*SUM(C684:D684)</f>
        <v>219014.87575888465</v>
      </c>
      <c r="F684" s="265">
        <f>(F624/F612)*S64</f>
        <v>-19.84890456950842</v>
      </c>
      <c r="G684" s="265">
        <f>(G625/G612)*S77</f>
        <v>0</v>
      </c>
      <c r="H684" s="265">
        <f>(H628/H612)*S60</f>
        <v>265652.41558057553</v>
      </c>
      <c r="I684" s="265">
        <f>(I629/I612)*S78</f>
        <v>163772.25103794539</v>
      </c>
      <c r="J684" s="265">
        <f>(J630/J612)*S79</f>
        <v>0</v>
      </c>
      <c r="K684" s="265">
        <f>(K644/K612)*S75</f>
        <v>0</v>
      </c>
      <c r="L684" s="265">
        <f>(L647/L612)*S80</f>
        <v>1280.116069835404</v>
      </c>
      <c r="M684" s="265">
        <f t="shared" si="21"/>
        <v>1698409</v>
      </c>
      <c r="N684" s="281" t="s">
        <v>690</v>
      </c>
    </row>
    <row r="685" spans="1:14" ht="12.6" customHeight="1" x14ac:dyDescent="0.25">
      <c r="A685" s="385">
        <v>7060</v>
      </c>
      <c r="B685" s="281" t="s">
        <v>691</v>
      </c>
      <c r="C685" s="265">
        <f>T71</f>
        <v>3193432</v>
      </c>
      <c r="D685" s="265">
        <f>(D615/D612)*T76</f>
        <v>34023.779719339567</v>
      </c>
      <c r="E685" s="265">
        <f>(E623/E612)*SUM(C685:D685)</f>
        <v>63466.831445142401</v>
      </c>
      <c r="F685" s="265">
        <f>(F624/F612)*T64</f>
        <v>-10.471538540876372</v>
      </c>
      <c r="G685" s="265">
        <f>(G625/G612)*T77</f>
        <v>0</v>
      </c>
      <c r="H685" s="265">
        <f>(H628/H612)*T60</f>
        <v>36533.90651393927</v>
      </c>
      <c r="I685" s="265">
        <f>(I629/I612)*T78</f>
        <v>5307.0030182847568</v>
      </c>
      <c r="J685" s="265">
        <f>(J630/J612)*T79</f>
        <v>0</v>
      </c>
      <c r="K685" s="265">
        <f>(K644/K612)*T75</f>
        <v>261128.96479601253</v>
      </c>
      <c r="L685" s="265">
        <f>(L647/L612)*T80</f>
        <v>142184.32061386094</v>
      </c>
      <c r="M685" s="265">
        <f t="shared" si="21"/>
        <v>542634</v>
      </c>
      <c r="N685" s="281" t="s">
        <v>692</v>
      </c>
    </row>
    <row r="686" spans="1:14" ht="12.6" customHeight="1" x14ac:dyDescent="0.25">
      <c r="A686" s="385">
        <v>7070</v>
      </c>
      <c r="B686" s="281" t="s">
        <v>109</v>
      </c>
      <c r="C686" s="265">
        <f>U71</f>
        <v>37911190</v>
      </c>
      <c r="D686" s="265">
        <f>(D615/D612)*U76</f>
        <v>1737531.2515274994</v>
      </c>
      <c r="E686" s="265">
        <f>(E623/E612)*SUM(C686:D686)</f>
        <v>779678.75640575204</v>
      </c>
      <c r="F686" s="265">
        <f>(F624/F612)*U64</f>
        <v>-182.48421283563835</v>
      </c>
      <c r="G686" s="265">
        <f>(G625/G612)*U77</f>
        <v>0</v>
      </c>
      <c r="H686" s="265">
        <f>(H628/H612)*U60</f>
        <v>377576.58394724037</v>
      </c>
      <c r="I686" s="265">
        <f>(I629/I612)*U78</f>
        <v>271308.89114529442</v>
      </c>
      <c r="J686" s="265">
        <f>(J630/J612)*U79</f>
        <v>14203.520868077323</v>
      </c>
      <c r="K686" s="265">
        <f>(K644/K612)*U75</f>
        <v>7052761.405335526</v>
      </c>
      <c r="L686" s="265">
        <f>(L647/L612)*U80</f>
        <v>0</v>
      </c>
      <c r="M686" s="265">
        <f t="shared" si="21"/>
        <v>10232878</v>
      </c>
      <c r="N686" s="281" t="s">
        <v>693</v>
      </c>
    </row>
    <row r="687" spans="1:14" ht="12.6" customHeight="1" x14ac:dyDescent="0.25">
      <c r="A687" s="385">
        <v>7110</v>
      </c>
      <c r="B687" s="281" t="s">
        <v>694</v>
      </c>
      <c r="C687" s="265">
        <f>V71</f>
        <v>0</v>
      </c>
      <c r="D687" s="265">
        <f>(D615/D612)*V76</f>
        <v>0</v>
      </c>
      <c r="E687" s="265">
        <f>(E623/E612)*SUM(C687:D687)</f>
        <v>0</v>
      </c>
      <c r="F687" s="265">
        <f>(F624/F612)*V64</f>
        <v>0</v>
      </c>
      <c r="G687" s="265">
        <f>(G625/G612)*V77</f>
        <v>0</v>
      </c>
      <c r="H687" s="265">
        <f>(H628/H612)*V60</f>
        <v>0</v>
      </c>
      <c r="I687" s="265">
        <f>(I629/I612)*V78</f>
        <v>0</v>
      </c>
      <c r="J687" s="265">
        <f>(J630/J612)*V79</f>
        <v>0</v>
      </c>
      <c r="K687" s="265">
        <f>(K644/K612)*V75</f>
        <v>0</v>
      </c>
      <c r="L687" s="265">
        <f>(L647/L612)*V80</f>
        <v>0</v>
      </c>
      <c r="M687" s="265">
        <f t="shared" si="21"/>
        <v>0</v>
      </c>
      <c r="N687" s="281" t="s">
        <v>695</v>
      </c>
    </row>
    <row r="688" spans="1:14" ht="12.6" customHeight="1" x14ac:dyDescent="0.25">
      <c r="A688" s="385">
        <v>7120</v>
      </c>
      <c r="B688" s="281" t="s">
        <v>696</v>
      </c>
      <c r="C688" s="265">
        <f>W71</f>
        <v>4451211</v>
      </c>
      <c r="D688" s="265">
        <f>(D615/D612)*W76</f>
        <v>379478.17005539371</v>
      </c>
      <c r="E688" s="265">
        <f>(E623/E612)*SUM(C688:D688)</f>
        <v>94993.876367360033</v>
      </c>
      <c r="F688" s="265">
        <f>(F624/F612)*W64</f>
        <v>-8.7527831409121966</v>
      </c>
      <c r="G688" s="265">
        <f>(G625/G612)*W77</f>
        <v>0</v>
      </c>
      <c r="H688" s="265">
        <f>(H628/H612)*W60</f>
        <v>24207.062751289835</v>
      </c>
      <c r="I688" s="265">
        <f>(I629/I612)*W78</f>
        <v>59214.98104612466</v>
      </c>
      <c r="J688" s="265">
        <f>(J630/J612)*W79</f>
        <v>43301.727065810104</v>
      </c>
      <c r="K688" s="265">
        <f>(K644/K612)*W75</f>
        <v>1526221.9372697501</v>
      </c>
      <c r="L688" s="265">
        <f>(L647/L612)*W80</f>
        <v>0</v>
      </c>
      <c r="M688" s="265">
        <f t="shared" si="21"/>
        <v>2127409</v>
      </c>
      <c r="N688" s="281" t="s">
        <v>697</v>
      </c>
    </row>
    <row r="689" spans="1:14" ht="12.6" customHeight="1" x14ac:dyDescent="0.25">
      <c r="A689" s="385">
        <v>7130</v>
      </c>
      <c r="B689" s="281" t="s">
        <v>698</v>
      </c>
      <c r="C689" s="265">
        <f>X71</f>
        <v>6820260</v>
      </c>
      <c r="D689" s="265">
        <f>(D615/D612)*X76</f>
        <v>234630.76712757506</v>
      </c>
      <c r="E689" s="265">
        <f>(E623/E612)*SUM(C689:D689)</f>
        <v>138732.05203763128</v>
      </c>
      <c r="F689" s="265">
        <f>(F624/F612)*X64</f>
        <v>-8.8056967498622853</v>
      </c>
      <c r="G689" s="265">
        <f>(G625/G612)*X77</f>
        <v>0</v>
      </c>
      <c r="H689" s="265">
        <f>(H628/H612)*X60</f>
        <v>44282.846342996068</v>
      </c>
      <c r="I689" s="265">
        <f>(I629/I612)*X78</f>
        <v>36590.389231331748</v>
      </c>
      <c r="J689" s="265">
        <f>(J630/J612)*X79</f>
        <v>55498.317881204741</v>
      </c>
      <c r="K689" s="265">
        <f>(K644/K612)*X75</f>
        <v>2656706.898940905</v>
      </c>
      <c r="L689" s="265">
        <f>(L647/L612)*X80</f>
        <v>0</v>
      </c>
      <c r="M689" s="265">
        <f t="shared" si="21"/>
        <v>3166432</v>
      </c>
      <c r="N689" s="281" t="s">
        <v>699</v>
      </c>
    </row>
    <row r="690" spans="1:14" ht="12.6" customHeight="1" x14ac:dyDescent="0.25">
      <c r="A690" s="385">
        <v>7140</v>
      </c>
      <c r="B690" s="281" t="s">
        <v>986</v>
      </c>
      <c r="C690" s="265">
        <f>Y71</f>
        <v>29984464</v>
      </c>
      <c r="D690" s="265">
        <f>(D615/D612)*Y76</f>
        <v>2029370.6567862297</v>
      </c>
      <c r="E690" s="265">
        <f>(E623/E612)*SUM(C690:D690)</f>
        <v>629541.28166291944</v>
      </c>
      <c r="F690" s="265">
        <f>(F624/F612)*Y64</f>
        <v>-123.23365614868897</v>
      </c>
      <c r="G690" s="265">
        <f>(G625/G612)*Y77</f>
        <v>0</v>
      </c>
      <c r="H690" s="265">
        <f>(H628/H612)*Y60</f>
        <v>268041.85812152387</v>
      </c>
      <c r="I690" s="265">
        <f>(I629/I612)*Y78</f>
        <v>316837.39072321105</v>
      </c>
      <c r="J690" s="265">
        <f>(J630/J612)*Y79</f>
        <v>229658.99662836432</v>
      </c>
      <c r="K690" s="265">
        <f>(K644/K612)*Y75</f>
        <v>5968317.7716675326</v>
      </c>
      <c r="L690" s="265">
        <f>(L647/L612)*Y80</f>
        <v>145933.23196123604</v>
      </c>
      <c r="M690" s="265">
        <f t="shared" si="21"/>
        <v>9587578</v>
      </c>
      <c r="N690" s="281" t="s">
        <v>700</v>
      </c>
    </row>
    <row r="691" spans="1:14" ht="12.6" customHeight="1" x14ac:dyDescent="0.25">
      <c r="A691" s="385">
        <v>7150</v>
      </c>
      <c r="B691" s="281" t="s">
        <v>701</v>
      </c>
      <c r="C691" s="265">
        <f>Z71</f>
        <v>10039877</v>
      </c>
      <c r="D691" s="265">
        <f>(D615/D612)*Z76</f>
        <v>669346.86234911974</v>
      </c>
      <c r="E691" s="265">
        <f>(E623/E612)*SUM(C691:D691)</f>
        <v>210593.28219180548</v>
      </c>
      <c r="F691" s="265">
        <f>(F624/F612)*Z64</f>
        <v>-10.951823645743303</v>
      </c>
      <c r="G691" s="265">
        <f>(G625/G612)*Z77</f>
        <v>0</v>
      </c>
      <c r="H691" s="265">
        <f>(H628/H612)*Z60</f>
        <v>96716.59481165708</v>
      </c>
      <c r="I691" s="265">
        <f>(I629/I612)*Z78</f>
        <v>104557.26999182074</v>
      </c>
      <c r="J691" s="265">
        <f>(J630/J612)*Z79</f>
        <v>25123.554630425271</v>
      </c>
      <c r="K691" s="265">
        <f>(K644/K612)*Z75</f>
        <v>1362267.0633796025</v>
      </c>
      <c r="L691" s="265">
        <f>(L647/L612)*Z80</f>
        <v>40689.403648339627</v>
      </c>
      <c r="M691" s="265">
        <f t="shared" si="21"/>
        <v>2509283</v>
      </c>
      <c r="N691" s="281" t="s">
        <v>702</v>
      </c>
    </row>
    <row r="692" spans="1:14" ht="12.6" customHeight="1" x14ac:dyDescent="0.25">
      <c r="A692" s="385">
        <v>7160</v>
      </c>
      <c r="B692" s="281" t="s">
        <v>703</v>
      </c>
      <c r="C692" s="265">
        <f>AA71</f>
        <v>7591256</v>
      </c>
      <c r="D692" s="265">
        <f>(D615/D612)*AA76</f>
        <v>349511.74055812194</v>
      </c>
      <c r="E692" s="265">
        <f>(E623/E612)*SUM(C692:D692)</f>
        <v>156152.52450611498</v>
      </c>
      <c r="F692" s="265">
        <f>(F624/F612)*AA64</f>
        <v>-95.573170708405314</v>
      </c>
      <c r="G692" s="265">
        <f>(G625/G612)*AA77</f>
        <v>0</v>
      </c>
      <c r="H692" s="265">
        <f>(H628/H612)*AA60</f>
        <v>15832.84823862038</v>
      </c>
      <c r="I692" s="265">
        <f>(I629/I612)*AA78</f>
        <v>54559.715240611717</v>
      </c>
      <c r="J692" s="265">
        <f>(J630/J612)*AA79</f>
        <v>22256.772219868999</v>
      </c>
      <c r="K692" s="265">
        <f>(K644/K612)*AA75</f>
        <v>1196112.5985722567</v>
      </c>
      <c r="L692" s="265">
        <f>(L647/L612)*AA80</f>
        <v>0</v>
      </c>
      <c r="M692" s="265">
        <f t="shared" si="21"/>
        <v>1794331</v>
      </c>
      <c r="N692" s="281" t="s">
        <v>704</v>
      </c>
    </row>
    <row r="693" spans="1:14" ht="12.6" customHeight="1" x14ac:dyDescent="0.25">
      <c r="A693" s="385">
        <v>7170</v>
      </c>
      <c r="B693" s="281" t="s">
        <v>115</v>
      </c>
      <c r="C693" s="265">
        <f>AB71</f>
        <v>34864301</v>
      </c>
      <c r="D693" s="265">
        <f>(D615/D612)*AB76</f>
        <v>615905.76370988449</v>
      </c>
      <c r="E693" s="265">
        <f>(E623/E612)*SUM(C693:D693)</f>
        <v>697706.32225579105</v>
      </c>
      <c r="F693" s="265">
        <f>(F624/F612)*AB64</f>
        <v>-401.87028700951248</v>
      </c>
      <c r="G693" s="265">
        <f>(G625/G612)*AB77</f>
        <v>0</v>
      </c>
      <c r="H693" s="265">
        <f>(H628/H612)*AB60</f>
        <v>166457.05327316831</v>
      </c>
      <c r="I693" s="265">
        <f>(I629/I612)*AB78</f>
        <v>72249.725301560902</v>
      </c>
      <c r="J693" s="265">
        <f>(J630/J612)*AB79</f>
        <v>0</v>
      </c>
      <c r="K693" s="265">
        <f>(K644/K612)*AB75</f>
        <v>2703432.8584914147</v>
      </c>
      <c r="L693" s="265">
        <f>(L647/L612)*AB80</f>
        <v>0</v>
      </c>
      <c r="M693" s="265">
        <f t="shared" si="21"/>
        <v>4255350</v>
      </c>
      <c r="N693" s="281" t="s">
        <v>705</v>
      </c>
    </row>
    <row r="694" spans="1:14" ht="12.6" customHeight="1" x14ac:dyDescent="0.25">
      <c r="A694" s="385">
        <v>7180</v>
      </c>
      <c r="B694" s="281" t="s">
        <v>706</v>
      </c>
      <c r="C694" s="265">
        <f>AC71</f>
        <v>2491479</v>
      </c>
      <c r="D694" s="265">
        <f>(D615/D612)*AC76</f>
        <v>88450.234841076963</v>
      </c>
      <c r="E694" s="265">
        <f>(E623/E612)*SUM(C694:D694)</f>
        <v>50733.439917894932</v>
      </c>
      <c r="F694" s="265">
        <f>(F624/F612)*AC64</f>
        <v>-5.3735253990351346</v>
      </c>
      <c r="G694" s="265">
        <f>(G625/G612)*AC77</f>
        <v>0</v>
      </c>
      <c r="H694" s="265">
        <f>(H628/H612)*AC60</f>
        <v>44550.821207401495</v>
      </c>
      <c r="I694" s="265">
        <f>(I629/I612)*AC78</f>
        <v>13779.586784318317</v>
      </c>
      <c r="J694" s="265">
        <f>(J630/J612)*AC79</f>
        <v>2666.180587934653</v>
      </c>
      <c r="K694" s="265">
        <f>(K644/K612)*AC75</f>
        <v>847826.87956716388</v>
      </c>
      <c r="L694" s="265">
        <f>(L647/L612)*AC80</f>
        <v>0</v>
      </c>
      <c r="M694" s="265">
        <f t="shared" si="21"/>
        <v>1048002</v>
      </c>
      <c r="N694" s="281" t="s">
        <v>707</v>
      </c>
    </row>
    <row r="695" spans="1:14" ht="12.6" customHeight="1" x14ac:dyDescent="0.25">
      <c r="A695" s="385">
        <v>7190</v>
      </c>
      <c r="B695" s="281" t="s">
        <v>117</v>
      </c>
      <c r="C695" s="265">
        <f>AD71</f>
        <v>2014184</v>
      </c>
      <c r="D695" s="265">
        <f>(D615/D612)*AD76</f>
        <v>73553.963311485364</v>
      </c>
      <c r="E695" s="265">
        <f>(E623/E612)*SUM(C695:D695)</f>
        <v>41054.664250314643</v>
      </c>
      <c r="F695" s="265">
        <f>(F624/F612)*AD64</f>
        <v>-0.30603997705510622</v>
      </c>
      <c r="G695" s="265">
        <f>(G625/G612)*AD77</f>
        <v>0</v>
      </c>
      <c r="H695" s="265">
        <f>(H628/H612)*AD60</f>
        <v>0</v>
      </c>
      <c r="I695" s="265">
        <f>(I629/I612)*AD78</f>
        <v>11451.953881561845</v>
      </c>
      <c r="J695" s="265">
        <f>(J630/J612)*AD79</f>
        <v>733.10847903538343</v>
      </c>
      <c r="K695" s="265">
        <f>(K644/K612)*AD75</f>
        <v>275456.00879633881</v>
      </c>
      <c r="L695" s="265">
        <f>(L647/L612)*AD80</f>
        <v>0</v>
      </c>
      <c r="M695" s="265">
        <f t="shared" si="21"/>
        <v>402249</v>
      </c>
      <c r="N695" s="281" t="s">
        <v>708</v>
      </c>
    </row>
    <row r="696" spans="1:14" ht="12.6" customHeight="1" x14ac:dyDescent="0.25">
      <c r="A696" s="385">
        <v>7200</v>
      </c>
      <c r="B696" s="281" t="s">
        <v>709</v>
      </c>
      <c r="C696" s="265">
        <f>AE71</f>
        <v>10797008</v>
      </c>
      <c r="D696" s="265">
        <f>(D615/D612)*AE76</f>
        <v>1102845.752504044</v>
      </c>
      <c r="E696" s="265">
        <f>(E623/E612)*SUM(C696:D696)</f>
        <v>234006.61817826543</v>
      </c>
      <c r="F696" s="265">
        <f>(F624/F612)*AE64</f>
        <v>-13.896562989335145</v>
      </c>
      <c r="G696" s="265">
        <f>(G625/G612)*AE77</f>
        <v>0</v>
      </c>
      <c r="H696" s="265">
        <f>(H628/H612)*AE60</f>
        <v>171928.20675477898</v>
      </c>
      <c r="I696" s="265">
        <f>(I629/I612)*AE78</f>
        <v>172151.7294878687</v>
      </c>
      <c r="J696" s="265">
        <f>(J630/J612)*AE79</f>
        <v>14754.264053820321</v>
      </c>
      <c r="K696" s="265">
        <f>(K644/K612)*AE75</f>
        <v>1454408.8122499441</v>
      </c>
      <c r="L696" s="265">
        <f>(L647/L612)*AE80</f>
        <v>123165.45329059208</v>
      </c>
      <c r="M696" s="265">
        <f t="shared" si="21"/>
        <v>3273247</v>
      </c>
      <c r="N696" s="281" t="s">
        <v>710</v>
      </c>
    </row>
    <row r="697" spans="1:14" ht="12.6" customHeight="1" x14ac:dyDescent="0.25">
      <c r="A697" s="385">
        <v>7220</v>
      </c>
      <c r="B697" s="281" t="s">
        <v>711</v>
      </c>
      <c r="C697" s="265">
        <f>AF71</f>
        <v>833298</v>
      </c>
      <c r="D697" s="265">
        <f>(D615/D612)*AF76</f>
        <v>60454.518308809478</v>
      </c>
      <c r="E697" s="265">
        <f>(E623/E612)*SUM(C697:D697)</f>
        <v>17575.342407358858</v>
      </c>
      <c r="F697" s="265">
        <f>(F624/F612)*AF64</f>
        <v>-1.1292437384835681E-2</v>
      </c>
      <c r="G697" s="265">
        <f>(G625/G612)*AF77</f>
        <v>0</v>
      </c>
      <c r="H697" s="265">
        <f>(H628/H612)*AF60</f>
        <v>16525.116638334388</v>
      </c>
      <c r="I697" s="265">
        <f>(I629/I612)*AF78</f>
        <v>9403.6369271361491</v>
      </c>
      <c r="J697" s="265">
        <f>(J630/J612)*AF79</f>
        <v>499.68090362113196</v>
      </c>
      <c r="K697" s="265">
        <f>(K644/K612)*AF75</f>
        <v>57675.105101290435</v>
      </c>
      <c r="L697" s="265">
        <f>(L647/L612)*AF80</f>
        <v>13806.966181796142</v>
      </c>
      <c r="M697" s="265">
        <f t="shared" si="21"/>
        <v>175940</v>
      </c>
      <c r="N697" s="281" t="s">
        <v>712</v>
      </c>
    </row>
    <row r="698" spans="1:14" ht="12.6" customHeight="1" x14ac:dyDescent="0.25">
      <c r="A698" s="385">
        <v>7230</v>
      </c>
      <c r="B698" s="281" t="s">
        <v>713</v>
      </c>
      <c r="C698" s="265">
        <f>AG71</f>
        <v>13967552</v>
      </c>
      <c r="D698" s="265">
        <f>(D615/D612)*AG76</f>
        <v>881140.54394105636</v>
      </c>
      <c r="E698" s="265">
        <f>(E623/E612)*SUM(C698:D698)</f>
        <v>291994.54034006968</v>
      </c>
      <c r="F698" s="265">
        <f>(F624/F612)*AG64</f>
        <v>-13.969225927103647</v>
      </c>
      <c r="G698" s="265">
        <f>(G625/G612)*AG77</f>
        <v>416526.23386063916</v>
      </c>
      <c r="H698" s="265">
        <f>(H628/H612)*AG60</f>
        <v>152656.34775628903</v>
      </c>
      <c r="I698" s="265">
        <f>(I629/I612)*AG78</f>
        <v>137609.65721096264</v>
      </c>
      <c r="J698" s="265">
        <f>(J630/J612)*AG79</f>
        <v>86037.209895947351</v>
      </c>
      <c r="K698" s="265">
        <f>(K644/K612)*AG75</f>
        <v>2626171.6010987139</v>
      </c>
      <c r="L698" s="265">
        <f>(L647/L612)*AG80</f>
        <v>300004.34465214005</v>
      </c>
      <c r="M698" s="265">
        <f t="shared" si="21"/>
        <v>4892127</v>
      </c>
      <c r="N698" s="281" t="s">
        <v>714</v>
      </c>
    </row>
    <row r="699" spans="1:14" ht="12.6" customHeight="1" x14ac:dyDescent="0.25">
      <c r="A699" s="385">
        <v>7240</v>
      </c>
      <c r="B699" s="281" t="s">
        <v>119</v>
      </c>
      <c r="C699" s="265">
        <f>AH71</f>
        <v>0</v>
      </c>
      <c r="D699" s="265">
        <f>(D615/D612)*AH76</f>
        <v>0</v>
      </c>
      <c r="E699" s="265">
        <f>(E623/E612)*SUM(C699:D699)</f>
        <v>0</v>
      </c>
      <c r="F699" s="265">
        <f>(F624/F612)*AH64</f>
        <v>0</v>
      </c>
      <c r="G699" s="265">
        <f>(G625/G612)*AH77</f>
        <v>0</v>
      </c>
      <c r="H699" s="265">
        <f>(H628/H612)*AH60</f>
        <v>0</v>
      </c>
      <c r="I699" s="265">
        <f>(I629/I612)*AH78</f>
        <v>0</v>
      </c>
      <c r="J699" s="265">
        <f>(J630/J612)*AH79</f>
        <v>0</v>
      </c>
      <c r="K699" s="265">
        <f>(K644/K612)*AH75</f>
        <v>0</v>
      </c>
      <c r="L699" s="265">
        <f>(L647/L612)*AH80</f>
        <v>0</v>
      </c>
      <c r="M699" s="265">
        <f t="shared" si="21"/>
        <v>0</v>
      </c>
      <c r="N699" s="281" t="s">
        <v>715</v>
      </c>
    </row>
    <row r="700" spans="1:14" ht="12.6" customHeight="1" x14ac:dyDescent="0.25">
      <c r="A700" s="385">
        <v>7250</v>
      </c>
      <c r="B700" s="281" t="s">
        <v>716</v>
      </c>
      <c r="C700" s="265">
        <f>AI71</f>
        <v>0</v>
      </c>
      <c r="D700" s="265">
        <f>(D615/D612)*AI76</f>
        <v>0</v>
      </c>
      <c r="E700" s="265">
        <f>(E623/E612)*SUM(C700:D700)</f>
        <v>0</v>
      </c>
      <c r="F700" s="265">
        <f>(F624/F612)*AI64</f>
        <v>0</v>
      </c>
      <c r="G700" s="265">
        <f>(G625/G612)*AI77</f>
        <v>0</v>
      </c>
      <c r="H700" s="265">
        <f>(H628/H612)*AI60</f>
        <v>0</v>
      </c>
      <c r="I700" s="265">
        <f>(I629/I612)*AI78</f>
        <v>0</v>
      </c>
      <c r="J700" s="265">
        <f>(J630/J612)*AI79</f>
        <v>0</v>
      </c>
      <c r="K700" s="265">
        <f>(K644/K612)*AI75</f>
        <v>0</v>
      </c>
      <c r="L700" s="265">
        <f>(L647/L612)*AI80</f>
        <v>0</v>
      </c>
      <c r="M700" s="265">
        <f t="shared" si="21"/>
        <v>0</v>
      </c>
      <c r="N700" s="281" t="s">
        <v>717</v>
      </c>
    </row>
    <row r="701" spans="1:14" ht="12.6" customHeight="1" x14ac:dyDescent="0.25">
      <c r="A701" s="385">
        <v>7260</v>
      </c>
      <c r="B701" s="281" t="s">
        <v>121</v>
      </c>
      <c r="C701" s="265">
        <f>AJ71</f>
        <v>271273314</v>
      </c>
      <c r="D701" s="265">
        <f>(D615/D612)*AJ76</f>
        <v>13024268.099275567</v>
      </c>
      <c r="E701" s="265">
        <f>(E623/E612)*SUM(C701:D701)</f>
        <v>5590616.2484820541</v>
      </c>
      <c r="F701" s="265">
        <f>(F624/F612)*AJ64</f>
        <v>-1517.1255808656406</v>
      </c>
      <c r="G701" s="265">
        <f>(G625/G612)*AJ77</f>
        <v>7178.3133542045643</v>
      </c>
      <c r="H701" s="265">
        <f>(H628/H612)*AJ60</f>
        <v>1927319.8872811995</v>
      </c>
      <c r="I701" s="265">
        <f>(I629/I612)*AJ78</f>
        <v>2033606.3144802749</v>
      </c>
      <c r="J701" s="265">
        <f>(J630/J612)*AJ79</f>
        <v>220611.85442812915</v>
      </c>
      <c r="K701" s="265">
        <f>(K644/K612)*AJ75</f>
        <v>31592953.720079508</v>
      </c>
      <c r="L701" s="265">
        <f>(L647/L612)*AJ80</f>
        <v>2670413.5585387838</v>
      </c>
      <c r="M701" s="265">
        <f t="shared" si="21"/>
        <v>57065451</v>
      </c>
      <c r="N701" s="281" t="s">
        <v>718</v>
      </c>
    </row>
    <row r="702" spans="1:14" ht="12.6" customHeight="1" x14ac:dyDescent="0.25">
      <c r="A702" s="385">
        <v>7310</v>
      </c>
      <c r="B702" s="281" t="s">
        <v>719</v>
      </c>
      <c r="C702" s="265">
        <f>AK71</f>
        <v>0</v>
      </c>
      <c r="D702" s="265">
        <f>(D615/D612)*AK76</f>
        <v>0</v>
      </c>
      <c r="E702" s="265">
        <f>(E623/E612)*SUM(C702:D702)</f>
        <v>0</v>
      </c>
      <c r="F702" s="265">
        <f>(F624/F612)*AK64</f>
        <v>0</v>
      </c>
      <c r="G702" s="265">
        <f>(G625/G612)*AK77</f>
        <v>0</v>
      </c>
      <c r="H702" s="265">
        <f>(H628/H612)*AK60</f>
        <v>0</v>
      </c>
      <c r="I702" s="265">
        <f>(I629/I612)*AK78</f>
        <v>0</v>
      </c>
      <c r="J702" s="265">
        <f>(J630/J612)*AK79</f>
        <v>0</v>
      </c>
      <c r="K702" s="265">
        <f>(K644/K612)*AK75</f>
        <v>0</v>
      </c>
      <c r="L702" s="265">
        <f>(L647/L612)*AK80</f>
        <v>0</v>
      </c>
      <c r="M702" s="265">
        <f t="shared" si="21"/>
        <v>0</v>
      </c>
      <c r="N702" s="281" t="s">
        <v>720</v>
      </c>
    </row>
    <row r="703" spans="1:14" ht="12.6" customHeight="1" x14ac:dyDescent="0.25">
      <c r="A703" s="385">
        <v>7320</v>
      </c>
      <c r="B703" s="281" t="s">
        <v>721</v>
      </c>
      <c r="C703" s="265">
        <f>AL71</f>
        <v>0</v>
      </c>
      <c r="D703" s="265">
        <f>(D615/D612)*AL76</f>
        <v>0</v>
      </c>
      <c r="E703" s="265">
        <f>(E623/E612)*SUM(C703:D703)</f>
        <v>0</v>
      </c>
      <c r="F703" s="265">
        <f>(F624/F612)*AL64</f>
        <v>0</v>
      </c>
      <c r="G703" s="265">
        <f>(G625/G612)*AL77</f>
        <v>0</v>
      </c>
      <c r="H703" s="265">
        <f>(H628/H612)*AL60</f>
        <v>0</v>
      </c>
      <c r="I703" s="265">
        <f>(I629/I612)*AL78</f>
        <v>0</v>
      </c>
      <c r="J703" s="265">
        <f>(J630/J612)*AL79</f>
        <v>0</v>
      </c>
      <c r="K703" s="265">
        <f>(K644/K612)*AL75</f>
        <v>0</v>
      </c>
      <c r="L703" s="265">
        <f>(L647/L612)*AL80</f>
        <v>0</v>
      </c>
      <c r="M703" s="265">
        <f t="shared" si="21"/>
        <v>0</v>
      </c>
      <c r="N703" s="281" t="s">
        <v>722</v>
      </c>
    </row>
    <row r="704" spans="1:14" ht="12.6" customHeight="1" x14ac:dyDescent="0.25">
      <c r="A704" s="385">
        <v>7330</v>
      </c>
      <c r="B704" s="281" t="s">
        <v>723</v>
      </c>
      <c r="C704" s="265">
        <f>AM71</f>
        <v>0</v>
      </c>
      <c r="D704" s="265">
        <f>(D615/D612)*AM76</f>
        <v>0</v>
      </c>
      <c r="E704" s="265">
        <f>(E623/E612)*SUM(C704:D704)</f>
        <v>0</v>
      </c>
      <c r="F704" s="265">
        <f>(F624/F612)*AM64</f>
        <v>0</v>
      </c>
      <c r="G704" s="265">
        <f>(G625/G612)*AM77</f>
        <v>0</v>
      </c>
      <c r="H704" s="265">
        <f>(H628/H612)*AM60</f>
        <v>0</v>
      </c>
      <c r="I704" s="265">
        <f>(I629/I612)*AM78</f>
        <v>0</v>
      </c>
      <c r="J704" s="265">
        <f>(J630/J612)*AM79</f>
        <v>0</v>
      </c>
      <c r="K704" s="265">
        <f>(K644/K612)*AM75</f>
        <v>0</v>
      </c>
      <c r="L704" s="265">
        <f>(L647/L612)*AM80</f>
        <v>0</v>
      </c>
      <c r="M704" s="265">
        <f t="shared" si="21"/>
        <v>0</v>
      </c>
      <c r="N704" s="281" t="s">
        <v>724</v>
      </c>
    </row>
    <row r="705" spans="1:15" ht="12.6" customHeight="1" x14ac:dyDescent="0.25">
      <c r="A705" s="385">
        <v>7340</v>
      </c>
      <c r="B705" s="281" t="s">
        <v>725</v>
      </c>
      <c r="C705" s="265">
        <f>AN71</f>
        <v>0</v>
      </c>
      <c r="D705" s="265">
        <f>(D615/D612)*AN76</f>
        <v>0</v>
      </c>
      <c r="E705" s="265">
        <f>(E623/E612)*SUM(C705:D705)</f>
        <v>0</v>
      </c>
      <c r="F705" s="265">
        <f>(F624/F612)*AN64</f>
        <v>0</v>
      </c>
      <c r="G705" s="265">
        <f>(G625/G612)*AN77</f>
        <v>0</v>
      </c>
      <c r="H705" s="265">
        <f>(H628/H612)*AN60</f>
        <v>0</v>
      </c>
      <c r="I705" s="265">
        <f>(I629/I612)*AN78</f>
        <v>0</v>
      </c>
      <c r="J705" s="265">
        <f>(J630/J612)*AN79</f>
        <v>0</v>
      </c>
      <c r="K705" s="265">
        <f>(K644/K612)*AN75</f>
        <v>0</v>
      </c>
      <c r="L705" s="265">
        <f>(L647/L612)*AN80</f>
        <v>0</v>
      </c>
      <c r="M705" s="265">
        <f t="shared" si="21"/>
        <v>0</v>
      </c>
      <c r="N705" s="281" t="s">
        <v>726</v>
      </c>
    </row>
    <row r="706" spans="1:15" ht="12.6" customHeight="1" x14ac:dyDescent="0.25">
      <c r="A706" s="385">
        <v>7350</v>
      </c>
      <c r="B706" s="281" t="s">
        <v>727</v>
      </c>
      <c r="C706" s="265">
        <f>AO71</f>
        <v>0</v>
      </c>
      <c r="D706" s="265">
        <f>(D615/D612)*AO76</f>
        <v>0</v>
      </c>
      <c r="E706" s="265">
        <f>(E623/E612)*SUM(C706:D706)</f>
        <v>0</v>
      </c>
      <c r="F706" s="265">
        <f>(F624/F612)*AO64</f>
        <v>0</v>
      </c>
      <c r="G706" s="265">
        <f>(G625/G612)*AO77</f>
        <v>0</v>
      </c>
      <c r="H706" s="265">
        <f>(H628/H612)*AO60</f>
        <v>0</v>
      </c>
      <c r="I706" s="265">
        <f>(I629/I612)*AO78</f>
        <v>0</v>
      </c>
      <c r="J706" s="265">
        <f>(J630/J612)*AO79</f>
        <v>0</v>
      </c>
      <c r="K706" s="265">
        <f>(K644/K612)*AO75</f>
        <v>0</v>
      </c>
      <c r="L706" s="265">
        <f>(L647/L612)*AO80</f>
        <v>0</v>
      </c>
      <c r="M706" s="265">
        <f t="shared" si="21"/>
        <v>0</v>
      </c>
      <c r="N706" s="281" t="s">
        <v>728</v>
      </c>
    </row>
    <row r="707" spans="1:15" ht="12.6" customHeight="1" x14ac:dyDescent="0.25">
      <c r="A707" s="385">
        <v>7380</v>
      </c>
      <c r="B707" s="281" t="s">
        <v>729</v>
      </c>
      <c r="C707" s="265">
        <f>AP71</f>
        <v>171316149</v>
      </c>
      <c r="D707" s="265">
        <f>(D615/D612)*AP76</f>
        <v>15081692.434740094</v>
      </c>
      <c r="E707" s="265">
        <f>(E623/E612)*SUM(C707:D707)</f>
        <v>3665450.8044431759</v>
      </c>
      <c r="F707" s="265">
        <f>(F624/F612)*AP64</f>
        <v>-543.22273356180062</v>
      </c>
      <c r="G707" s="265">
        <f>(G625/G612)*AP77</f>
        <v>0</v>
      </c>
      <c r="H707" s="265">
        <f>(H628/H612)*AP60</f>
        <v>1847932.3337010932</v>
      </c>
      <c r="I707" s="265">
        <f>(I629/I612)*AP78</f>
        <v>2354819.655060668</v>
      </c>
      <c r="J707" s="265">
        <f>(J630/J612)*AP79</f>
        <v>350211.5737592947</v>
      </c>
      <c r="K707" s="265">
        <f>(K644/K612)*AP75</f>
        <v>20260331.553525146</v>
      </c>
      <c r="L707" s="265">
        <f>(L647/L612)*AP80</f>
        <v>3405383.0563485678</v>
      </c>
      <c r="M707" s="265">
        <f t="shared" si="21"/>
        <v>46965278</v>
      </c>
      <c r="N707" s="281" t="s">
        <v>730</v>
      </c>
    </row>
    <row r="708" spans="1:15" ht="12.6" customHeight="1" x14ac:dyDescent="0.25">
      <c r="A708" s="385">
        <v>7390</v>
      </c>
      <c r="B708" s="281" t="s">
        <v>731</v>
      </c>
      <c r="C708" s="265">
        <f>AQ71</f>
        <v>0</v>
      </c>
      <c r="D708" s="265">
        <f>(D615/D612)*AQ76</f>
        <v>0</v>
      </c>
      <c r="E708" s="265">
        <f>(E623/E612)*SUM(C708:D708)</f>
        <v>0</v>
      </c>
      <c r="F708" s="265">
        <f>(F624/F612)*AQ64</f>
        <v>0</v>
      </c>
      <c r="G708" s="265">
        <f>(G625/G612)*AQ77</f>
        <v>0</v>
      </c>
      <c r="H708" s="265">
        <f>(H628/H612)*AQ60</f>
        <v>0</v>
      </c>
      <c r="I708" s="265">
        <f>(I629/I612)*AQ78</f>
        <v>0</v>
      </c>
      <c r="J708" s="265">
        <f>(J630/J612)*AQ79</f>
        <v>0</v>
      </c>
      <c r="K708" s="265">
        <f>(K644/K612)*AQ75</f>
        <v>0</v>
      </c>
      <c r="L708" s="265">
        <f>(L647/L612)*AQ80</f>
        <v>0</v>
      </c>
      <c r="M708" s="265">
        <f t="shared" si="21"/>
        <v>0</v>
      </c>
      <c r="N708" s="281" t="s">
        <v>732</v>
      </c>
    </row>
    <row r="709" spans="1:15" ht="12.6" customHeight="1" x14ac:dyDescent="0.25">
      <c r="A709" s="385">
        <v>7400</v>
      </c>
      <c r="B709" s="281" t="s">
        <v>733</v>
      </c>
      <c r="C709" s="265">
        <f>AR71</f>
        <v>0</v>
      </c>
      <c r="D709" s="265">
        <f>(D615/D612)*AR76</f>
        <v>0</v>
      </c>
      <c r="E709" s="265">
        <f>(E623/E612)*SUM(C709:D709)</f>
        <v>0</v>
      </c>
      <c r="F709" s="265">
        <f>(F624/F612)*AR64</f>
        <v>0</v>
      </c>
      <c r="G709" s="265">
        <f>(G625/G612)*AR77</f>
        <v>0</v>
      </c>
      <c r="H709" s="265">
        <f>(H628/H612)*AR60</f>
        <v>0</v>
      </c>
      <c r="I709" s="265">
        <f>(I629/I612)*AR78</f>
        <v>0</v>
      </c>
      <c r="J709" s="265">
        <f>(J630/J612)*AR79</f>
        <v>0</v>
      </c>
      <c r="K709" s="265">
        <f>(K644/K612)*AR75</f>
        <v>0</v>
      </c>
      <c r="L709" s="265">
        <f>(L647/L612)*AR80</f>
        <v>0</v>
      </c>
      <c r="M709" s="265">
        <f t="shared" si="21"/>
        <v>0</v>
      </c>
      <c r="N709" s="281" t="s">
        <v>734</v>
      </c>
    </row>
    <row r="710" spans="1:15" ht="12.6" customHeight="1" x14ac:dyDescent="0.25">
      <c r="A710" s="385">
        <v>7410</v>
      </c>
      <c r="B710" s="281" t="s">
        <v>129</v>
      </c>
      <c r="C710" s="265">
        <f>AS71</f>
        <v>0</v>
      </c>
      <c r="D710" s="265">
        <f>(D615/D612)*AS76</f>
        <v>0</v>
      </c>
      <c r="E710" s="265">
        <f>(E623/E612)*SUM(C710:D710)</f>
        <v>0</v>
      </c>
      <c r="F710" s="265">
        <f>(F624/F612)*AS64</f>
        <v>0</v>
      </c>
      <c r="G710" s="265">
        <f>(G625/G612)*AS77</f>
        <v>0</v>
      </c>
      <c r="H710" s="265">
        <f>(H628/H612)*AS60</f>
        <v>0</v>
      </c>
      <c r="I710" s="265">
        <f>(I629/I612)*AS78</f>
        <v>0</v>
      </c>
      <c r="J710" s="265">
        <f>(J630/J612)*AS79</f>
        <v>0</v>
      </c>
      <c r="K710" s="265">
        <f>(K644/K612)*AS75</f>
        <v>0</v>
      </c>
      <c r="L710" s="265">
        <f>(L647/L612)*AS80</f>
        <v>0</v>
      </c>
      <c r="M710" s="265">
        <f t="shared" si="21"/>
        <v>0</v>
      </c>
      <c r="N710" s="281" t="s">
        <v>735</v>
      </c>
    </row>
    <row r="711" spans="1:15" ht="12.6" customHeight="1" x14ac:dyDescent="0.25">
      <c r="A711" s="385">
        <v>7420</v>
      </c>
      <c r="B711" s="281" t="s">
        <v>736</v>
      </c>
      <c r="C711" s="265">
        <f>AT71</f>
        <v>7349228</v>
      </c>
      <c r="D711" s="265">
        <f>(D615/D612)*AT76</f>
        <v>128733.92633160677</v>
      </c>
      <c r="E711" s="265">
        <f>(E623/E612)*SUM(C711:D711)</f>
        <v>147051.60396433133</v>
      </c>
      <c r="F711" s="265">
        <f>(F624/F612)*AT64</f>
        <v>-53.633406486066974</v>
      </c>
      <c r="G711" s="265">
        <f>(G625/G612)*AT77</f>
        <v>0</v>
      </c>
      <c r="H711" s="265">
        <f>(H628/H612)*AT60</f>
        <v>38164.086939072258</v>
      </c>
      <c r="I711" s="265">
        <f>(I629/I612)*AT78</f>
        <v>20110.748279815922</v>
      </c>
      <c r="J711" s="265">
        <f>(J630/J612)*AT79</f>
        <v>0</v>
      </c>
      <c r="K711" s="265">
        <f>(K644/K612)*AT75</f>
        <v>630706.69882253744</v>
      </c>
      <c r="L711" s="265">
        <f>(L647/L612)*AT80</f>
        <v>47364.294583909941</v>
      </c>
      <c r="M711" s="265">
        <f t="shared" si="21"/>
        <v>1012078</v>
      </c>
      <c r="N711" s="281" t="s">
        <v>737</v>
      </c>
    </row>
    <row r="712" spans="1:15" ht="12.6" customHeight="1" x14ac:dyDescent="0.25">
      <c r="A712" s="385">
        <v>7430</v>
      </c>
      <c r="B712" s="281" t="s">
        <v>738</v>
      </c>
      <c r="C712" s="265">
        <f>AU71</f>
        <v>0</v>
      </c>
      <c r="D712" s="265">
        <f>(D615/D612)*AU76</f>
        <v>0</v>
      </c>
      <c r="E712" s="265">
        <f>(E623/E612)*SUM(C712:D712)</f>
        <v>0</v>
      </c>
      <c r="F712" s="265">
        <f>(F624/F612)*AU64</f>
        <v>0</v>
      </c>
      <c r="G712" s="265">
        <f>(G625/G612)*AU77</f>
        <v>0</v>
      </c>
      <c r="H712" s="265">
        <f>(H628/H612)*AU60</f>
        <v>0</v>
      </c>
      <c r="I712" s="265">
        <f>(I629/I612)*AU78</f>
        <v>0</v>
      </c>
      <c r="J712" s="265">
        <f>(J630/J612)*AU79</f>
        <v>0</v>
      </c>
      <c r="K712" s="265">
        <f>(K644/K612)*AU75</f>
        <v>0</v>
      </c>
      <c r="L712" s="265">
        <f>(L647/L612)*AU80</f>
        <v>0</v>
      </c>
      <c r="M712" s="265">
        <f t="shared" si="21"/>
        <v>0</v>
      </c>
      <c r="N712" s="281" t="s">
        <v>739</v>
      </c>
    </row>
    <row r="713" spans="1:15" ht="12.6" customHeight="1" x14ac:dyDescent="0.25">
      <c r="A713" s="385">
        <v>7490</v>
      </c>
      <c r="B713" s="281" t="s">
        <v>740</v>
      </c>
      <c r="C713" s="265">
        <f>AV71</f>
        <v>22743748</v>
      </c>
      <c r="D713" s="265">
        <f>(D615/D612)*AV76</f>
        <v>1261372.221894834</v>
      </c>
      <c r="E713" s="265">
        <f>(E623/E612)*SUM(C713:D713)</f>
        <v>472052.60828573315</v>
      </c>
      <c r="F713" s="265">
        <f>(F624/F612)*AV64</f>
        <v>-203.67633707903991</v>
      </c>
      <c r="G713" s="265">
        <f>(G625/G612)*AV77</f>
        <v>1288.415217421332</v>
      </c>
      <c r="H713" s="265">
        <f>(H628/H612)*AV60</f>
        <v>110026.01307712641</v>
      </c>
      <c r="I713" s="265">
        <f>(I629/I612)*AV78</f>
        <v>196917.74357319757</v>
      </c>
      <c r="J713" s="265">
        <f>(J630/J612)*AV79</f>
        <v>69081.796752087961</v>
      </c>
      <c r="K713" s="265">
        <f>(K644/K612)*AV75</f>
        <v>5274152.7495986084</v>
      </c>
      <c r="L713" s="265">
        <f>(L647/L612)*AV80</f>
        <v>231152.3874674215</v>
      </c>
      <c r="M713" s="265">
        <f t="shared" si="21"/>
        <v>7615840</v>
      </c>
      <c r="N713" s="279" t="s">
        <v>741</v>
      </c>
    </row>
    <row r="715" spans="1:15" ht="12.6" customHeight="1" x14ac:dyDescent="0.25">
      <c r="C715" s="265">
        <f>SUM(C614:C647)+SUM(C668:C713)</f>
        <v>1075593663.3</v>
      </c>
      <c r="D715" s="265">
        <f>SUM(D616:D647)+SUM(D668:D713)</f>
        <v>67040699.000000007</v>
      </c>
      <c r="E715" s="265">
        <f>SUM(E624:E647)+SUM(E668:E713)</f>
        <v>20743277.736321241</v>
      </c>
      <c r="F715" s="265">
        <f>SUM(F625:F648)+SUM(F668:F713)</f>
        <v>-4319.0668800985359</v>
      </c>
      <c r="G715" s="265">
        <f>SUM(G626:G647)+SUM(G668:G713)</f>
        <v>4954061.687737463</v>
      </c>
      <c r="H715" s="265">
        <f>SUM(H629:H647)+SUM(H668:H713)</f>
        <v>9723222.3113250509</v>
      </c>
      <c r="I715" s="265">
        <f>SUM(I630:I647)+SUM(I668:I713)</f>
        <v>9659862.7570715807</v>
      </c>
      <c r="J715" s="265">
        <f>SUM(J631:J647)+SUM(J668:J713)</f>
        <v>2238161.9499656954</v>
      </c>
      <c r="K715" s="265">
        <f>SUM(K668:K713)</f>
        <v>128228740.73907782</v>
      </c>
      <c r="L715" s="265">
        <f>SUM(L668:L713)</f>
        <v>13646128.741307536</v>
      </c>
      <c r="M715" s="265">
        <f>SUM(M668:M713)</f>
        <v>235117321</v>
      </c>
      <c r="N715" s="281" t="s">
        <v>742</v>
      </c>
    </row>
    <row r="716" spans="1:15" ht="12.6" customHeight="1" x14ac:dyDescent="0.25">
      <c r="C716" s="265">
        <f>CE71</f>
        <v>1075593663.3</v>
      </c>
      <c r="D716" s="265">
        <f>D615</f>
        <v>67040699</v>
      </c>
      <c r="E716" s="265">
        <f>E623</f>
        <v>20743277.736321241</v>
      </c>
      <c r="F716" s="265">
        <f>F624</f>
        <v>-4319.066880098535</v>
      </c>
      <c r="G716" s="265">
        <f>G625</f>
        <v>4954061.687737464</v>
      </c>
      <c r="H716" s="265">
        <f>H628</f>
        <v>9723222.3113250509</v>
      </c>
      <c r="I716" s="265">
        <f>I629</f>
        <v>9659862.7570715807</v>
      </c>
      <c r="J716" s="265">
        <f>J630</f>
        <v>2238161.9499656963</v>
      </c>
      <c r="K716" s="265">
        <f>K644</f>
        <v>128228740.73907782</v>
      </c>
      <c r="L716" s="265">
        <f>L647</f>
        <v>13646128.741307536</v>
      </c>
      <c r="M716" s="265">
        <f>C648</f>
        <v>235117321.30000001</v>
      </c>
      <c r="N716" s="281" t="s">
        <v>743</v>
      </c>
    </row>
    <row r="717" spans="1:15" ht="12.6" customHeight="1" x14ac:dyDescent="0.25">
      <c r="O717" s="281"/>
    </row>
    <row r="718" spans="1:15" ht="12.6" customHeight="1" x14ac:dyDescent="0.25">
      <c r="O718" s="281"/>
    </row>
    <row r="719" spans="1:15" ht="12.6" customHeight="1" x14ac:dyDescent="0.25">
      <c r="O719" s="281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9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Virginia Mason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H-010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1100 Ninth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P.O Box 900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Setttle, WA 98111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G24" sqref="G2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Virginia Mason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Gary Kaplan, MD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Craig Goodrich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Tod Hamachek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(206) 625-7371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(206) 625-7333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12221</v>
      </c>
      <c r="G23" s="21">
        <f>data!D111</f>
        <v>64471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63</v>
      </c>
      <c r="G24" s="21">
        <f>data!D112</f>
        <v>12159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28</v>
      </c>
      <c r="E30" s="49" t="s">
        <v>288</v>
      </c>
      <c r="F30" s="24"/>
      <c r="G30" s="21">
        <f>data!C123</f>
        <v>35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192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255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Virginia Mason Medical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7063</v>
      </c>
      <c r="C7" s="48">
        <f>data!B139</f>
        <v>39312</v>
      </c>
      <c r="D7" s="48">
        <f>data!B140</f>
        <v>0</v>
      </c>
      <c r="E7" s="48">
        <f>data!B141</f>
        <v>461959565.5</v>
      </c>
      <c r="F7" s="48">
        <f>data!B142</f>
        <v>773880812</v>
      </c>
      <c r="G7" s="48">
        <f>data!B141+data!B142</f>
        <v>1235840377.5</v>
      </c>
    </row>
    <row r="8" spans="1:13" ht="20.100000000000001" customHeight="1" x14ac:dyDescent="0.25">
      <c r="A8" s="23" t="s">
        <v>297</v>
      </c>
      <c r="B8" s="48">
        <f>data!C138</f>
        <v>1173</v>
      </c>
      <c r="C8" s="48">
        <f>data!C139</f>
        <v>9091</v>
      </c>
      <c r="D8" s="48">
        <f>data!C140</f>
        <v>0</v>
      </c>
      <c r="E8" s="48">
        <f>data!C141</f>
        <v>74972272.5</v>
      </c>
      <c r="F8" s="48">
        <f>data!C142</f>
        <v>103401107</v>
      </c>
      <c r="G8" s="48">
        <f>data!C141+data!C142</f>
        <v>178373379.5</v>
      </c>
    </row>
    <row r="9" spans="1:13" ht="20.100000000000001" customHeight="1" x14ac:dyDescent="0.25">
      <c r="A9" s="23" t="s">
        <v>794</v>
      </c>
      <c r="B9" s="48">
        <f>data!D138</f>
        <v>3985</v>
      </c>
      <c r="C9" s="48">
        <f>data!D139</f>
        <v>16068</v>
      </c>
      <c r="D9" s="48">
        <f>data!D140</f>
        <v>0</v>
      </c>
      <c r="E9" s="48">
        <f>data!D141</f>
        <v>245445251.5</v>
      </c>
      <c r="F9" s="48">
        <f>data!D142</f>
        <v>978491157</v>
      </c>
      <c r="G9" s="48">
        <f>data!D141+data!D142</f>
        <v>1223936408.5</v>
      </c>
    </row>
    <row r="10" spans="1:13" ht="20.100000000000001" customHeight="1" x14ac:dyDescent="0.25">
      <c r="A10" s="111" t="s">
        <v>203</v>
      </c>
      <c r="B10" s="48">
        <f>data!E138</f>
        <v>12221</v>
      </c>
      <c r="C10" s="48">
        <f>data!E139</f>
        <v>64471</v>
      </c>
      <c r="D10" s="48">
        <f>data!E140</f>
        <v>0</v>
      </c>
      <c r="E10" s="48">
        <f>data!E141</f>
        <v>782377089.5</v>
      </c>
      <c r="F10" s="48">
        <f>data!E142</f>
        <v>1855773076</v>
      </c>
      <c r="G10" s="48">
        <f>data!E141+data!E142</f>
        <v>2638150165.5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58</v>
      </c>
      <c r="C17" s="48">
        <f>data!C145</f>
        <v>11891</v>
      </c>
      <c r="D17" s="48">
        <f>data!C146</f>
        <v>0</v>
      </c>
      <c r="E17" s="48">
        <f>data!C147</f>
        <v>9404472</v>
      </c>
      <c r="F17" s="48">
        <f>data!C148</f>
        <v>0</v>
      </c>
      <c r="G17" s="48">
        <f>data!C147+data!C148</f>
        <v>9404472</v>
      </c>
    </row>
    <row r="18" spans="1:7" ht="20.100000000000001" customHeight="1" x14ac:dyDescent="0.25">
      <c r="A18" s="23" t="s">
        <v>794</v>
      </c>
      <c r="B18" s="48">
        <f>data!D144</f>
        <v>5</v>
      </c>
      <c r="C18" s="48">
        <f>data!D145</f>
        <v>268</v>
      </c>
      <c r="D18" s="48">
        <f>data!D146</f>
        <v>0</v>
      </c>
      <c r="E18" s="48">
        <f>data!D147</f>
        <v>518150</v>
      </c>
      <c r="F18" s="48">
        <f>data!D148</f>
        <v>927375</v>
      </c>
      <c r="G18" s="48">
        <f>data!D147+data!D148</f>
        <v>1445525</v>
      </c>
    </row>
    <row r="19" spans="1:7" ht="20.100000000000001" customHeight="1" x14ac:dyDescent="0.25">
      <c r="A19" s="111" t="s">
        <v>203</v>
      </c>
      <c r="B19" s="48">
        <f>data!E144</f>
        <v>63</v>
      </c>
      <c r="C19" s="48">
        <f>data!E145</f>
        <v>12159</v>
      </c>
      <c r="D19" s="48">
        <f>data!E146</f>
        <v>0</v>
      </c>
      <c r="E19" s="48">
        <f>data!E147</f>
        <v>9922622</v>
      </c>
      <c r="F19" s="48">
        <f>data!E148</f>
        <v>927375</v>
      </c>
      <c r="G19" s="48">
        <f>data!E147+data!E148</f>
        <v>10849997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Virginia Mason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34654773.5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315958.5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1863363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41050962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394619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24641110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11786956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114707742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11601595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4993876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16595471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6007164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2294519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8301683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801150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22570164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23371314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13030076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13030076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F32" sqref="F3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Virginia Mason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40851055.5</v>
      </c>
      <c r="D7" s="21">
        <f>data!C195</f>
        <v>0</v>
      </c>
      <c r="E7" s="21">
        <f>data!D195</f>
        <v>1863</v>
      </c>
      <c r="F7" s="21">
        <f>data!E195</f>
        <v>40849192.5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3084541.5</v>
      </c>
      <c r="D8" s="21">
        <f>data!C196</f>
        <v>167229</v>
      </c>
      <c r="E8" s="21">
        <f>data!D196</f>
        <v>0</v>
      </c>
      <c r="F8" s="21">
        <f>data!E196</f>
        <v>3251770.5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621684640</v>
      </c>
      <c r="D9" s="21">
        <f>data!C197</f>
        <v>8455068</v>
      </c>
      <c r="E9" s="21">
        <f>data!D197</f>
        <v>0</v>
      </c>
      <c r="F9" s="21">
        <f>data!E197</f>
        <v>630139708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42388584</v>
      </c>
      <c r="D10" s="21">
        <f>data!C198</f>
        <v>201213</v>
      </c>
      <c r="E10" s="21">
        <f>data!D198</f>
        <v>0</v>
      </c>
      <c r="F10" s="21">
        <f>data!E198</f>
        <v>42589797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3797270</v>
      </c>
      <c r="D11" s="21">
        <f>data!C199</f>
        <v>0</v>
      </c>
      <c r="E11" s="21">
        <f>data!D199</f>
        <v>0</v>
      </c>
      <c r="F11" s="21">
        <f>data!E199</f>
        <v>3797270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357018304</v>
      </c>
      <c r="D12" s="21">
        <f>data!C200</f>
        <v>15588947</v>
      </c>
      <c r="E12" s="21">
        <f>data!D200</f>
        <v>143376</v>
      </c>
      <c r="F12" s="21">
        <f>data!E200</f>
        <v>372463875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18237955</v>
      </c>
      <c r="D13" s="21">
        <f>data!C201</f>
        <v>1267518</v>
      </c>
      <c r="E13" s="21">
        <f>data!D201</f>
        <v>0</v>
      </c>
      <c r="F13" s="21">
        <f>data!E201</f>
        <v>19505473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23290294</v>
      </c>
      <c r="D14" s="21">
        <f>data!C202</f>
        <v>0</v>
      </c>
      <c r="E14" s="21">
        <f>data!D202</f>
        <v>54247</v>
      </c>
      <c r="F14" s="21">
        <f>data!E202</f>
        <v>23236047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33758736</v>
      </c>
      <c r="D15" s="21">
        <f>data!C203</f>
        <v>24427348</v>
      </c>
      <c r="E15" s="21">
        <f>data!D203</f>
        <v>13381826</v>
      </c>
      <c r="F15" s="21">
        <f>data!E203</f>
        <v>44804258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1144111380</v>
      </c>
      <c r="D16" s="21">
        <f>data!C204</f>
        <v>50107323</v>
      </c>
      <c r="E16" s="21">
        <f>data!D204</f>
        <v>13581312</v>
      </c>
      <c r="F16" s="21">
        <f>data!E204</f>
        <v>1180637391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1150264</v>
      </c>
      <c r="D24" s="21">
        <f>data!C209</f>
        <v>108824</v>
      </c>
      <c r="E24" s="21">
        <f>data!D209</f>
        <v>0</v>
      </c>
      <c r="F24" s="21">
        <f>data!E209</f>
        <v>1259088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231083408</v>
      </c>
      <c r="D25" s="21">
        <f>data!C210</f>
        <v>19399902.300000001</v>
      </c>
      <c r="E25" s="21">
        <f>data!D210</f>
        <v>0</v>
      </c>
      <c r="F25" s="21">
        <f>data!E210</f>
        <v>250483310.30000001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36788644</v>
      </c>
      <c r="D26" s="21">
        <f>data!C211</f>
        <v>911276</v>
      </c>
      <c r="E26" s="21">
        <f>data!D211</f>
        <v>0</v>
      </c>
      <c r="F26" s="21">
        <f>data!E211</f>
        <v>37699920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3797270</v>
      </c>
      <c r="D27" s="21">
        <f>data!C212</f>
        <v>0</v>
      </c>
      <c r="E27" s="21">
        <f>data!D212</f>
        <v>0</v>
      </c>
      <c r="F27" s="21">
        <f>data!E212</f>
        <v>3797270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290297388</v>
      </c>
      <c r="D28" s="21">
        <f>data!C213</f>
        <v>18085063</v>
      </c>
      <c r="E28" s="21">
        <f>data!D213</f>
        <v>0</v>
      </c>
      <c r="F28" s="21">
        <f>data!E213</f>
        <v>308382451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16152964</v>
      </c>
      <c r="D29" s="21">
        <f>data!C214</f>
        <v>1371921</v>
      </c>
      <c r="E29" s="21">
        <f>data!D214</f>
        <v>0</v>
      </c>
      <c r="F29" s="21">
        <f>data!E214</f>
        <v>17524885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16263108</v>
      </c>
      <c r="D30" s="21">
        <f>data!C215</f>
        <v>1000532</v>
      </c>
      <c r="E30" s="21">
        <f>data!D215</f>
        <v>0</v>
      </c>
      <c r="F30" s="21">
        <f>data!E215</f>
        <v>17263640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595533046</v>
      </c>
      <c r="D32" s="21">
        <f>data!C217</f>
        <v>40877518.299999997</v>
      </c>
      <c r="E32" s="21">
        <f>data!D217</f>
        <v>0</v>
      </c>
      <c r="F32" s="21">
        <f>data!E217</f>
        <v>636410564.29999995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Virginia Mason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181799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873307647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132796015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14298021.5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17996012.5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352967310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1391365006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4973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6534885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19126137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25661022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72742269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35372394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1525322490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15" zoomScale="75" workbookViewId="0">
      <selection activeCell="C151" sqref="C15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Virginia Mason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73870302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320171805.5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194683774.40000001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14154066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21470163.399999999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7927180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1789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242911531.5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357538796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10189401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367728197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40849193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3251771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630139708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42589796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3797270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391969348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23236047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44804258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1180637391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636410564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544226827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94590755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94590755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1350666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1350666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1250807976.5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Virginia Mason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54207757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72540050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7258586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5382566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28122711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167511670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415620118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152186077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567806195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567806195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515490112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515490112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1250807977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Virginia Mason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792299711.5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1856700451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2649000162.5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181799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1391365006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25661022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108114663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1525322490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1123677672.5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66656981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66656981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1190334653.5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562986336.89999998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114707742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11339234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285452798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12151225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49295122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40618973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16595471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8301683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23371314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13030076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58146953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1195996927.9000001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-5662274.4000000954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38234378.07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32572103.669999905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3506062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29066041.669999905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39" zoomScale="65" workbookViewId="0">
      <selection activeCell="I373" sqref="I37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Virginia Mason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6191</v>
      </c>
      <c r="D9" s="14">
        <f>data!D59</f>
        <v>0</v>
      </c>
      <c r="E9" s="14">
        <f>data!E59</f>
        <v>58280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93.69</v>
      </c>
      <c r="D10" s="26">
        <f>data!D60</f>
        <v>0</v>
      </c>
      <c r="E10" s="26">
        <f>data!E60</f>
        <v>541.4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9543839</v>
      </c>
      <c r="D11" s="14">
        <f>data!D61</f>
        <v>0</v>
      </c>
      <c r="E11" s="14">
        <f>data!E61</f>
        <v>44298743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1645067</v>
      </c>
      <c r="D12" s="14">
        <f>data!D62</f>
        <v>0</v>
      </c>
      <c r="E12" s="14">
        <f>data!E62</f>
        <v>7645654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26580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1565125</v>
      </c>
      <c r="D14" s="14">
        <f>data!D64</f>
        <v>0</v>
      </c>
      <c r="E14" s="14">
        <f>data!E64</f>
        <v>4282194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31055</v>
      </c>
      <c r="D15" s="14">
        <f>data!D65</f>
        <v>0</v>
      </c>
      <c r="E15" s="14">
        <f>data!E65</f>
        <v>190149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44691</v>
      </c>
      <c r="D16" s="14">
        <f>data!D66</f>
        <v>0</v>
      </c>
      <c r="E16" s="14">
        <f>data!E66</f>
        <v>156421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1680900</v>
      </c>
      <c r="D17" s="14">
        <f>data!D67</f>
        <v>0</v>
      </c>
      <c r="E17" s="14">
        <f>data!E67</f>
        <v>2433959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7458</v>
      </c>
      <c r="D18" s="14">
        <f>data!D68</f>
        <v>0</v>
      </c>
      <c r="E18" s="14">
        <f>data!E68</f>
        <v>2886230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128895</v>
      </c>
      <c r="D19" s="14">
        <f>data!D69</f>
        <v>0</v>
      </c>
      <c r="E19" s="14">
        <f>data!E69</f>
        <v>460767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14647030</v>
      </c>
      <c r="D21" s="14">
        <f>data!D71</f>
        <v>0</v>
      </c>
      <c r="E21" s="14">
        <f>data!E71</f>
        <v>62380697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5031537</v>
      </c>
      <c r="D23" s="48">
        <f>+data!M669</f>
        <v>0</v>
      </c>
      <c r="E23" s="48">
        <f>+data!M670</f>
        <v>30949224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39977036</v>
      </c>
      <c r="D24" s="14">
        <f>data!D73</f>
        <v>0</v>
      </c>
      <c r="E24" s="14">
        <f>data!E73</f>
        <v>203609887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87749</v>
      </c>
      <c r="D25" s="14">
        <f>data!D74</f>
        <v>0</v>
      </c>
      <c r="E25" s="14">
        <f>data!E74</f>
        <v>19681896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40064785</v>
      </c>
      <c r="D26" s="14">
        <f>data!D75</f>
        <v>0</v>
      </c>
      <c r="E26" s="14">
        <f>data!E75</f>
        <v>223291783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23731</v>
      </c>
      <c r="D28" s="14">
        <f>data!D76</f>
        <v>0</v>
      </c>
      <c r="E28" s="14">
        <f>data!E76</f>
        <v>121615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12423</v>
      </c>
      <c r="D29" s="14">
        <f>data!D77</f>
        <v>0</v>
      </c>
      <c r="E29" s="14">
        <f>data!E77</f>
        <v>330224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2479</v>
      </c>
      <c r="D30" s="14">
        <f>data!D78</f>
        <v>0</v>
      </c>
      <c r="E30" s="14">
        <f>data!E78</f>
        <v>12704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41843</v>
      </c>
      <c r="D31" s="14">
        <f>data!D79</f>
        <v>0</v>
      </c>
      <c r="E31" s="14">
        <f>data!E79</f>
        <v>375561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81.819999999999993</v>
      </c>
      <c r="D32" s="84">
        <f>data!D80</f>
        <v>0</v>
      </c>
      <c r="E32" s="84">
        <f>data!E80</f>
        <v>473.82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Virginia Mason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12159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2263054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129.76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123.87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9747295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12240844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1820783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2121709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1875374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1338100</v>
      </c>
      <c r="E46" s="14">
        <f>data!L64</f>
        <v>0</v>
      </c>
      <c r="F46" s="14">
        <f>data!M64</f>
        <v>0</v>
      </c>
      <c r="G46" s="14">
        <f>data!N64</f>
        <v>13899</v>
      </c>
      <c r="H46" s="14">
        <f>data!O64</f>
        <v>0</v>
      </c>
      <c r="I46" s="14">
        <f>data!P64</f>
        <v>50604463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358183</v>
      </c>
      <c r="E47" s="14">
        <f>data!L65</f>
        <v>0</v>
      </c>
      <c r="F47" s="14">
        <f>data!M65</f>
        <v>0</v>
      </c>
      <c r="G47" s="14">
        <f>data!N65</f>
        <v>20</v>
      </c>
      <c r="H47" s="14">
        <f>data!O65</f>
        <v>0</v>
      </c>
      <c r="I47" s="14">
        <f>data!P65</f>
        <v>90415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868924</v>
      </c>
      <c r="E48" s="14">
        <f>data!L66</f>
        <v>0</v>
      </c>
      <c r="F48" s="14">
        <f>data!M66</f>
        <v>0</v>
      </c>
      <c r="G48" s="14">
        <f>data!N66</f>
        <v>960</v>
      </c>
      <c r="H48" s="14">
        <f>data!O66</f>
        <v>0</v>
      </c>
      <c r="I48" s="14">
        <f>data!P66</f>
        <v>416735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469748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3853279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435067</v>
      </c>
      <c r="E50" s="14">
        <f>data!L68</f>
        <v>0</v>
      </c>
      <c r="F50" s="14">
        <f>data!M68</f>
        <v>0</v>
      </c>
      <c r="G50" s="14">
        <f>data!N68</f>
        <v>57</v>
      </c>
      <c r="H50" s="14">
        <f>data!O68</f>
        <v>0</v>
      </c>
      <c r="I50" s="14">
        <f>data!P68</f>
        <v>335372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702643</v>
      </c>
      <c r="E51" s="14">
        <f>data!L69</f>
        <v>0</v>
      </c>
      <c r="F51" s="14">
        <f>data!M69</f>
        <v>0</v>
      </c>
      <c r="G51" s="14">
        <f>data!N69</f>
        <v>-15110</v>
      </c>
      <c r="H51" s="14">
        <f>data!O69</f>
        <v>0</v>
      </c>
      <c r="I51" s="14">
        <f>data!P69</f>
        <v>2808639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-5880692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9860051</v>
      </c>
      <c r="E53" s="14">
        <f>data!L71</f>
        <v>0</v>
      </c>
      <c r="F53" s="14">
        <f>data!M71</f>
        <v>0</v>
      </c>
      <c r="G53" s="14">
        <f>data!N71</f>
        <v>-174</v>
      </c>
      <c r="H53" s="14">
        <f>data!O71</f>
        <v>0</v>
      </c>
      <c r="I53" s="14">
        <f>data!P71</f>
        <v>74346830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1675634</v>
      </c>
      <c r="E55" s="48">
        <f>+data!M677</f>
        <v>0</v>
      </c>
      <c r="F55" s="48">
        <f>+data!M678</f>
        <v>0</v>
      </c>
      <c r="G55" s="48">
        <f>+data!M679</f>
        <v>8032</v>
      </c>
      <c r="H55" s="48">
        <f>+data!M680</f>
        <v>0</v>
      </c>
      <c r="I55" s="48">
        <f>+data!M681</f>
        <v>29356617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9922622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282401101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932322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189474814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10854944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471875915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47987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568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5013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506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413159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79.959999999999994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58.34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Virginia Mason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2027302</v>
      </c>
      <c r="D73" s="48">
        <f>data!R59</f>
        <v>2347015</v>
      </c>
      <c r="E73" s="208"/>
      <c r="F73" s="208"/>
      <c r="G73" s="14">
        <f>data!U59</f>
        <v>2519092</v>
      </c>
      <c r="H73" s="14">
        <f>data!V59</f>
        <v>0</v>
      </c>
      <c r="I73" s="14">
        <f>data!W59</f>
        <v>105837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73.78</v>
      </c>
      <c r="D74" s="26">
        <f>data!R60</f>
        <v>79.56</v>
      </c>
      <c r="E74" s="26">
        <f>data!S60</f>
        <v>122.58</v>
      </c>
      <c r="F74" s="26">
        <f>data!T60</f>
        <v>17.84</v>
      </c>
      <c r="G74" s="26">
        <f>data!U60</f>
        <v>170.77</v>
      </c>
      <c r="H74" s="26">
        <f>data!V60</f>
        <v>0</v>
      </c>
      <c r="I74" s="26">
        <f>data!W60</f>
        <v>11.58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7975433</v>
      </c>
      <c r="D75" s="14">
        <f>data!R61</f>
        <v>18480096</v>
      </c>
      <c r="E75" s="14">
        <f>data!S61</f>
        <v>6993605</v>
      </c>
      <c r="F75" s="14">
        <f>data!T61</f>
        <v>2278098</v>
      </c>
      <c r="G75" s="14">
        <f>data!U61</f>
        <v>17167134</v>
      </c>
      <c r="H75" s="14">
        <f>data!V61</f>
        <v>0</v>
      </c>
      <c r="I75" s="14">
        <f>data!W61</f>
        <v>2062213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1377848</v>
      </c>
      <c r="D76" s="14">
        <f>data!R62</f>
        <v>5177145</v>
      </c>
      <c r="E76" s="14">
        <f>data!S62</f>
        <v>1207057</v>
      </c>
      <c r="F76" s="14">
        <f>data!T62</f>
        <v>391332</v>
      </c>
      <c r="G76" s="14">
        <f>data!U62</f>
        <v>3901492</v>
      </c>
      <c r="H76" s="14">
        <f>data!V62</f>
        <v>0</v>
      </c>
      <c r="I76" s="14">
        <f>data!W62</f>
        <v>555434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8340</v>
      </c>
      <c r="E77" s="14">
        <f>data!S63</f>
        <v>0</v>
      </c>
      <c r="F77" s="14">
        <f>data!T63</f>
        <v>0</v>
      </c>
      <c r="G77" s="14">
        <f>data!U63</f>
        <v>33201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1105724</v>
      </c>
      <c r="D78" s="14">
        <f>data!R64</f>
        <v>4137631</v>
      </c>
      <c r="E78" s="14">
        <f>data!S64</f>
        <v>706740</v>
      </c>
      <c r="F78" s="14">
        <f>data!T64</f>
        <v>678163</v>
      </c>
      <c r="G78" s="14">
        <f>data!U64</f>
        <v>11949158</v>
      </c>
      <c r="H78" s="14">
        <f>data!V64</f>
        <v>0</v>
      </c>
      <c r="I78" s="14">
        <f>data!W64</f>
        <v>468141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38464</v>
      </c>
      <c r="D79" s="14">
        <f>data!R65</f>
        <v>30789</v>
      </c>
      <c r="E79" s="14">
        <f>data!S65</f>
        <v>25007</v>
      </c>
      <c r="F79" s="14">
        <f>data!T65</f>
        <v>2536</v>
      </c>
      <c r="G79" s="14">
        <f>data!U65</f>
        <v>49397</v>
      </c>
      <c r="H79" s="14">
        <f>data!V65</f>
        <v>0</v>
      </c>
      <c r="I79" s="14">
        <f>data!W65</f>
        <v>12585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17273</v>
      </c>
      <c r="D80" s="14">
        <f>data!R66</f>
        <v>13167</v>
      </c>
      <c r="E80" s="14">
        <f>data!S66</f>
        <v>55196</v>
      </c>
      <c r="F80" s="14">
        <f>data!T66</f>
        <v>1837</v>
      </c>
      <c r="G80" s="14">
        <f>data!U66</f>
        <v>4413389</v>
      </c>
      <c r="H80" s="14">
        <f>data!V66</f>
        <v>0</v>
      </c>
      <c r="I80" s="14">
        <f>data!W66</f>
        <v>168813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899718</v>
      </c>
      <c r="D81" s="14">
        <f>data!R67</f>
        <v>318029</v>
      </c>
      <c r="E81" s="14">
        <f>data!S67</f>
        <v>702319</v>
      </c>
      <c r="F81" s="14">
        <f>data!T67</f>
        <v>23311</v>
      </c>
      <c r="G81" s="14">
        <f>data!U67</f>
        <v>493157</v>
      </c>
      <c r="H81" s="14">
        <f>data!V67</f>
        <v>0</v>
      </c>
      <c r="I81" s="14">
        <f>data!W67</f>
        <v>609064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159250</v>
      </c>
      <c r="D82" s="14">
        <f>data!R68</f>
        <v>51</v>
      </c>
      <c r="E82" s="14">
        <f>data!S68</f>
        <v>0</v>
      </c>
      <c r="F82" s="14">
        <f>data!T68</f>
        <v>0</v>
      </c>
      <c r="G82" s="14">
        <f>data!U68</f>
        <v>434433</v>
      </c>
      <c r="H82" s="14">
        <f>data!V68</f>
        <v>0</v>
      </c>
      <c r="I82" s="14">
        <f>data!W68</f>
        <v>2382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121796</v>
      </c>
      <c r="D83" s="14">
        <f>data!R69</f>
        <v>808278</v>
      </c>
      <c r="E83" s="14">
        <f>data!S69</f>
        <v>442580</v>
      </c>
      <c r="F83" s="14">
        <f>data!T69</f>
        <v>10455</v>
      </c>
      <c r="G83" s="14">
        <f>data!U69</f>
        <v>1085369</v>
      </c>
      <c r="H83" s="14">
        <f>data!V69</f>
        <v>0</v>
      </c>
      <c r="I83" s="14">
        <f>data!W69</f>
        <v>520098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-53084</v>
      </c>
      <c r="E84" s="14">
        <f>-data!S70</f>
        <v>-8487</v>
      </c>
      <c r="F84" s="14">
        <f>-data!T70</f>
        <v>0</v>
      </c>
      <c r="G84" s="14">
        <f>-data!U70</f>
        <v>-42217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11695506</v>
      </c>
      <c r="D85" s="14">
        <f>data!R71</f>
        <v>28920442</v>
      </c>
      <c r="E85" s="14">
        <f>data!S71</f>
        <v>10124017</v>
      </c>
      <c r="F85" s="14">
        <f>data!T71</f>
        <v>3385732</v>
      </c>
      <c r="G85" s="14">
        <f>data!U71</f>
        <v>39484513</v>
      </c>
      <c r="H85" s="14">
        <f>data!V71</f>
        <v>0</v>
      </c>
      <c r="I85" s="14">
        <f>data!W71</f>
        <v>4398730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4099002</v>
      </c>
      <c r="D87" s="48">
        <f>+data!M683</f>
        <v>6100814</v>
      </c>
      <c r="E87" s="48">
        <f>+data!M684</f>
        <v>1669203</v>
      </c>
      <c r="F87" s="48">
        <f>+data!M685</f>
        <v>492359</v>
      </c>
      <c r="G87" s="48">
        <f>+data!M686</f>
        <v>10546953</v>
      </c>
      <c r="H87" s="48">
        <f>+data!M687</f>
        <v>0</v>
      </c>
      <c r="I87" s="48">
        <f>+data!M688</f>
        <v>2208645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7444583</v>
      </c>
      <c r="D88" s="14">
        <f>data!R73</f>
        <v>11296913</v>
      </c>
      <c r="E88" s="14">
        <f>data!S73</f>
        <v>0</v>
      </c>
      <c r="F88" s="14">
        <f>data!T73</f>
        <v>3184981</v>
      </c>
      <c r="G88" s="14">
        <f>data!U73</f>
        <v>33647003</v>
      </c>
      <c r="H88" s="14">
        <f>data!V73</f>
        <v>0</v>
      </c>
      <c r="I88" s="14">
        <f>data!W73</f>
        <v>4359329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15638130</v>
      </c>
      <c r="D89" s="14">
        <f>data!R74</f>
        <v>66727759</v>
      </c>
      <c r="E89" s="14">
        <f>data!S74</f>
        <v>0</v>
      </c>
      <c r="F89" s="14">
        <f>data!T74</f>
        <v>652770</v>
      </c>
      <c r="G89" s="14">
        <f>data!U74</f>
        <v>114665436</v>
      </c>
      <c r="H89" s="14">
        <f>data!V74</f>
        <v>0</v>
      </c>
      <c r="I89" s="14">
        <f>data!W74</f>
        <v>27367591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23082713</v>
      </c>
      <c r="D90" s="14">
        <f>data!R75</f>
        <v>78024672</v>
      </c>
      <c r="E90" s="14">
        <f>data!S75</f>
        <v>0</v>
      </c>
      <c r="F90" s="14">
        <f>data!T75</f>
        <v>3837751</v>
      </c>
      <c r="G90" s="14">
        <f>data!U75</f>
        <v>148312439</v>
      </c>
      <c r="H90" s="14">
        <f>data!V75</f>
        <v>0</v>
      </c>
      <c r="I90" s="14">
        <f>data!W75</f>
        <v>31726920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28384</v>
      </c>
      <c r="D92" s="14">
        <f>data!R76</f>
        <v>20413</v>
      </c>
      <c r="E92" s="14">
        <f>data!S76</f>
        <v>18051</v>
      </c>
      <c r="F92" s="14">
        <f>data!T76</f>
        <v>733</v>
      </c>
      <c r="G92" s="14">
        <f>data!U76</f>
        <v>29906</v>
      </c>
      <c r="H92" s="14">
        <f>data!V76</f>
        <v>0</v>
      </c>
      <c r="I92" s="14">
        <f>data!W76</f>
        <v>6723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356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2965</v>
      </c>
      <c r="D94" s="14">
        <f>data!R78</f>
        <v>2132</v>
      </c>
      <c r="E94" s="14">
        <f>data!S78</f>
        <v>1886</v>
      </c>
      <c r="F94" s="14">
        <f>data!T78</f>
        <v>77</v>
      </c>
      <c r="G94" s="14">
        <f>data!U78</f>
        <v>3124</v>
      </c>
      <c r="H94" s="14">
        <f>data!V78</f>
        <v>0</v>
      </c>
      <c r="I94" s="14">
        <f>data!W78</f>
        <v>702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22712</v>
      </c>
      <c r="D95" s="14">
        <f>data!R79</f>
        <v>49792</v>
      </c>
      <c r="E95" s="14">
        <f>data!S79</f>
        <v>0</v>
      </c>
      <c r="F95" s="14">
        <f>data!T79</f>
        <v>1169</v>
      </c>
      <c r="G95" s="14">
        <f>data!U79</f>
        <v>14024</v>
      </c>
      <c r="H95" s="14">
        <f>data!V79</f>
        <v>0</v>
      </c>
      <c r="I95" s="14">
        <f>data!W79</f>
        <v>60617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67.63</v>
      </c>
      <c r="D96" s="84">
        <f>data!R80</f>
        <v>4.67</v>
      </c>
      <c r="E96" s="84">
        <f>data!S80</f>
        <v>0.02</v>
      </c>
      <c r="F96" s="84">
        <f>data!T80</f>
        <v>17.03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Virginia Mason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165057</v>
      </c>
      <c r="D105" s="14">
        <f>data!Y59</f>
        <v>171978</v>
      </c>
      <c r="E105" s="14">
        <f>data!Z59</f>
        <v>185863</v>
      </c>
      <c r="F105" s="14">
        <f>data!AA59</f>
        <v>23016</v>
      </c>
      <c r="G105" s="208"/>
      <c r="H105" s="14">
        <f>data!AC59</f>
        <v>147963</v>
      </c>
      <c r="I105" s="14">
        <f>data!AD59</f>
        <v>15947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19.829999999999998</v>
      </c>
      <c r="D106" s="26">
        <f>data!Y60</f>
        <v>119.56</v>
      </c>
      <c r="E106" s="26">
        <f>data!Z60</f>
        <v>40.11</v>
      </c>
      <c r="F106" s="26">
        <f>data!AA60</f>
        <v>7.68</v>
      </c>
      <c r="G106" s="26">
        <f>data!AB60</f>
        <v>79.819999999999993</v>
      </c>
      <c r="H106" s="26">
        <f>data!AC60</f>
        <v>20.329999999999998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4047745</v>
      </c>
      <c r="D107" s="14">
        <f>data!Y61</f>
        <v>13887649</v>
      </c>
      <c r="E107" s="14">
        <f>data!Z61</f>
        <v>7405226</v>
      </c>
      <c r="F107" s="14">
        <f>data!AA61</f>
        <v>1127739</v>
      </c>
      <c r="G107" s="14">
        <f>data!AB61</f>
        <v>8881729</v>
      </c>
      <c r="H107" s="14">
        <f>data!AC61</f>
        <v>1826036</v>
      </c>
      <c r="I107" s="14">
        <f>data!AD61</f>
        <v>129003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1136234</v>
      </c>
      <c r="D108" s="14">
        <f>data!Y62</f>
        <v>3058946</v>
      </c>
      <c r="E108" s="14">
        <f>data!Z62</f>
        <v>1997020</v>
      </c>
      <c r="F108" s="14">
        <f>data!AA62</f>
        <v>256527</v>
      </c>
      <c r="G108" s="14">
        <f>data!AB62</f>
        <v>1546990</v>
      </c>
      <c r="H108" s="14">
        <f>data!AC62</f>
        <v>316188</v>
      </c>
      <c r="I108" s="14">
        <f>data!AD62</f>
        <v>23649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54052</v>
      </c>
      <c r="E109" s="14">
        <f>data!Z63</f>
        <v>30717</v>
      </c>
      <c r="F109" s="14">
        <f>data!AA63</f>
        <v>0</v>
      </c>
      <c r="G109" s="14">
        <f>data!AB63</f>
        <v>19968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664339</v>
      </c>
      <c r="D110" s="14">
        <f>data!Y64</f>
        <v>6122631</v>
      </c>
      <c r="E110" s="14">
        <f>data!Z64</f>
        <v>391420</v>
      </c>
      <c r="F110" s="14">
        <f>data!AA64</f>
        <v>9016365</v>
      </c>
      <c r="G110" s="14">
        <f>data!AB64</f>
        <v>34991585</v>
      </c>
      <c r="H110" s="14">
        <f>data!AC64</f>
        <v>317091</v>
      </c>
      <c r="I110" s="14">
        <f>data!AD64</f>
        <v>38845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10695</v>
      </c>
      <c r="D111" s="14">
        <f>data!Y65</f>
        <v>58803</v>
      </c>
      <c r="E111" s="14">
        <f>data!Z65</f>
        <v>29678</v>
      </c>
      <c r="F111" s="14">
        <f>data!AA65</f>
        <v>4686</v>
      </c>
      <c r="G111" s="14">
        <f>data!AB65</f>
        <v>31652</v>
      </c>
      <c r="H111" s="14">
        <f>data!AC65</f>
        <v>5098</v>
      </c>
      <c r="I111" s="14">
        <f>data!AD65</f>
        <v>1703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54173</v>
      </c>
      <c r="D112" s="14">
        <f>data!Y66</f>
        <v>239584</v>
      </c>
      <c r="E112" s="14">
        <f>data!Z66</f>
        <v>344468</v>
      </c>
      <c r="F112" s="14">
        <f>data!AA66</f>
        <v>2397</v>
      </c>
      <c r="G112" s="14">
        <f>data!AB66</f>
        <v>315560</v>
      </c>
      <c r="H112" s="14">
        <f>data!AC66</f>
        <v>332</v>
      </c>
      <c r="I112" s="14">
        <f>data!AD66</f>
        <v>1491029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374879</v>
      </c>
      <c r="D113" s="14">
        <f>data!Y67</f>
        <v>2273678</v>
      </c>
      <c r="E113" s="14">
        <f>data!Z67</f>
        <v>688238</v>
      </c>
      <c r="F113" s="14">
        <f>data!AA67</f>
        <v>84070</v>
      </c>
      <c r="G113" s="14">
        <f>data!AB67</f>
        <v>387439</v>
      </c>
      <c r="H113" s="14">
        <f>data!AC67</f>
        <v>82165</v>
      </c>
      <c r="I113" s="14">
        <f>data!AD67</f>
        <v>16207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49</v>
      </c>
      <c r="D114" s="14">
        <f>data!Y68</f>
        <v>7313</v>
      </c>
      <c r="E114" s="14">
        <f>data!Z68</f>
        <v>2069</v>
      </c>
      <c r="F114" s="14">
        <f>data!AA68</f>
        <v>18</v>
      </c>
      <c r="G114" s="14">
        <f>data!AB68</f>
        <v>13196</v>
      </c>
      <c r="H114" s="14">
        <f>data!AC68</f>
        <v>2587</v>
      </c>
      <c r="I114" s="14">
        <f>data!AD68</f>
        <v>2167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582517</v>
      </c>
      <c r="D115" s="14">
        <f>data!Y69</f>
        <v>2663909</v>
      </c>
      <c r="E115" s="14">
        <f>data!Z69</f>
        <v>762543</v>
      </c>
      <c r="F115" s="14">
        <f>data!AA69</f>
        <v>310297</v>
      </c>
      <c r="G115" s="14">
        <f>data!AB69</f>
        <v>575898</v>
      </c>
      <c r="H115" s="14">
        <f>data!AC69</f>
        <v>84340</v>
      </c>
      <c r="I115" s="14">
        <f>data!AD69</f>
        <v>19149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-27367</v>
      </c>
      <c r="E116" s="14">
        <f>-data!Z70</f>
        <v>-2299591</v>
      </c>
      <c r="F116" s="14">
        <f>-data!AA70</f>
        <v>0</v>
      </c>
      <c r="G116" s="14">
        <f>-data!AB70</f>
        <v>-955979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6870631</v>
      </c>
      <c r="D117" s="14">
        <f>data!Y71</f>
        <v>28339198</v>
      </c>
      <c r="E117" s="14">
        <f>data!Z71</f>
        <v>9351788</v>
      </c>
      <c r="F117" s="14">
        <f>data!AA71</f>
        <v>10802099</v>
      </c>
      <c r="G117" s="14">
        <f>data!AB71</f>
        <v>45808038</v>
      </c>
      <c r="H117" s="14">
        <f>data!AC71</f>
        <v>2633837</v>
      </c>
      <c r="I117" s="14">
        <f>data!AD71</f>
        <v>1721752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3502523</v>
      </c>
      <c r="D119" s="48">
        <f>+data!M690</f>
        <v>9507257</v>
      </c>
      <c r="E119" s="48">
        <f>+data!M691</f>
        <v>2332520</v>
      </c>
      <c r="F119" s="48">
        <f>+data!M692</f>
        <v>2449085</v>
      </c>
      <c r="G119" s="48">
        <f>+data!M693</f>
        <v>4753201</v>
      </c>
      <c r="H119" s="48">
        <f>+data!M694</f>
        <v>1028024</v>
      </c>
      <c r="I119" s="48">
        <f>+data!M695</f>
        <v>430523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13451482</v>
      </c>
      <c r="D120" s="14">
        <f>data!Y73</f>
        <v>37088150</v>
      </c>
      <c r="E120" s="14">
        <f>data!Z73</f>
        <v>1033284</v>
      </c>
      <c r="F120" s="14">
        <f>data!AA73</f>
        <v>1374637</v>
      </c>
      <c r="G120" s="14">
        <f>data!AB73</f>
        <v>31303612</v>
      </c>
      <c r="H120" s="14">
        <f>data!AC73</f>
        <v>16160775</v>
      </c>
      <c r="I120" s="14">
        <f>data!AD73</f>
        <v>5299558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46298339</v>
      </c>
      <c r="D121" s="14">
        <f>data!Y74</f>
        <v>82071068</v>
      </c>
      <c r="E121" s="14">
        <f>data!Z74</f>
        <v>23700333</v>
      </c>
      <c r="F121" s="14">
        <f>data!AA74</f>
        <v>34448986</v>
      </c>
      <c r="G121" s="14">
        <f>data!AB74</f>
        <v>28208525</v>
      </c>
      <c r="H121" s="14">
        <f>data!AC74</f>
        <v>462647</v>
      </c>
      <c r="I121" s="14">
        <f>data!AD74</f>
        <v>413330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59749821</v>
      </c>
      <c r="D122" s="14">
        <f>data!Y75</f>
        <v>119159218</v>
      </c>
      <c r="E122" s="14">
        <f>data!Z75</f>
        <v>24733617</v>
      </c>
      <c r="F122" s="14">
        <f>data!AA75</f>
        <v>35823623</v>
      </c>
      <c r="G122" s="14">
        <f>data!AB75</f>
        <v>59512137</v>
      </c>
      <c r="H122" s="14">
        <f>data!AC75</f>
        <v>16623422</v>
      </c>
      <c r="I122" s="14">
        <f>data!AD75</f>
        <v>5712888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4038</v>
      </c>
      <c r="D124" s="14">
        <f>data!Y76</f>
        <v>34680</v>
      </c>
      <c r="E124" s="14">
        <f>data!Z76</f>
        <v>11369</v>
      </c>
      <c r="F124" s="14">
        <f>data!AA76</f>
        <v>6016</v>
      </c>
      <c r="G124" s="14">
        <f>data!AB76</f>
        <v>11158</v>
      </c>
      <c r="H124" s="14">
        <f>data!AC76</f>
        <v>1522</v>
      </c>
      <c r="I124" s="14">
        <f>data!AD76</f>
        <v>1588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422</v>
      </c>
      <c r="D126" s="14">
        <f>data!Y78</f>
        <v>3623</v>
      </c>
      <c r="E126" s="14">
        <f>data!Z78</f>
        <v>1188</v>
      </c>
      <c r="F126" s="14">
        <f>data!AA78</f>
        <v>628</v>
      </c>
      <c r="G126" s="14">
        <f>data!AB78</f>
        <v>1166</v>
      </c>
      <c r="H126" s="14">
        <f>data!AC78</f>
        <v>159</v>
      </c>
      <c r="I126" s="14">
        <f>data!AD78</f>
        <v>166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82206</v>
      </c>
      <c r="D127" s="14">
        <f>data!Y79</f>
        <v>312430</v>
      </c>
      <c r="E127" s="14">
        <f>data!Z79</f>
        <v>26231</v>
      </c>
      <c r="F127" s="14">
        <f>data!AA79</f>
        <v>33064</v>
      </c>
      <c r="G127" s="14">
        <f>data!AB79</f>
        <v>0</v>
      </c>
      <c r="H127" s="14">
        <f>data!AC79</f>
        <v>6877</v>
      </c>
      <c r="I127" s="14">
        <f>data!AD79</f>
        <v>1944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12.88</v>
      </c>
      <c r="E128" s="26">
        <f>data!Z80</f>
        <v>3.63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Virginia Mason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222607</v>
      </c>
      <c r="D137" s="14">
        <f>data!AF59</f>
        <v>3322</v>
      </c>
      <c r="E137" s="14">
        <f>data!AG59</f>
        <v>24985</v>
      </c>
      <c r="F137" s="14">
        <f>data!AH59</f>
        <v>0</v>
      </c>
      <c r="G137" s="14">
        <f>data!AI59</f>
        <v>0</v>
      </c>
      <c r="H137" s="14">
        <f>data!AJ59</f>
        <v>357634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76.69</v>
      </c>
      <c r="D138" s="26">
        <f>data!AF60</f>
        <v>6.62</v>
      </c>
      <c r="E138" s="26">
        <f>data!AG60</f>
        <v>74.27</v>
      </c>
      <c r="F138" s="26">
        <f>data!AH60</f>
        <v>0</v>
      </c>
      <c r="G138" s="26">
        <f>data!AI60</f>
        <v>0</v>
      </c>
      <c r="H138" s="26">
        <f>data!AJ60</f>
        <v>883.47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8143982</v>
      </c>
      <c r="D139" s="14">
        <f>data!AF61</f>
        <v>666109</v>
      </c>
      <c r="E139" s="14">
        <f>data!AG61</f>
        <v>10383918</v>
      </c>
      <c r="F139" s="14">
        <f>data!AH61</f>
        <v>0</v>
      </c>
      <c r="G139" s="14">
        <f>data!AI61</f>
        <v>0</v>
      </c>
      <c r="H139" s="14">
        <f>data!AJ61</f>
        <v>141709873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1706042</v>
      </c>
      <c r="D140" s="14">
        <f>data!AF62</f>
        <v>167171</v>
      </c>
      <c r="E140" s="14">
        <f>data!AG62</f>
        <v>2617204</v>
      </c>
      <c r="F140" s="14">
        <f>data!AH62</f>
        <v>0</v>
      </c>
      <c r="G140" s="14">
        <f>data!AI62</f>
        <v>0</v>
      </c>
      <c r="H140" s="14">
        <f>data!AJ62</f>
        <v>39532439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11</v>
      </c>
      <c r="D141" s="14">
        <f>data!AF63</f>
        <v>0</v>
      </c>
      <c r="E141" s="14">
        <f>data!AG63</f>
        <v>197878</v>
      </c>
      <c r="F141" s="14">
        <f>data!AH63</f>
        <v>0</v>
      </c>
      <c r="G141" s="14">
        <f>data!AI63</f>
        <v>0</v>
      </c>
      <c r="H141" s="14">
        <f>data!AJ63</f>
        <v>1037918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893345</v>
      </c>
      <c r="D142" s="14">
        <f>data!AF64</f>
        <v>766</v>
      </c>
      <c r="E142" s="14">
        <f>data!AG64</f>
        <v>954591</v>
      </c>
      <c r="F142" s="14">
        <f>data!AH64</f>
        <v>0</v>
      </c>
      <c r="G142" s="14">
        <f>data!AI64</f>
        <v>0</v>
      </c>
      <c r="H142" s="14">
        <f>data!AJ64</f>
        <v>93789459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26866</v>
      </c>
      <c r="D143" s="14">
        <f>data!AF65</f>
        <v>2363</v>
      </c>
      <c r="E143" s="14">
        <f>data!AG65</f>
        <v>27737</v>
      </c>
      <c r="F143" s="14">
        <f>data!AH65</f>
        <v>0</v>
      </c>
      <c r="G143" s="14">
        <f>data!AI65</f>
        <v>0</v>
      </c>
      <c r="H143" s="14">
        <f>data!AJ65</f>
        <v>607007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62528</v>
      </c>
      <c r="D144" s="14">
        <f>data!AF66</f>
        <v>423</v>
      </c>
      <c r="E144" s="14">
        <f>data!AG66</f>
        <v>34423</v>
      </c>
      <c r="F144" s="14">
        <f>data!AH66</f>
        <v>0</v>
      </c>
      <c r="G144" s="14">
        <f>data!AI66</f>
        <v>0</v>
      </c>
      <c r="H144" s="14">
        <f>data!AJ66</f>
        <v>2387781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32835</v>
      </c>
      <c r="D145" s="14">
        <f>data!AF67</f>
        <v>5333</v>
      </c>
      <c r="E145" s="14">
        <f>data!AG67</f>
        <v>531083</v>
      </c>
      <c r="F145" s="14">
        <f>data!AH67</f>
        <v>0</v>
      </c>
      <c r="G145" s="14">
        <f>data!AI67</f>
        <v>0</v>
      </c>
      <c r="H145" s="14">
        <f>data!AJ67</f>
        <v>3090673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2886</v>
      </c>
      <c r="F146" s="14">
        <f>data!AH68</f>
        <v>0</v>
      </c>
      <c r="G146" s="14">
        <f>data!AI68</f>
        <v>0</v>
      </c>
      <c r="H146" s="14">
        <f>data!AJ68</f>
        <v>205305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71901</v>
      </c>
      <c r="D147" s="14">
        <f>data!AF69</f>
        <v>5698</v>
      </c>
      <c r="E147" s="14">
        <f>data!AG69</f>
        <v>108474</v>
      </c>
      <c r="F147" s="14">
        <f>data!AH69</f>
        <v>0</v>
      </c>
      <c r="G147" s="14">
        <f>data!AI69</f>
        <v>0</v>
      </c>
      <c r="H147" s="14">
        <f>data!AJ69</f>
        <v>5238987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-403</v>
      </c>
      <c r="D148" s="14">
        <f>-data!AF70</f>
        <v>-1726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-5666564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10937107</v>
      </c>
      <c r="D149" s="14">
        <f>data!AF71</f>
        <v>846137</v>
      </c>
      <c r="E149" s="14">
        <f>data!AG71</f>
        <v>14858194</v>
      </c>
      <c r="F149" s="14">
        <f>data!AH71</f>
        <v>0</v>
      </c>
      <c r="G149" s="14">
        <f>data!AI71</f>
        <v>0</v>
      </c>
      <c r="H149" s="14">
        <f>data!AJ71</f>
        <v>281932878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3260138</v>
      </c>
      <c r="D151" s="48">
        <f>+data!M697</f>
        <v>146052</v>
      </c>
      <c r="E151" s="48">
        <f>+data!M698</f>
        <v>5171233</v>
      </c>
      <c r="F151" s="48">
        <f>+data!M699</f>
        <v>0</v>
      </c>
      <c r="G151" s="48">
        <f>+data!M700</f>
        <v>0</v>
      </c>
      <c r="H151" s="48">
        <f>+data!M701</f>
        <v>57204119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13495522</v>
      </c>
      <c r="D152" s="14">
        <f>data!AF73</f>
        <v>0</v>
      </c>
      <c r="E152" s="14">
        <f>data!AG73</f>
        <v>10591395</v>
      </c>
      <c r="F152" s="14">
        <f>data!AH73</f>
        <v>0</v>
      </c>
      <c r="G152" s="14">
        <f>data!AI73</f>
        <v>0</v>
      </c>
      <c r="H152" s="14">
        <f>data!AJ73</f>
        <v>26504630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15775002</v>
      </c>
      <c r="D153" s="14">
        <f>data!AF74</f>
        <v>889419</v>
      </c>
      <c r="E153" s="14">
        <f>data!AG74</f>
        <v>46171165</v>
      </c>
      <c r="F153" s="14">
        <f>data!AH74</f>
        <v>0</v>
      </c>
      <c r="G153" s="14">
        <f>data!AI74</f>
        <v>0</v>
      </c>
      <c r="H153" s="14">
        <f>data!AJ74</f>
        <v>616470597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29270524</v>
      </c>
      <c r="D154" s="14">
        <f>data!AF75</f>
        <v>889419</v>
      </c>
      <c r="E154" s="14">
        <f>data!AG75</f>
        <v>56762560</v>
      </c>
      <c r="F154" s="14">
        <f>data!AH75</f>
        <v>0</v>
      </c>
      <c r="G154" s="14">
        <f>data!AI75</f>
        <v>0</v>
      </c>
      <c r="H154" s="14">
        <f>data!AJ75</f>
        <v>642975227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18982</v>
      </c>
      <c r="D156" s="14">
        <f>data!AF76</f>
        <v>1041</v>
      </c>
      <c r="E156" s="14">
        <f>data!AG76</f>
        <v>15166</v>
      </c>
      <c r="F156" s="14">
        <f>data!AH76</f>
        <v>0</v>
      </c>
      <c r="G156" s="14">
        <f>data!AI76</f>
        <v>0</v>
      </c>
      <c r="H156" s="14">
        <f>data!AJ76</f>
        <v>219409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32682</v>
      </c>
      <c r="F157" s="14">
        <f>data!AH77</f>
        <v>0</v>
      </c>
      <c r="G157" s="14">
        <f>data!AI77</f>
        <v>0</v>
      </c>
      <c r="H157" s="14">
        <f>data!AJ77</f>
        <v>631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1983</v>
      </c>
      <c r="D158" s="14">
        <f>data!AF78</f>
        <v>109</v>
      </c>
      <c r="E158" s="14">
        <f>data!AG78</f>
        <v>1584</v>
      </c>
      <c r="F158" s="14">
        <f>data!AH78</f>
        <v>0</v>
      </c>
      <c r="G158" s="14">
        <f>data!AI78</f>
        <v>0</v>
      </c>
      <c r="H158" s="14">
        <f>data!AJ78</f>
        <v>22919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18254</v>
      </c>
      <c r="D159" s="14">
        <f>data!AF79</f>
        <v>0</v>
      </c>
      <c r="E159" s="14">
        <f>data!AG79</f>
        <v>113466</v>
      </c>
      <c r="F159" s="14">
        <f>data!AH79</f>
        <v>0</v>
      </c>
      <c r="G159" s="14">
        <f>data!AI79</f>
        <v>0</v>
      </c>
      <c r="H159" s="14">
        <f>data!AJ79</f>
        <v>283624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13.44</v>
      </c>
      <c r="D160" s="26">
        <f>data!AF80</f>
        <v>0.11</v>
      </c>
      <c r="E160" s="26">
        <f>data!AG80</f>
        <v>33.82</v>
      </c>
      <c r="F160" s="26">
        <f>data!AH80</f>
        <v>0</v>
      </c>
      <c r="G160" s="26">
        <f>data!AI80</f>
        <v>0</v>
      </c>
      <c r="H160" s="26">
        <f>data!AJ80</f>
        <v>298.20999999999998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Virginia Mason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574796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846.95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102767085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26685453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85589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36357173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1774987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2132034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3511766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5252855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5229349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-2010418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181785873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48487251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7838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435726533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435734371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258547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27008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345394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395.08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Virginia Mason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123</v>
      </c>
      <c r="E201" s="14">
        <f>data!AU59</f>
        <v>0</v>
      </c>
      <c r="F201" s="208"/>
      <c r="G201" s="208"/>
      <c r="H201" s="208"/>
      <c r="I201" s="14">
        <f>data!AY59</f>
        <v>376953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19.75</v>
      </c>
      <c r="E202" s="26">
        <f>data!AU60</f>
        <v>0</v>
      </c>
      <c r="F202" s="26">
        <f>data!AV60</f>
        <v>56.15</v>
      </c>
      <c r="G202" s="26">
        <f>data!AW60</f>
        <v>152.97999999999999</v>
      </c>
      <c r="H202" s="26">
        <f>data!AX60</f>
        <v>4</v>
      </c>
      <c r="I202" s="26">
        <f>data!AY60</f>
        <v>57.48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1966221</v>
      </c>
      <c r="E203" s="14">
        <f>data!AU61</f>
        <v>0</v>
      </c>
      <c r="F203" s="14">
        <f>data!AV61</f>
        <v>7277405</v>
      </c>
      <c r="G203" s="14">
        <f>data!AW61</f>
        <v>13390299</v>
      </c>
      <c r="H203" s="14">
        <f>data!AX61</f>
        <v>360697</v>
      </c>
      <c r="I203" s="14">
        <f>data!AY61</f>
        <v>2975877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399876</v>
      </c>
      <c r="E204" s="14">
        <f>data!AU62</f>
        <v>0</v>
      </c>
      <c r="F204" s="14">
        <f>data!AV62</f>
        <v>1538906</v>
      </c>
      <c r="G204" s="14">
        <f>data!AW62</f>
        <v>3075784</v>
      </c>
      <c r="H204" s="14">
        <f>data!AX62</f>
        <v>62142</v>
      </c>
      <c r="I204" s="14">
        <f>data!AY62</f>
        <v>515392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765400</v>
      </c>
      <c r="E205" s="14">
        <f>data!AU63</f>
        <v>0</v>
      </c>
      <c r="F205" s="14">
        <f>data!AV63</f>
        <v>104674</v>
      </c>
      <c r="G205" s="14">
        <f>data!AW63</f>
        <v>156265</v>
      </c>
      <c r="H205" s="14">
        <f>data!AX63</f>
        <v>715924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3317692</v>
      </c>
      <c r="E206" s="14">
        <f>data!AU64</f>
        <v>0</v>
      </c>
      <c r="F206" s="14">
        <f>data!AV64</f>
        <v>14669557</v>
      </c>
      <c r="G206" s="14">
        <f>data!AW64</f>
        <v>314424</v>
      </c>
      <c r="H206" s="14">
        <f>data!AX64</f>
        <v>428</v>
      </c>
      <c r="I206" s="14">
        <f>data!AY64</f>
        <v>1010587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7630</v>
      </c>
      <c r="E207" s="14">
        <f>data!AU65</f>
        <v>0</v>
      </c>
      <c r="F207" s="14">
        <f>data!AV65</f>
        <v>34580</v>
      </c>
      <c r="G207" s="14">
        <f>data!AW65</f>
        <v>33055</v>
      </c>
      <c r="H207" s="14">
        <f>data!AX65</f>
        <v>1181</v>
      </c>
      <c r="I207" s="14">
        <f>data!AY65</f>
        <v>9984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1740181</v>
      </c>
      <c r="E208" s="14">
        <f>data!AU66</f>
        <v>0</v>
      </c>
      <c r="F208" s="14">
        <f>data!AV66</f>
        <v>99389</v>
      </c>
      <c r="G208" s="14">
        <f>data!AW66</f>
        <v>344693</v>
      </c>
      <c r="H208" s="14">
        <f>data!AX66</f>
        <v>3039</v>
      </c>
      <c r="I208" s="14">
        <f>data!AY66</f>
        <v>374259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935</v>
      </c>
      <c r="E209" s="14">
        <f>data!AU67</f>
        <v>0</v>
      </c>
      <c r="F209" s="14">
        <f>data!AV67</f>
        <v>1285509</v>
      </c>
      <c r="G209" s="14">
        <f>data!AW67</f>
        <v>69254</v>
      </c>
      <c r="H209" s="14">
        <f>data!AX67</f>
        <v>14641</v>
      </c>
      <c r="I209" s="14">
        <f>data!AY67</f>
        <v>18520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47819</v>
      </c>
      <c r="G210" s="14">
        <f>data!AW68</f>
        <v>317698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28910</v>
      </c>
      <c r="E211" s="14">
        <f>data!AU69</f>
        <v>0</v>
      </c>
      <c r="F211" s="14">
        <f>data!AV69</f>
        <v>1285181</v>
      </c>
      <c r="G211" s="14">
        <f>data!AW69</f>
        <v>499375</v>
      </c>
      <c r="H211" s="14">
        <f>data!AX69</f>
        <v>141154</v>
      </c>
      <c r="I211" s="14">
        <f>data!AY69</f>
        <v>14101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-150</v>
      </c>
      <c r="E212" s="14">
        <f>-data!AU70</f>
        <v>0</v>
      </c>
      <c r="F212" s="14">
        <f>-data!AV70</f>
        <v>-178579</v>
      </c>
      <c r="G212" s="14">
        <f>-data!AW70</f>
        <v>-20666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8226695</v>
      </c>
      <c r="E213" s="14">
        <f>data!AU71</f>
        <v>0</v>
      </c>
      <c r="F213" s="14">
        <f>data!AV71</f>
        <v>26164441</v>
      </c>
      <c r="G213" s="14">
        <f>data!AW71</f>
        <v>18180181</v>
      </c>
      <c r="H213" s="14">
        <f>data!AX71</f>
        <v>1299206</v>
      </c>
      <c r="I213" s="14">
        <f>data!AY71</f>
        <v>4918720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1082816</v>
      </c>
      <c r="E215" s="48">
        <f>+data!M712</f>
        <v>0</v>
      </c>
      <c r="F215" s="48">
        <f>+data!M713</f>
        <v>8325143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13405000</v>
      </c>
      <c r="E216" s="14">
        <f>data!AU73</f>
        <v>0</v>
      </c>
      <c r="F216" s="14">
        <f>data!AV73</f>
        <v>26740374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90836040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13405000</v>
      </c>
      <c r="E218" s="14">
        <f>data!AU75</f>
        <v>0</v>
      </c>
      <c r="F218" s="14">
        <f>data!AV75</f>
        <v>117576414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2215</v>
      </c>
      <c r="E220" s="14">
        <f>data!AU76</f>
        <v>0</v>
      </c>
      <c r="F220" s="14">
        <f>data!AV76</f>
        <v>22218</v>
      </c>
      <c r="G220" s="14">
        <f>data!AW76</f>
        <v>16656</v>
      </c>
      <c r="H220" s="14">
        <f>data!AX76</f>
        <v>2154</v>
      </c>
      <c r="I220" s="85">
        <f>data!AY76</f>
        <v>5532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69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231</v>
      </c>
      <c r="E222" s="14">
        <f>data!AU78</f>
        <v>0</v>
      </c>
      <c r="F222" s="14">
        <f>data!AV78</f>
        <v>2321</v>
      </c>
      <c r="G222" s="14">
        <f>data!AW78</f>
        <v>1740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72017</v>
      </c>
      <c r="G223" s="14">
        <f>data!AW79</f>
        <v>315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7.46</v>
      </c>
      <c r="E224" s="26">
        <f>data!AU80</f>
        <v>0</v>
      </c>
      <c r="F224" s="26">
        <f>data!AV80</f>
        <v>29.59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Virginia Mason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876750</v>
      </c>
      <c r="D233" s="14">
        <f>data!BA59</f>
        <v>0</v>
      </c>
      <c r="E233" s="208"/>
      <c r="F233" s="208"/>
      <c r="G233" s="208"/>
      <c r="H233" s="14">
        <f>data!BE59</f>
        <v>1533878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32.44</v>
      </c>
      <c r="D234" s="26">
        <f>data!BA60</f>
        <v>0</v>
      </c>
      <c r="E234" s="26">
        <f>data!BB60</f>
        <v>7.54</v>
      </c>
      <c r="F234" s="26">
        <f>data!BC60</f>
        <v>0</v>
      </c>
      <c r="G234" s="26">
        <f>data!BD60</f>
        <v>53.58</v>
      </c>
      <c r="H234" s="26">
        <f>data!BE60</f>
        <v>32.24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1527270</v>
      </c>
      <c r="D235" s="14">
        <f>data!BA61</f>
        <v>0</v>
      </c>
      <c r="E235" s="14">
        <f>data!BB61</f>
        <v>660174</v>
      </c>
      <c r="F235" s="14">
        <f>data!BC61</f>
        <v>0</v>
      </c>
      <c r="G235" s="14">
        <f>data!BD61</f>
        <v>7660995</v>
      </c>
      <c r="H235" s="14">
        <f>data!BE61</f>
        <v>2233199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262355</v>
      </c>
      <c r="D236" s="14">
        <f>data!BA62</f>
        <v>0</v>
      </c>
      <c r="E236" s="14">
        <f>data!BB62</f>
        <v>113825</v>
      </c>
      <c r="F236" s="14">
        <f>data!BC62</f>
        <v>0</v>
      </c>
      <c r="G236" s="14">
        <f>data!BD62</f>
        <v>1619616</v>
      </c>
      <c r="H236" s="14">
        <f>data!BE62</f>
        <v>375483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1120279</v>
      </c>
      <c r="H237" s="14">
        <f>data!BE63</f>
        <v>37879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2753365</v>
      </c>
      <c r="D238" s="14">
        <f>data!BA64</f>
        <v>0</v>
      </c>
      <c r="E238" s="14">
        <f>data!BB64</f>
        <v>1231</v>
      </c>
      <c r="F238" s="14">
        <f>data!BC64</f>
        <v>184087</v>
      </c>
      <c r="G238" s="14">
        <f>data!BD64</f>
        <v>210809</v>
      </c>
      <c r="H238" s="14">
        <f>data!BE64</f>
        <v>264587</v>
      </c>
      <c r="I238" s="14">
        <f>data!BF64</f>
        <v>33411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37645</v>
      </c>
      <c r="D239" s="14">
        <f>data!BA65</f>
        <v>879</v>
      </c>
      <c r="E239" s="14">
        <f>data!BB65</f>
        <v>8610</v>
      </c>
      <c r="F239" s="14">
        <f>data!BC65</f>
        <v>9864</v>
      </c>
      <c r="G239" s="14">
        <f>data!BD65</f>
        <v>84599</v>
      </c>
      <c r="H239" s="14">
        <f>data!BE65</f>
        <v>6138199</v>
      </c>
      <c r="I239" s="14">
        <f>data!BF65</f>
        <v>1228499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148320</v>
      </c>
      <c r="D240" s="14">
        <f>data!BA66</f>
        <v>1846460</v>
      </c>
      <c r="E240" s="14">
        <f>data!BB66</f>
        <v>14932</v>
      </c>
      <c r="F240" s="14">
        <f>data!BC66</f>
        <v>3173934</v>
      </c>
      <c r="G240" s="14">
        <f>data!BD66</f>
        <v>701248</v>
      </c>
      <c r="H240" s="14">
        <f>data!BE66</f>
        <v>4585749</v>
      </c>
      <c r="I240" s="14">
        <f>data!BF66</f>
        <v>8272599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165830</v>
      </c>
      <c r="D241" s="14">
        <f>data!BA67</f>
        <v>5667</v>
      </c>
      <c r="E241" s="14">
        <f>data!BB67</f>
        <v>1148</v>
      </c>
      <c r="F241" s="14">
        <f>data!BC67</f>
        <v>90501</v>
      </c>
      <c r="G241" s="14">
        <f>data!BD67</f>
        <v>22178</v>
      </c>
      <c r="H241" s="14">
        <f>data!BE67</f>
        <v>7497981</v>
      </c>
      <c r="I241" s="14">
        <f>data!BF67</f>
        <v>100427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112348</v>
      </c>
      <c r="H242" s="14">
        <f>data!BE68</f>
        <v>609186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349377</v>
      </c>
      <c r="D243" s="14">
        <f>data!BA69</f>
        <v>0</v>
      </c>
      <c r="E243" s="14">
        <f>data!BB69</f>
        <v>132057</v>
      </c>
      <c r="F243" s="14">
        <f>data!BC69</f>
        <v>41964</v>
      </c>
      <c r="G243" s="14">
        <f>data!BD69</f>
        <v>2470559</v>
      </c>
      <c r="H243" s="14">
        <f>data!BE69</f>
        <v>3276074</v>
      </c>
      <c r="I243" s="14">
        <f>data!BF69</f>
        <v>25443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-4414491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-14817247</v>
      </c>
      <c r="H244" s="14">
        <f>-data!BE70</f>
        <v>-272058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829671</v>
      </c>
      <c r="D245" s="14">
        <f>data!BA71</f>
        <v>1853006</v>
      </c>
      <c r="E245" s="14">
        <f>data!BB71</f>
        <v>931977</v>
      </c>
      <c r="F245" s="14">
        <f>data!BC71</f>
        <v>3500350</v>
      </c>
      <c r="G245" s="14">
        <f>data!BD71</f>
        <v>-814616</v>
      </c>
      <c r="H245" s="14">
        <f>data!BE71</f>
        <v>24746279</v>
      </c>
      <c r="I245" s="14">
        <f>data!BF71</f>
        <v>9660379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17109</v>
      </c>
      <c r="D252" s="85">
        <f>data!BA76</f>
        <v>3205</v>
      </c>
      <c r="E252" s="85">
        <f>data!BB76</f>
        <v>366</v>
      </c>
      <c r="F252" s="85">
        <f>data!BC76</f>
        <v>680</v>
      </c>
      <c r="G252" s="85">
        <f>data!BD76</f>
        <v>7788</v>
      </c>
      <c r="H252" s="85">
        <f>data!BE76</f>
        <v>379101</v>
      </c>
      <c r="I252" s="85">
        <f>data!BF76</f>
        <v>8267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335</v>
      </c>
      <c r="E254" s="85">
        <f>data!BB78</f>
        <v>38</v>
      </c>
      <c r="F254" s="85">
        <f>data!BC78</f>
        <v>71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Virginia Mason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102.12</v>
      </c>
      <c r="D266" s="26">
        <f>data!BH60</f>
        <v>156.53</v>
      </c>
      <c r="E266" s="26">
        <f>data!BI60</f>
        <v>7.24</v>
      </c>
      <c r="F266" s="26">
        <f>data!BJ60</f>
        <v>21.56</v>
      </c>
      <c r="G266" s="26">
        <f>data!BK60</f>
        <v>207.39</v>
      </c>
      <c r="H266" s="26">
        <f>data!BL60</f>
        <v>86.3</v>
      </c>
      <c r="I266" s="26">
        <f>data!BM60</f>
        <v>19.920000000000002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4781151</v>
      </c>
      <c r="D267" s="14">
        <f>data!BH61</f>
        <v>17121326</v>
      </c>
      <c r="E267" s="14">
        <f>data!BI61</f>
        <v>1052724</v>
      </c>
      <c r="F267" s="14">
        <f>data!BJ61</f>
        <v>2094844</v>
      </c>
      <c r="G267" s="14">
        <f>data!BK61</f>
        <v>14034085</v>
      </c>
      <c r="H267" s="14">
        <f>data!BL61</f>
        <v>5945382</v>
      </c>
      <c r="I267" s="14">
        <f>data!BM61</f>
        <v>2591462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825275</v>
      </c>
      <c r="D268" s="14">
        <f>data!BH62</f>
        <v>2948971</v>
      </c>
      <c r="E268" s="14">
        <f>data!BI62</f>
        <v>198556</v>
      </c>
      <c r="F268" s="14">
        <f>data!BJ62</f>
        <v>352147</v>
      </c>
      <c r="G268" s="14">
        <f>data!BK62</f>
        <v>2567944</v>
      </c>
      <c r="H268" s="14">
        <f>data!BL62</f>
        <v>1036120</v>
      </c>
      <c r="I268" s="14">
        <f>data!BM62</f>
        <v>515520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48000</v>
      </c>
      <c r="E269" s="14">
        <f>data!BI63</f>
        <v>64886</v>
      </c>
      <c r="F269" s="14">
        <f>data!BJ63</f>
        <v>0</v>
      </c>
      <c r="G269" s="14">
        <f>data!BK63</f>
        <v>2599477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9804</v>
      </c>
      <c r="D270" s="14">
        <f>data!BH64</f>
        <v>64431</v>
      </c>
      <c r="E270" s="14">
        <f>data!BI64</f>
        <v>116499</v>
      </c>
      <c r="F270" s="14">
        <f>data!BJ64</f>
        <v>27317</v>
      </c>
      <c r="G270" s="14">
        <f>data!BK64</f>
        <v>376096</v>
      </c>
      <c r="H270" s="14">
        <f>data!BL64</f>
        <v>64284</v>
      </c>
      <c r="I270" s="14">
        <f>data!BM64</f>
        <v>28151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54851</v>
      </c>
      <c r="D271" s="14">
        <f>data!BH65</f>
        <v>403573</v>
      </c>
      <c r="E271" s="14">
        <f>data!BI65</f>
        <v>17408</v>
      </c>
      <c r="F271" s="14">
        <f>data!BJ65</f>
        <v>8338</v>
      </c>
      <c r="G271" s="14">
        <f>data!BK65</f>
        <v>70778</v>
      </c>
      <c r="H271" s="14">
        <f>data!BL65</f>
        <v>32217</v>
      </c>
      <c r="I271" s="14">
        <f>data!BM65</f>
        <v>7852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583</v>
      </c>
      <c r="D272" s="14">
        <f>data!BH66</f>
        <v>1090099</v>
      </c>
      <c r="E272" s="14">
        <f>data!BI66</f>
        <v>669958</v>
      </c>
      <c r="F272" s="14">
        <f>data!BJ66</f>
        <v>523937</v>
      </c>
      <c r="G272" s="14">
        <f>data!BK66</f>
        <v>1276259</v>
      </c>
      <c r="H272" s="14">
        <f>data!BL66</f>
        <v>1402</v>
      </c>
      <c r="I272" s="14">
        <f>data!BM66</f>
        <v>1127112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7743</v>
      </c>
      <c r="D273" s="14">
        <f>data!BH67</f>
        <v>7709821</v>
      </c>
      <c r="E273" s="14">
        <f>data!BI67</f>
        <v>14739</v>
      </c>
      <c r="F273" s="14">
        <f>data!BJ67</f>
        <v>7002</v>
      </c>
      <c r="G273" s="14">
        <f>data!BK67</f>
        <v>32957</v>
      </c>
      <c r="H273" s="14">
        <f>data!BL67</f>
        <v>16214</v>
      </c>
      <c r="I273" s="14">
        <f>data!BM67</f>
        <v>74497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306428</v>
      </c>
      <c r="D274" s="14">
        <f>data!BH68</f>
        <v>2082835</v>
      </c>
      <c r="E274" s="14">
        <f>data!BI68</f>
        <v>0</v>
      </c>
      <c r="F274" s="14">
        <f>data!BJ68</f>
        <v>112563</v>
      </c>
      <c r="G274" s="14">
        <f>data!BK68</f>
        <v>788444</v>
      </c>
      <c r="H274" s="14">
        <f>data!BL68</f>
        <v>0</v>
      </c>
      <c r="I274" s="14">
        <f>data!BM68</f>
        <v>74798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169456</v>
      </c>
      <c r="D275" s="14">
        <f>data!BH69</f>
        <v>12909191</v>
      </c>
      <c r="E275" s="14">
        <f>data!BI69</f>
        <v>1140481</v>
      </c>
      <c r="F275" s="14">
        <f>data!BJ69</f>
        <v>-8414</v>
      </c>
      <c r="G275" s="14">
        <f>data!BK69</f>
        <v>1094555</v>
      </c>
      <c r="H275" s="14">
        <f>data!BL69</f>
        <v>7793</v>
      </c>
      <c r="I275" s="14">
        <f>data!BM69</f>
        <v>107837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-448</v>
      </c>
      <c r="D276" s="14">
        <f>-data!BH70</f>
        <v>-3182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-384176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6154843</v>
      </c>
      <c r="D277" s="14">
        <f>data!BH71</f>
        <v>44375065</v>
      </c>
      <c r="E277" s="14">
        <f>data!BI71</f>
        <v>3275251</v>
      </c>
      <c r="F277" s="14">
        <f>data!BJ71</f>
        <v>3117734</v>
      </c>
      <c r="G277" s="14">
        <f>data!BK71</f>
        <v>22840595</v>
      </c>
      <c r="H277" s="14">
        <f>data!BL71</f>
        <v>7103412</v>
      </c>
      <c r="I277" s="14">
        <f>data!BM71</f>
        <v>4143053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11872</v>
      </c>
      <c r="D284" s="85">
        <f>data!BH76</f>
        <v>45901</v>
      </c>
      <c r="E284" s="85">
        <f>data!BI76</f>
        <v>7478</v>
      </c>
      <c r="F284" s="85">
        <f>data!BJ76</f>
        <v>3420</v>
      </c>
      <c r="G284" s="85">
        <f>data!BK76</f>
        <v>23944</v>
      </c>
      <c r="H284" s="85">
        <f>data!BL76</f>
        <v>7469</v>
      </c>
      <c r="I284" s="85">
        <f>data!BM76</f>
        <v>4197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4792</v>
      </c>
      <c r="E286" s="85">
        <f>data!BI78</f>
        <v>781</v>
      </c>
      <c r="F286" s="209" t="str">
        <f>IF(data!BJ78&gt;0,data!BJ78,"")</f>
        <v>x</v>
      </c>
      <c r="G286" s="85">
        <f>data!BK78</f>
        <v>2501</v>
      </c>
      <c r="H286" s="85">
        <f>data!BL78</f>
        <v>780</v>
      </c>
      <c r="I286" s="85">
        <f>data!BM78</f>
        <v>438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3968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Virginia Mason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56.6</v>
      </c>
      <c r="D298" s="26">
        <f>data!BO60</f>
        <v>6.85</v>
      </c>
      <c r="E298" s="26">
        <f>data!BP60</f>
        <v>16.399999999999999</v>
      </c>
      <c r="F298" s="26">
        <f>data!BQ60</f>
        <v>0</v>
      </c>
      <c r="G298" s="26">
        <f>data!BR60</f>
        <v>4.92</v>
      </c>
      <c r="H298" s="26">
        <f>data!BS60</f>
        <v>0</v>
      </c>
      <c r="I298" s="26">
        <f>data!BT60</f>
        <v>1.59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11086295</v>
      </c>
      <c r="D299" s="14">
        <f>data!BO61</f>
        <v>771805</v>
      </c>
      <c r="E299" s="14">
        <f>data!BP61</f>
        <v>1923017</v>
      </c>
      <c r="F299" s="14">
        <f>data!BQ61</f>
        <v>0</v>
      </c>
      <c r="G299" s="14">
        <f>data!BR61</f>
        <v>545604</v>
      </c>
      <c r="H299" s="14">
        <f>data!BS61</f>
        <v>0</v>
      </c>
      <c r="I299" s="14">
        <f>data!BT61</f>
        <v>143452.5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1923090</v>
      </c>
      <c r="D300" s="14">
        <f>data!BO62</f>
        <v>1594556</v>
      </c>
      <c r="E300" s="14">
        <f>data!BP62</f>
        <v>341131</v>
      </c>
      <c r="F300" s="14">
        <f>data!BQ62</f>
        <v>0</v>
      </c>
      <c r="G300" s="14">
        <f>data!BR62</f>
        <v>227743</v>
      </c>
      <c r="H300" s="14">
        <f>data!BS62</f>
        <v>0</v>
      </c>
      <c r="I300" s="14">
        <f>data!BT62</f>
        <v>24578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14617</v>
      </c>
      <c r="D301" s="14">
        <f>data!BO63</f>
        <v>0</v>
      </c>
      <c r="E301" s="14">
        <f>data!BP63</f>
        <v>53</v>
      </c>
      <c r="F301" s="14">
        <f>data!BQ63</f>
        <v>0</v>
      </c>
      <c r="G301" s="14">
        <f>data!BR63</f>
        <v>383254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38444</v>
      </c>
      <c r="D302" s="14">
        <f>data!BO64</f>
        <v>760967</v>
      </c>
      <c r="E302" s="14">
        <f>data!BP64</f>
        <v>20056</v>
      </c>
      <c r="F302" s="14">
        <f>data!BQ64</f>
        <v>0</v>
      </c>
      <c r="G302" s="14">
        <f>data!BR64</f>
        <v>2327</v>
      </c>
      <c r="H302" s="14">
        <f>data!BS64</f>
        <v>0</v>
      </c>
      <c r="I302" s="14">
        <f>data!BT64</f>
        <v>1629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83263</v>
      </c>
      <c r="D303" s="14">
        <f>data!BO65</f>
        <v>4029</v>
      </c>
      <c r="E303" s="14">
        <f>data!BP65</f>
        <v>14131</v>
      </c>
      <c r="F303" s="14">
        <f>data!BQ65</f>
        <v>0</v>
      </c>
      <c r="G303" s="14">
        <f>data!BR65</f>
        <v>12561</v>
      </c>
      <c r="H303" s="14">
        <f>data!BS65</f>
        <v>0</v>
      </c>
      <c r="I303" s="14">
        <f>data!BT65</f>
        <v>483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281394</v>
      </c>
      <c r="D304" s="14">
        <f>data!BO66</f>
        <v>44313</v>
      </c>
      <c r="E304" s="14">
        <f>data!BP66</f>
        <v>203194</v>
      </c>
      <c r="F304" s="14">
        <f>data!BQ66</f>
        <v>0</v>
      </c>
      <c r="G304" s="14">
        <f>data!BR66</f>
        <v>1205675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7322</v>
      </c>
      <c r="D305" s="14">
        <f>data!BO67</f>
        <v>76643</v>
      </c>
      <c r="E305" s="14">
        <f>data!BP67</f>
        <v>118095</v>
      </c>
      <c r="F305" s="14">
        <f>data!BQ67</f>
        <v>0</v>
      </c>
      <c r="G305" s="14">
        <f>data!BR67</f>
        <v>3936</v>
      </c>
      <c r="H305" s="14">
        <f>data!BS67</f>
        <v>0</v>
      </c>
      <c r="I305" s="14">
        <f>data!BT67</f>
        <v>8854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46623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2171262</v>
      </c>
      <c r="D307" s="14">
        <f>data!BO69</f>
        <v>-82993</v>
      </c>
      <c r="E307" s="14">
        <f>data!BP69</f>
        <v>533702</v>
      </c>
      <c r="F307" s="14">
        <f>data!BQ69</f>
        <v>0</v>
      </c>
      <c r="G307" s="14">
        <f>data!BR69</f>
        <v>308297</v>
      </c>
      <c r="H307" s="14">
        <f>data!BS69</f>
        <v>0</v>
      </c>
      <c r="I307" s="14">
        <f>data!BT69</f>
        <v>1031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-15570099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82211</v>
      </c>
      <c r="D309" s="14">
        <f>data!BO71</f>
        <v>3169320</v>
      </c>
      <c r="E309" s="14">
        <f>data!BP71</f>
        <v>3153379</v>
      </c>
      <c r="F309" s="14">
        <f>data!BQ71</f>
        <v>0</v>
      </c>
      <c r="G309" s="14">
        <f>data!BR71</f>
        <v>2689397</v>
      </c>
      <c r="H309" s="14">
        <f>data!BS71</f>
        <v>0</v>
      </c>
      <c r="I309" s="14">
        <f>data!BT71</f>
        <v>180027.5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10876</v>
      </c>
      <c r="D316" s="85">
        <f>data!BO76</f>
        <v>3380</v>
      </c>
      <c r="E316" s="85">
        <f>data!BP76</f>
        <v>5259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849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89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Virginia Mason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7.77</v>
      </c>
      <c r="D330" s="26">
        <f>data!BV60</f>
        <v>43.89</v>
      </c>
      <c r="E330" s="26">
        <f>data!BW60</f>
        <v>9.14</v>
      </c>
      <c r="F330" s="26">
        <f>data!BX60</f>
        <v>76.19</v>
      </c>
      <c r="G330" s="26">
        <f>data!BY60</f>
        <v>55.03</v>
      </c>
      <c r="H330" s="26">
        <f>data!BZ60</f>
        <v>0</v>
      </c>
      <c r="I330" s="26">
        <f>data!CA60</f>
        <v>47.01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296498.5</v>
      </c>
      <c r="D331" s="86">
        <f>data!BV61</f>
        <v>2707631.5</v>
      </c>
      <c r="E331" s="86">
        <f>data!BW61</f>
        <v>5612480.4000000004</v>
      </c>
      <c r="F331" s="86">
        <f>data!BX61</f>
        <v>8385698.4000000004</v>
      </c>
      <c r="G331" s="86">
        <f>data!BY61</f>
        <v>5789062.4000000004</v>
      </c>
      <c r="H331" s="86">
        <f>data!BZ61</f>
        <v>0</v>
      </c>
      <c r="I331" s="86">
        <f>data!CA61</f>
        <v>4300423.2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48033</v>
      </c>
      <c r="D332" s="86">
        <f>data!BV62</f>
        <v>465467</v>
      </c>
      <c r="E332" s="86">
        <f>data!BW62</f>
        <v>-15428924</v>
      </c>
      <c r="F332" s="86">
        <f>data!BX62</f>
        <v>1685261</v>
      </c>
      <c r="G332" s="86">
        <f>data!BY62</f>
        <v>1032620</v>
      </c>
      <c r="H332" s="86">
        <f>data!BZ62</f>
        <v>0</v>
      </c>
      <c r="I332" s="86">
        <f>data!CA62</f>
        <v>799573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20523</v>
      </c>
      <c r="F333" s="86">
        <f>data!BX63</f>
        <v>8325</v>
      </c>
      <c r="G333" s="86">
        <f>data!BY63</f>
        <v>44</v>
      </c>
      <c r="H333" s="86">
        <f>data!BZ63</f>
        <v>0</v>
      </c>
      <c r="I333" s="86">
        <f>data!CA63</f>
        <v>59983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12588</v>
      </c>
      <c r="D334" s="86">
        <f>data!BV64</f>
        <v>96602</v>
      </c>
      <c r="E334" s="86">
        <f>data!BW64</f>
        <v>10882</v>
      </c>
      <c r="F334" s="86">
        <f>data!BX64</f>
        <v>101529</v>
      </c>
      <c r="G334" s="86">
        <f>data!BY64</f>
        <v>193371</v>
      </c>
      <c r="H334" s="86">
        <f>data!BZ64</f>
        <v>0</v>
      </c>
      <c r="I334" s="86">
        <f>data!CA64</f>
        <v>26415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5295</v>
      </c>
      <c r="D335" s="86">
        <f>data!BV65</f>
        <v>60122</v>
      </c>
      <c r="E335" s="86">
        <f>data!BW65</f>
        <v>4285</v>
      </c>
      <c r="F335" s="86">
        <f>data!BX65</f>
        <v>70132</v>
      </c>
      <c r="G335" s="86">
        <f>data!BY65</f>
        <v>41194</v>
      </c>
      <c r="H335" s="86">
        <f>data!BZ65</f>
        <v>0</v>
      </c>
      <c r="I335" s="86">
        <f>data!CA65</f>
        <v>7640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45490</v>
      </c>
      <c r="D336" s="86">
        <f>data!BV66</f>
        <v>516013</v>
      </c>
      <c r="E336" s="86">
        <f>data!BW66</f>
        <v>37055</v>
      </c>
      <c r="F336" s="86">
        <f>data!BX66</f>
        <v>3097679</v>
      </c>
      <c r="G336" s="86">
        <f>data!BY66</f>
        <v>61002</v>
      </c>
      <c r="H336" s="86">
        <f>data!BZ66</f>
        <v>0</v>
      </c>
      <c r="I336" s="86">
        <f>data!CA66</f>
        <v>133664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2717</v>
      </c>
      <c r="D337" s="86">
        <f>data!BV67</f>
        <v>337438</v>
      </c>
      <c r="E337" s="86">
        <f>data!BW67</f>
        <v>40</v>
      </c>
      <c r="F337" s="86">
        <f>data!BX67</f>
        <v>187355</v>
      </c>
      <c r="G337" s="86">
        <f>data!BY67</f>
        <v>44080</v>
      </c>
      <c r="H337" s="86">
        <f>data!BZ67</f>
        <v>0</v>
      </c>
      <c r="I337" s="86">
        <f>data!CA67</f>
        <v>2755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440247</v>
      </c>
      <c r="E338" s="86">
        <f>data!BW68</f>
        <v>0</v>
      </c>
      <c r="F338" s="86">
        <f>data!BX68</f>
        <v>410458</v>
      </c>
      <c r="G338" s="86">
        <f>data!BY68</f>
        <v>11966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1183483</v>
      </c>
      <c r="D339" s="86">
        <f>data!BV69</f>
        <v>753670</v>
      </c>
      <c r="E339" s="86">
        <f>data!BW69</f>
        <v>1715573</v>
      </c>
      <c r="F339" s="86">
        <f>data!BX69</f>
        <v>5879428</v>
      </c>
      <c r="G339" s="86">
        <f>data!BY69</f>
        <v>270699</v>
      </c>
      <c r="H339" s="86">
        <f>data!BZ69</f>
        <v>0</v>
      </c>
      <c r="I339" s="86">
        <f>data!CA69</f>
        <v>177077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-328264</v>
      </c>
      <c r="D340" s="14">
        <f>-data!BV70</f>
        <v>-134521</v>
      </c>
      <c r="E340" s="14">
        <f>-data!BW70</f>
        <v>0</v>
      </c>
      <c r="F340" s="14">
        <f>-data!BX70</f>
        <v>-5027409</v>
      </c>
      <c r="G340" s="14">
        <f>-data!BY70</f>
        <v>-71453</v>
      </c>
      <c r="H340" s="14">
        <f>-data!BZ70</f>
        <v>0</v>
      </c>
      <c r="I340" s="14">
        <f>-data!CA70</f>
        <v>-93139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1265840.5</v>
      </c>
      <c r="D341" s="14">
        <f>data!BV71</f>
        <v>5242669.5</v>
      </c>
      <c r="E341" s="14">
        <f>data!BW71</f>
        <v>-8028085.5999999996</v>
      </c>
      <c r="F341" s="14">
        <f>data!BX71</f>
        <v>14798456.399999999</v>
      </c>
      <c r="G341" s="14">
        <f>data!BY71</f>
        <v>7372585.4000000004</v>
      </c>
      <c r="H341" s="14">
        <f>data!BZ71</f>
        <v>0</v>
      </c>
      <c r="I341" s="14">
        <f>data!CA71</f>
        <v>5414391.2000000002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5560</v>
      </c>
      <c r="D348" s="85">
        <f>data!BV76</f>
        <v>14063</v>
      </c>
      <c r="E348" s="85">
        <f>data!BW76</f>
        <v>0</v>
      </c>
      <c r="F348" s="85">
        <f>data!BX76</f>
        <v>21980</v>
      </c>
      <c r="G348" s="85">
        <f>data!BY76</f>
        <v>6264</v>
      </c>
      <c r="H348" s="85">
        <f>data!BZ76</f>
        <v>0</v>
      </c>
      <c r="I348" s="85">
        <f>data!CA76</f>
        <v>3905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581</v>
      </c>
      <c r="D350" s="85">
        <f>data!BV78</f>
        <v>1469</v>
      </c>
      <c r="E350" s="85">
        <f>data!BW78</f>
        <v>0</v>
      </c>
      <c r="F350" s="85">
        <f>data!BX78</f>
        <v>2296</v>
      </c>
      <c r="G350" s="85">
        <f>data!BY78</f>
        <v>654</v>
      </c>
      <c r="H350" s="85">
        <f>data!BZ78</f>
        <v>0</v>
      </c>
      <c r="I350" s="85">
        <f>data!CA78</f>
        <v>407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Virginia Mason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38.479999999999997</v>
      </c>
      <c r="E362" s="213"/>
      <c r="F362" s="207"/>
      <c r="G362" s="207"/>
      <c r="H362" s="207"/>
      <c r="I362" s="87">
        <f>data!CE60</f>
        <v>4921.25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3987864</v>
      </c>
      <c r="E363" s="214"/>
      <c r="F363" s="215"/>
      <c r="G363" s="215"/>
      <c r="H363" s="215"/>
      <c r="I363" s="86">
        <f>data!CE61</f>
        <v>562986336.89999998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699318</v>
      </c>
      <c r="E364" s="214"/>
      <c r="F364" s="215"/>
      <c r="G364" s="215"/>
      <c r="H364" s="215"/>
      <c r="I364" s="86">
        <f>data!CE62</f>
        <v>114707742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1870023</v>
      </c>
      <c r="E365" s="214"/>
      <c r="F365" s="215"/>
      <c r="G365" s="215"/>
      <c r="H365" s="215"/>
      <c r="I365" s="86">
        <f>data!CE63</f>
        <v>11339234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354280</v>
      </c>
      <c r="E366" s="214"/>
      <c r="F366" s="215"/>
      <c r="G366" s="215"/>
      <c r="H366" s="215"/>
      <c r="I366" s="86">
        <f>data!CE64</f>
        <v>285452798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248473</v>
      </c>
      <c r="E367" s="214"/>
      <c r="F367" s="215"/>
      <c r="G367" s="215"/>
      <c r="H367" s="215"/>
      <c r="I367" s="86">
        <f>data!CE65</f>
        <v>12151225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4453352</v>
      </c>
      <c r="E368" s="214"/>
      <c r="F368" s="215"/>
      <c r="G368" s="215"/>
      <c r="H368" s="215"/>
      <c r="I368" s="86">
        <f>data!CE66</f>
        <v>49295122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132324</v>
      </c>
      <c r="E369" s="214"/>
      <c r="F369" s="215"/>
      <c r="G369" s="215"/>
      <c r="H369" s="215"/>
      <c r="I369" s="86">
        <f>data!CE67</f>
        <v>40618973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1485313</v>
      </c>
      <c r="E370" s="214"/>
      <c r="F370" s="215"/>
      <c r="G370" s="215"/>
      <c r="H370" s="215"/>
      <c r="I370" s="86">
        <f>data!CE68</f>
        <v>16595471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1413670</v>
      </c>
      <c r="E371" s="86">
        <f>data!CD69</f>
        <v>42112561</v>
      </c>
      <c r="F371" s="215"/>
      <c r="G371" s="215"/>
      <c r="H371" s="215"/>
      <c r="I371" s="86">
        <f>data!CE69</f>
        <v>102850026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-8765345</v>
      </c>
      <c r="E372" s="225">
        <f>data!CD70</f>
        <v>-370774</v>
      </c>
      <c r="F372" s="216"/>
      <c r="G372" s="216"/>
      <c r="H372" s="216"/>
      <c r="I372" s="14">
        <f>-data!CE70</f>
        <v>-66656981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5879272</v>
      </c>
      <c r="E373" s="86">
        <f>data!CD71</f>
        <v>42483335</v>
      </c>
      <c r="F373" s="215"/>
      <c r="G373" s="215"/>
      <c r="H373" s="215"/>
      <c r="I373" s="14">
        <f>data!CE71</f>
        <v>1129339946.9000001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792299712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1856700451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2649000163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11111</v>
      </c>
      <c r="E380" s="210"/>
      <c r="F380" s="207"/>
      <c r="G380" s="207"/>
      <c r="H380" s="207"/>
      <c r="I380" s="14">
        <f>data!CE76</f>
        <v>1533878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376953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111561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2279173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1577.52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2020-06-16T00:10:50Z</cp:lastPrinted>
  <dcterms:created xsi:type="dcterms:W3CDTF">1999-06-02T22:01:56Z</dcterms:created>
  <dcterms:modified xsi:type="dcterms:W3CDTF">2020-09-02T22:11:37Z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